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d.docs.live.net/1e6d6fe9261a6169/Escritorio/SECRETARIA DE PLANEACIÓN 2026/CONTRATOS Y CONVENIOS INTERADMINISTRATIVOS/05_ACUEDUCTOS CARAUQUIA, CHUCHUNCO - SER BURITICÁ/"/>
    </mc:Choice>
  </mc:AlternateContent>
  <xr:revisionPtr revIDLastSave="0" documentId="8_{F075BEAE-6942-4FD8-B290-896FFB02B651}" xr6:coauthVersionLast="47" xr6:coauthVersionMax="47" xr10:uidLastSave="{00000000-0000-0000-0000-000000000000}"/>
  <bookViews>
    <workbookView xWindow="-108" yWindow="-108" windowWidth="23256" windowHeight="12456" activeTab="4" xr2:uid="{00000000-000D-0000-FFFF-FFFF00000000}"/>
  </bookViews>
  <sheets>
    <sheet name="Presupuesto" sheetId="1" r:id="rId1"/>
    <sheet name="Redes de Distribución" sheetId="5" r:id="rId2"/>
    <sheet name="Cantidades de obra " sheetId="8" r:id="rId3"/>
    <sheet name="Tanque almacenamiento" sheetId="4" r:id="rId4"/>
    <sheet name="Bocatoma" sheetId="2" r:id="rId5"/>
    <sheet name="Tanque Desarenador" sheetId="3" r:id="rId6"/>
    <sheet name="Base_Insumos" sheetId="6" state="hidden" r:id="rId7"/>
    <sheet name="Resumen_Licitacion" sheetId="7" r:id="rId8"/>
  </sheets>
  <definedNames>
    <definedName name="_xlnm.Print_Area" localSheetId="2">'Cantidades de obra '!$B$2:$K$253</definedName>
    <definedName name="_xlnm.Print_Area" localSheetId="0">Presupuesto!$A$1:$F$216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49" i="1" l="1"/>
  <c r="E148" i="1"/>
  <c r="E146" i="1"/>
  <c r="E144" i="1"/>
  <c r="E142" i="1"/>
  <c r="E141" i="1"/>
  <c r="E140" i="1"/>
  <c r="E139" i="1"/>
  <c r="E138" i="1"/>
  <c r="E137" i="1"/>
  <c r="E136" i="1"/>
  <c r="C1335" i="4"/>
  <c r="C1247" i="4"/>
  <c r="F559" i="4"/>
  <c r="E373" i="4"/>
  <c r="E328" i="4"/>
  <c r="E54" i="1"/>
  <c r="B297" i="2"/>
  <c r="C32" i="2"/>
  <c r="C33" i="2"/>
  <c r="D105" i="8"/>
  <c r="D104" i="8"/>
  <c r="D108" i="8"/>
  <c r="D121" i="1"/>
  <c r="D115" i="1" s="1"/>
  <c r="C89" i="8"/>
  <c r="D89" i="8"/>
  <c r="D88" i="8"/>
  <c r="F88" i="8" s="1"/>
  <c r="E84" i="8"/>
  <c r="E81" i="8"/>
  <c r="D85" i="8"/>
  <c r="D84" i="8"/>
  <c r="C85" i="8"/>
  <c r="D82" i="8"/>
  <c r="C82" i="8"/>
  <c r="D81" i="8"/>
  <c r="E56" i="8"/>
  <c r="E53" i="8"/>
  <c r="F48" i="8"/>
  <c r="F45" i="8"/>
  <c r="D42" i="8"/>
  <c r="D41" i="8"/>
  <c r="M8" i="1"/>
  <c r="M6" i="1"/>
  <c r="M7" i="1"/>
  <c r="F24" i="8"/>
  <c r="F21" i="8"/>
  <c r="N7" i="1"/>
  <c r="D5" i="8"/>
  <c r="D40" i="8" s="1"/>
  <c r="D161" i="8"/>
  <c r="D160" i="8"/>
  <c r="D141" i="8"/>
  <c r="C146" i="8" s="1"/>
  <c r="D140" i="8"/>
  <c r="C145" i="8" s="1"/>
  <c r="D125" i="8"/>
  <c r="D124" i="8"/>
  <c r="D109" i="8"/>
  <c r="D242" i="8"/>
  <c r="D149" i="1" s="1"/>
  <c r="G239" i="8"/>
  <c r="G238" i="8"/>
  <c r="G237" i="8"/>
  <c r="G236" i="8"/>
  <c r="I236" i="8" s="1"/>
  <c r="K235" i="8"/>
  <c r="G235" i="8"/>
  <c r="D118" i="1"/>
  <c r="D180" i="8"/>
  <c r="D199" i="8" s="1"/>
  <c r="C219" i="8" s="1"/>
  <c r="F219" i="8" s="1"/>
  <c r="F217" i="8"/>
  <c r="F215" i="8"/>
  <c r="F218" i="8"/>
  <c r="D179" i="8"/>
  <c r="D198" i="8" s="1"/>
  <c r="D178" i="8"/>
  <c r="D197" i="8" s="1"/>
  <c r="C216" i="8" s="1"/>
  <c r="F216" i="8" s="1"/>
  <c r="D177" i="8"/>
  <c r="D196" i="8" s="1"/>
  <c r="D176" i="8"/>
  <c r="E104" i="8" l="1"/>
  <c r="D54" i="1" s="1"/>
  <c r="F89" i="8"/>
  <c r="F82" i="8"/>
  <c r="F85" i="8"/>
  <c r="F84" i="8"/>
  <c r="F81" i="8"/>
  <c r="F58" i="8"/>
  <c r="F50" i="8"/>
  <c r="E7" i="8"/>
  <c r="D5" i="1" s="1"/>
  <c r="E5" i="8"/>
  <c r="D8" i="1" s="1"/>
  <c r="F26" i="8"/>
  <c r="D9" i="1" s="1"/>
  <c r="E40" i="8"/>
  <c r="F59" i="8" s="1"/>
  <c r="D11" i="1" s="1"/>
  <c r="E145" i="8"/>
  <c r="E146" i="8"/>
  <c r="E108" i="8"/>
  <c r="E160" i="8"/>
  <c r="D60" i="1" s="1"/>
  <c r="E124" i="8"/>
  <c r="D59" i="1" s="1"/>
  <c r="I239" i="8"/>
  <c r="I237" i="8"/>
  <c r="I235" i="8"/>
  <c r="I238" i="8"/>
  <c r="F110" i="8" l="1"/>
  <c r="D57" i="1" s="1"/>
  <c r="D56" i="1" s="1"/>
  <c r="F90" i="8"/>
  <c r="D13" i="1" s="1"/>
  <c r="F146" i="8"/>
  <c r="D61" i="1" s="1"/>
  <c r="D181" i="8" l="1"/>
  <c r="D195" i="8"/>
  <c r="H195" i="8" s="1"/>
  <c r="G217" i="8"/>
  <c r="I217" i="8" s="1"/>
  <c r="G219" i="8"/>
  <c r="I219" i="8" s="1"/>
  <c r="I212" i="8"/>
  <c r="K215" i="8"/>
  <c r="G218" i="8"/>
  <c r="I218" i="8" s="1"/>
  <c r="B216" i="8"/>
  <c r="B217" i="8"/>
  <c r="B218" i="8"/>
  <c r="B219" i="8"/>
  <c r="B215" i="8"/>
  <c r="C214" i="8"/>
  <c r="G215" i="8" l="1"/>
  <c r="I215" i="8" s="1"/>
  <c r="D125" i="1" l="1"/>
  <c r="A1391" i="5"/>
  <c r="E1375" i="5"/>
  <c r="G1381" i="5" s="1"/>
  <c r="G1388" i="5"/>
  <c r="G1363" i="5"/>
  <c r="D145" i="1"/>
  <c r="C983" i="5"/>
  <c r="E983" i="5" s="1"/>
  <c r="C982" i="5"/>
  <c r="E982" i="5" s="1"/>
  <c r="C981" i="5"/>
  <c r="E981" i="5" s="1"/>
  <c r="C980" i="5"/>
  <c r="E980" i="5" s="1"/>
  <c r="C979" i="5"/>
  <c r="E979" i="5" s="1"/>
  <c r="G992" i="5"/>
  <c r="E984" i="5"/>
  <c r="G967" i="5"/>
  <c r="A1011" i="5"/>
  <c r="G1011" i="5"/>
  <c r="E1023" i="5"/>
  <c r="E1024" i="5"/>
  <c r="E1025" i="5"/>
  <c r="E1026" i="5"/>
  <c r="E1027" i="5"/>
  <c r="G1036" i="5"/>
  <c r="B1039" i="5"/>
  <c r="C1039" i="5" s="1"/>
  <c r="B1040" i="5"/>
  <c r="C1040" i="5" s="1"/>
  <c r="D144" i="1"/>
  <c r="D142" i="1"/>
  <c r="D146" i="1" s="1"/>
  <c r="E1291" i="4"/>
  <c r="V56" i="1"/>
  <c r="G985" i="5" l="1"/>
  <c r="G1029" i="5"/>
  <c r="D1040" i="5"/>
  <c r="F1040" i="5" s="1"/>
  <c r="D1039" i="5"/>
  <c r="F1039" i="5" s="1"/>
  <c r="G1045" i="5" l="1"/>
  <c r="E1017" i="5" s="1"/>
  <c r="G1020" i="5" s="1"/>
  <c r="G1047" i="5" s="1"/>
  <c r="G1049" i="5" s="1"/>
  <c r="G1051" i="5" l="1"/>
  <c r="C279" i="4"/>
  <c r="D24" i="1"/>
  <c r="C764" i="2"/>
  <c r="E764" i="2" s="1"/>
  <c r="B754" i="2"/>
  <c r="G777" i="2" l="1"/>
  <c r="G770" i="2"/>
  <c r="G752" i="2"/>
  <c r="V60" i="1"/>
  <c r="V61" i="1"/>
  <c r="G250" i="5"/>
  <c r="E239" i="5"/>
  <c r="E238" i="5"/>
  <c r="E237" i="5"/>
  <c r="G224" i="5"/>
  <c r="A224" i="5"/>
  <c r="C152" i="3"/>
  <c r="D151" i="3"/>
  <c r="W58" i="1"/>
  <c r="E416" i="4"/>
  <c r="D143" i="1"/>
  <c r="D10" i="1"/>
  <c r="G243" i="5" l="1"/>
  <c r="M2" i="1"/>
  <c r="O7" i="1"/>
  <c r="I501" i="2"/>
  <c r="I184" i="1"/>
  <c r="E1335" i="4" l="1"/>
  <c r="G1341" i="4" s="1"/>
  <c r="B1325" i="4"/>
  <c r="G1348" i="4"/>
  <c r="G1323" i="4"/>
  <c r="C1291" i="4"/>
  <c r="G1297" i="4" s="1"/>
  <c r="B1281" i="4"/>
  <c r="G1304" i="4"/>
  <c r="E1292" i="4"/>
  <c r="G1279" i="4"/>
  <c r="M78" i="1"/>
  <c r="M79" i="1"/>
  <c r="M80" i="1"/>
  <c r="M81" i="1"/>
  <c r="M82" i="1"/>
  <c r="M83" i="1"/>
  <c r="M84" i="1"/>
  <c r="M85" i="1"/>
  <c r="M86" i="1"/>
  <c r="M87" i="1"/>
  <c r="M88" i="1"/>
  <c r="M89" i="1"/>
  <c r="M90" i="1"/>
  <c r="M91" i="1"/>
  <c r="M76" i="1"/>
  <c r="M77" i="1"/>
  <c r="G1260" i="4"/>
  <c r="E1248" i="4"/>
  <c r="E1247" i="4"/>
  <c r="G1235" i="4"/>
  <c r="C1203" i="4"/>
  <c r="E1203" i="4" s="1"/>
  <c r="G1209" i="4" s="1"/>
  <c r="G1216" i="4"/>
  <c r="E1204" i="4"/>
  <c r="G1191" i="4"/>
  <c r="C1159" i="4"/>
  <c r="E1159" i="4" s="1"/>
  <c r="G1172" i="4"/>
  <c r="E1160" i="4"/>
  <c r="G1147" i="4"/>
  <c r="C1115" i="4"/>
  <c r="E1115" i="4" s="1"/>
  <c r="G1128" i="4"/>
  <c r="E1116" i="4"/>
  <c r="G1103" i="4"/>
  <c r="C1071" i="4"/>
  <c r="E1071" i="4" s="1"/>
  <c r="G1077" i="4" s="1"/>
  <c r="G1084" i="4"/>
  <c r="E1072" i="4"/>
  <c r="G1059" i="4"/>
  <c r="F90" i="1"/>
  <c r="F91" i="1"/>
  <c r="C1027" i="4"/>
  <c r="E1027" i="4" s="1"/>
  <c r="G1040" i="4"/>
  <c r="E1028" i="4"/>
  <c r="G1015" i="4"/>
  <c r="C983" i="4"/>
  <c r="E983" i="4" s="1"/>
  <c r="G996" i="4"/>
  <c r="E984" i="4"/>
  <c r="G971" i="4"/>
  <c r="C940" i="4"/>
  <c r="E940" i="4" s="1"/>
  <c r="G952" i="4"/>
  <c r="E941" i="4"/>
  <c r="G927" i="4"/>
  <c r="A927" i="4"/>
  <c r="C896" i="4"/>
  <c r="E896" i="4" s="1"/>
  <c r="G908" i="4"/>
  <c r="E897" i="4"/>
  <c r="G883" i="4"/>
  <c r="A883" i="4"/>
  <c r="F75" i="1"/>
  <c r="C852" i="4"/>
  <c r="E852" i="4" s="1"/>
  <c r="C851" i="4"/>
  <c r="E851" i="4" s="1"/>
  <c r="D842" i="4"/>
  <c r="B841" i="4"/>
  <c r="G864" i="4"/>
  <c r="E853" i="4"/>
  <c r="G839" i="4"/>
  <c r="G1165" i="4" l="1"/>
  <c r="G1033" i="4"/>
  <c r="G1121" i="4"/>
  <c r="G1253" i="4"/>
  <c r="G989" i="4"/>
  <c r="G945" i="4"/>
  <c r="G901" i="4"/>
  <c r="G857" i="4"/>
  <c r="F15" i="6" l="1"/>
  <c r="F58" i="6"/>
  <c r="F57" i="6"/>
  <c r="F56" i="6"/>
  <c r="F55" i="6"/>
  <c r="F53" i="6" a="1"/>
  <c r="F53" i="6" s="1"/>
  <c r="F52" i="6"/>
  <c r="F51" i="6"/>
  <c r="F50" i="6"/>
  <c r="F49" i="6"/>
  <c r="F48" i="6"/>
  <c r="F46" i="6"/>
  <c r="F45" i="6"/>
  <c r="F44" i="6"/>
  <c r="F43" i="6"/>
  <c r="F42" i="6"/>
  <c r="F41" i="6"/>
  <c r="F40" i="6"/>
  <c r="F39" i="6"/>
  <c r="F38" i="6"/>
  <c r="F37" i="6"/>
  <c r="F35" i="6"/>
  <c r="F34" i="6"/>
  <c r="F33" i="6"/>
  <c r="F32" i="6"/>
  <c r="F31" i="6"/>
  <c r="F30" i="6"/>
  <c r="F29" i="6"/>
  <c r="F28" i="6"/>
  <c r="F27" i="6"/>
  <c r="F26" i="6"/>
  <c r="F25" i="6"/>
  <c r="F24" i="6"/>
  <c r="F23" i="6"/>
  <c r="F22" i="6"/>
  <c r="F21" i="6"/>
  <c r="F20" i="6"/>
  <c r="F19" i="6"/>
  <c r="F18" i="6"/>
  <c r="F17" i="6"/>
  <c r="F16" i="6"/>
  <c r="F13" i="6"/>
  <c r="F12" i="6"/>
  <c r="F11" i="6"/>
  <c r="F10" i="6"/>
  <c r="F9" i="6"/>
  <c r="F8" i="6"/>
  <c r="F7" i="6"/>
  <c r="F6" i="6"/>
  <c r="B1347" i="5"/>
  <c r="C1347" i="5" s="1"/>
  <c r="D1347" i="5" s="1"/>
  <c r="F1347" i="5" s="1"/>
  <c r="G1353" i="5" s="1"/>
  <c r="E1325" i="5" s="1"/>
  <c r="G1328" i="5" s="1"/>
  <c r="G1344" i="5"/>
  <c r="G1337" i="5"/>
  <c r="G1319" i="5"/>
  <c r="A1319" i="5"/>
  <c r="B1304" i="5"/>
  <c r="B1303" i="5"/>
  <c r="B1391" i="5" s="1"/>
  <c r="C1391" i="5" s="1"/>
  <c r="D1391" i="5" s="1"/>
  <c r="F1391" i="5" s="1"/>
  <c r="G1397" i="5" s="1"/>
  <c r="E1369" i="5" s="1"/>
  <c r="G1372" i="5" s="1"/>
  <c r="G1399" i="5" s="1"/>
  <c r="G1300" i="5"/>
  <c r="G1275" i="5"/>
  <c r="A1275" i="5"/>
  <c r="B1260" i="5"/>
  <c r="C1260" i="5" s="1"/>
  <c r="D1260" i="5" s="1"/>
  <c r="F1260" i="5" s="1"/>
  <c r="B1259" i="5"/>
  <c r="C1259" i="5" s="1"/>
  <c r="D1259" i="5" s="1"/>
  <c r="F1259" i="5" s="1"/>
  <c r="G1256" i="5"/>
  <c r="E1247" i="5"/>
  <c r="E1246" i="5"/>
  <c r="E1245" i="5"/>
  <c r="E1244" i="5"/>
  <c r="E1243" i="5"/>
  <c r="G1231" i="5"/>
  <c r="A1231" i="5"/>
  <c r="B1216" i="5"/>
  <c r="B1215" i="5"/>
  <c r="C1215" i="5" s="1"/>
  <c r="G1212" i="5"/>
  <c r="E1202" i="5"/>
  <c r="E1201" i="5"/>
  <c r="E1200" i="5"/>
  <c r="E1199" i="5"/>
  <c r="G1187" i="5"/>
  <c r="A1187" i="5"/>
  <c r="B1172" i="5"/>
  <c r="B1171" i="5"/>
  <c r="C1171" i="5" s="1"/>
  <c r="G1168" i="5"/>
  <c r="E1158" i="5"/>
  <c r="E1157" i="5"/>
  <c r="E1156" i="5"/>
  <c r="E1155" i="5"/>
  <c r="G1143" i="5"/>
  <c r="A1143" i="5"/>
  <c r="B1128" i="5"/>
  <c r="C1128" i="5" s="1"/>
  <c r="D1128" i="5" s="1"/>
  <c r="F1128" i="5" s="1"/>
  <c r="B1127" i="5"/>
  <c r="C1127" i="5" s="1"/>
  <c r="D1127" i="5" s="1"/>
  <c r="F1127" i="5" s="1"/>
  <c r="G1124" i="5"/>
  <c r="E1112" i="5"/>
  <c r="G1099" i="5"/>
  <c r="A1099" i="5"/>
  <c r="B1084" i="5"/>
  <c r="B1083" i="5"/>
  <c r="G1080" i="5"/>
  <c r="E1072" i="5"/>
  <c r="E1071" i="5"/>
  <c r="C1070" i="5"/>
  <c r="E1070" i="5" s="1"/>
  <c r="C1069" i="5"/>
  <c r="E1069" i="5" s="1"/>
  <c r="C1068" i="5"/>
  <c r="E1068" i="5" s="1"/>
  <c r="C1067" i="5"/>
  <c r="E1067" i="5" s="1"/>
  <c r="G1055" i="5"/>
  <c r="A1055" i="5"/>
  <c r="B952" i="5"/>
  <c r="C952" i="5" s="1"/>
  <c r="B951" i="5"/>
  <c r="C951" i="5" s="1"/>
  <c r="G948" i="5"/>
  <c r="E940" i="5"/>
  <c r="E939" i="5"/>
  <c r="C938" i="5"/>
  <c r="E938" i="5" s="1"/>
  <c r="C937" i="5"/>
  <c r="E937" i="5" s="1"/>
  <c r="C936" i="5"/>
  <c r="E936" i="5" s="1"/>
  <c r="C935" i="5"/>
  <c r="E935" i="5" s="1"/>
  <c r="G923" i="5"/>
  <c r="A923" i="5"/>
  <c r="B909" i="5"/>
  <c r="C909" i="5" s="1"/>
  <c r="D909" i="5" s="1"/>
  <c r="F909" i="5" s="1"/>
  <c r="B908" i="5"/>
  <c r="C908" i="5" s="1"/>
  <c r="D908" i="5" s="1"/>
  <c r="F908" i="5" s="1"/>
  <c r="G905" i="5"/>
  <c r="E895" i="5"/>
  <c r="E894" i="5"/>
  <c r="E893" i="5"/>
  <c r="C892" i="5"/>
  <c r="E892" i="5" s="1"/>
  <c r="G879" i="5"/>
  <c r="A879" i="5"/>
  <c r="B865" i="5"/>
  <c r="C865" i="5" s="1"/>
  <c r="D865" i="5" s="1"/>
  <c r="F865" i="5" s="1"/>
  <c r="B864" i="5"/>
  <c r="C864" i="5" s="1"/>
  <c r="D864" i="5" s="1"/>
  <c r="F864" i="5" s="1"/>
  <c r="G861" i="5"/>
  <c r="E850" i="5"/>
  <c r="C849" i="5"/>
  <c r="E849" i="5" s="1"/>
  <c r="C848" i="5"/>
  <c r="E848" i="5" s="1"/>
  <c r="G835" i="5"/>
  <c r="A835" i="5"/>
  <c r="B820" i="5"/>
  <c r="C820" i="5" s="1"/>
  <c r="D820" i="5" s="1"/>
  <c r="F820" i="5" s="1"/>
  <c r="B819" i="5"/>
  <c r="C819" i="5" s="1"/>
  <c r="D819" i="5" s="1"/>
  <c r="F819" i="5" s="1"/>
  <c r="G816" i="5"/>
  <c r="E806" i="5"/>
  <c r="C805" i="5"/>
  <c r="E805" i="5" s="1"/>
  <c r="C804" i="5"/>
  <c r="G792" i="5"/>
  <c r="A792" i="5"/>
  <c r="B777" i="5"/>
  <c r="B776" i="5"/>
  <c r="G773" i="5"/>
  <c r="E763" i="5"/>
  <c r="C762" i="5"/>
  <c r="E762" i="5" s="1"/>
  <c r="C761" i="5"/>
  <c r="E761" i="5" s="1"/>
  <c r="G749" i="5"/>
  <c r="A749" i="5"/>
  <c r="B735" i="5"/>
  <c r="B734" i="5"/>
  <c r="C734" i="5" s="1"/>
  <c r="G731" i="5"/>
  <c r="E721" i="5"/>
  <c r="C720" i="5"/>
  <c r="E720" i="5" s="1"/>
  <c r="E719" i="5"/>
  <c r="C718" i="5"/>
  <c r="E718" i="5" s="1"/>
  <c r="G705" i="5"/>
  <c r="A705" i="5"/>
  <c r="B691" i="5"/>
  <c r="C691" i="5" s="1"/>
  <c r="B690" i="5"/>
  <c r="C690" i="5" s="1"/>
  <c r="G687" i="5"/>
  <c r="C674" i="5"/>
  <c r="E674" i="5" s="1"/>
  <c r="G680" i="5" s="1"/>
  <c r="G662" i="5"/>
  <c r="A662" i="5"/>
  <c r="B648" i="5"/>
  <c r="C648" i="5" s="1"/>
  <c r="B647" i="5"/>
  <c r="G644" i="5"/>
  <c r="E632" i="5"/>
  <c r="C631" i="5"/>
  <c r="E631" i="5" s="1"/>
  <c r="G619" i="5"/>
  <c r="A619" i="5"/>
  <c r="B604" i="5"/>
  <c r="C604" i="5" s="1"/>
  <c r="B603" i="5"/>
  <c r="C603" i="5" s="1"/>
  <c r="G600" i="5"/>
  <c r="E589" i="5"/>
  <c r="C588" i="5"/>
  <c r="E588" i="5" s="1"/>
  <c r="G575" i="5"/>
  <c r="A575" i="5"/>
  <c r="B560" i="5"/>
  <c r="B559" i="5"/>
  <c r="C559" i="5" s="1"/>
  <c r="D559" i="5" s="1"/>
  <c r="F559" i="5" s="1"/>
  <c r="G556" i="5"/>
  <c r="E545" i="5"/>
  <c r="C544" i="5"/>
  <c r="E544" i="5" s="1"/>
  <c r="G531" i="5"/>
  <c r="A531" i="5"/>
  <c r="B516" i="5"/>
  <c r="B515" i="5"/>
  <c r="G512" i="5"/>
  <c r="E501" i="5"/>
  <c r="C500" i="5"/>
  <c r="E500" i="5" s="1"/>
  <c r="G488" i="5"/>
  <c r="A488" i="5"/>
  <c r="B473" i="5"/>
  <c r="B472" i="5"/>
  <c r="C472" i="5" s="1"/>
  <c r="G469" i="5"/>
  <c r="E458" i="5"/>
  <c r="E457" i="5"/>
  <c r="G444" i="5"/>
  <c r="A444" i="5"/>
  <c r="B429" i="5"/>
  <c r="C429" i="5" s="1"/>
  <c r="B428" i="5"/>
  <c r="G425" i="5"/>
  <c r="E414" i="5"/>
  <c r="E413" i="5"/>
  <c r="G401" i="5"/>
  <c r="A401" i="5"/>
  <c r="B386" i="5"/>
  <c r="C386" i="5" s="1"/>
  <c r="B385" i="5"/>
  <c r="G382" i="5"/>
  <c r="E372" i="5"/>
  <c r="E371" i="5"/>
  <c r="E370" i="5"/>
  <c r="C369" i="5"/>
  <c r="G356" i="5"/>
  <c r="A356" i="5"/>
  <c r="B342" i="5"/>
  <c r="B341" i="5"/>
  <c r="G338" i="5"/>
  <c r="E326" i="5"/>
  <c r="E325" i="5"/>
  <c r="G312" i="5"/>
  <c r="A312" i="5"/>
  <c r="B298" i="5"/>
  <c r="C298" i="5" s="1"/>
  <c r="D298" i="5" s="1"/>
  <c r="F298" i="5" s="1"/>
  <c r="B297" i="5"/>
  <c r="C297" i="5" s="1"/>
  <c r="D297" i="5" s="1"/>
  <c r="F297" i="5" s="1"/>
  <c r="G294" i="5"/>
  <c r="E283" i="5"/>
  <c r="E282" i="5"/>
  <c r="E281" i="5"/>
  <c r="G268" i="5"/>
  <c r="A268" i="5"/>
  <c r="B209" i="5"/>
  <c r="B996" i="5" s="1"/>
  <c r="C996" i="5" s="1"/>
  <c r="D996" i="5" s="1"/>
  <c r="F996" i="5" s="1"/>
  <c r="B208" i="5"/>
  <c r="G205" i="5"/>
  <c r="E195" i="5"/>
  <c r="C194" i="5"/>
  <c r="E194" i="5" s="1"/>
  <c r="C193" i="5"/>
  <c r="G180" i="5"/>
  <c r="A180" i="5"/>
  <c r="C165" i="5"/>
  <c r="D165" i="5" s="1"/>
  <c r="F165" i="5" s="1"/>
  <c r="C164" i="5"/>
  <c r="D164" i="5" s="1"/>
  <c r="F164" i="5" s="1"/>
  <c r="G161" i="5"/>
  <c r="E150" i="5"/>
  <c r="C149" i="5"/>
  <c r="E149" i="5" s="1"/>
  <c r="G136" i="5"/>
  <c r="A136" i="5"/>
  <c r="C120" i="5"/>
  <c r="F120" i="5" s="1"/>
  <c r="C119" i="5"/>
  <c r="F119" i="5" s="1"/>
  <c r="G116" i="5"/>
  <c r="G109" i="5"/>
  <c r="G92" i="5"/>
  <c r="A92" i="5"/>
  <c r="F76" i="5"/>
  <c r="G82" i="5" s="1"/>
  <c r="E54" i="5" s="1"/>
  <c r="G57" i="5" s="1"/>
  <c r="G73" i="5"/>
  <c r="G66" i="5"/>
  <c r="G48" i="5"/>
  <c r="A48" i="5"/>
  <c r="C32" i="5"/>
  <c r="D32" i="5" s="1"/>
  <c r="F32" i="5" s="1"/>
  <c r="G38" i="5" s="1"/>
  <c r="E10" i="5" s="1"/>
  <c r="G13" i="5" s="1"/>
  <c r="G29" i="5"/>
  <c r="G4" i="5"/>
  <c r="B2408" i="4"/>
  <c r="C2408" i="4" s="1"/>
  <c r="D2408" i="4" s="1"/>
  <c r="F2408" i="4" s="1"/>
  <c r="G2414" i="4" s="1"/>
  <c r="E2386" i="4" s="1"/>
  <c r="G2389" i="4" s="1"/>
  <c r="G2405" i="4"/>
  <c r="G2398" i="4"/>
  <c r="G2380" i="4"/>
  <c r="B2365" i="4"/>
  <c r="C2365" i="4" s="1"/>
  <c r="D2365" i="4" s="1"/>
  <c r="F2365" i="4" s="1"/>
  <c r="B2364" i="4"/>
  <c r="C2364" i="4" s="1"/>
  <c r="D2364" i="4" s="1"/>
  <c r="F2364" i="4" s="1"/>
  <c r="G2361" i="4"/>
  <c r="E2349" i="4"/>
  <c r="E2348" i="4"/>
  <c r="G2354" i="4" s="1"/>
  <c r="G2336" i="4"/>
  <c r="G2317" i="4"/>
  <c r="E2305" i="4"/>
  <c r="G2310" i="4" s="1"/>
  <c r="G2328" i="4" s="1"/>
  <c r="G2292" i="4"/>
  <c r="B2277" i="4"/>
  <c r="C2277" i="4" s="1"/>
  <c r="B2276" i="4"/>
  <c r="C2276" i="4" s="1"/>
  <c r="G2273" i="4"/>
  <c r="E2261" i="4"/>
  <c r="E2260" i="4"/>
  <c r="G2248" i="4"/>
  <c r="B2232" i="4"/>
  <c r="D2232" i="4" s="1"/>
  <c r="F2232" i="4" s="1"/>
  <c r="B2231" i="4"/>
  <c r="D2231" i="4" s="1"/>
  <c r="F2231" i="4" s="1"/>
  <c r="G2228" i="4"/>
  <c r="E2218" i="4"/>
  <c r="E2217" i="4"/>
  <c r="E2216" i="4"/>
  <c r="E2215" i="4"/>
  <c r="B2205" i="4"/>
  <c r="G2203" i="4"/>
  <c r="B2187" i="4"/>
  <c r="C2187" i="4" s="1"/>
  <c r="D2187" i="4" s="1"/>
  <c r="F2187" i="4" s="1"/>
  <c r="B2186" i="4"/>
  <c r="G2183" i="4"/>
  <c r="E2176" i="4"/>
  <c r="E2175" i="4"/>
  <c r="E2165" i="4"/>
  <c r="G2158" i="4"/>
  <c r="B2143" i="4"/>
  <c r="C2143" i="4" s="1"/>
  <c r="D2143" i="4" s="1"/>
  <c r="F2143" i="4" s="1"/>
  <c r="B2142" i="4"/>
  <c r="G2139" i="4"/>
  <c r="G2132" i="4"/>
  <c r="G2114" i="4"/>
  <c r="B2099" i="4"/>
  <c r="C2099" i="4" s="1"/>
  <c r="D2099" i="4" s="1"/>
  <c r="F2099" i="4" s="1"/>
  <c r="B2098" i="4"/>
  <c r="C2098" i="4" s="1"/>
  <c r="G2095" i="4"/>
  <c r="E2083" i="4"/>
  <c r="G2088" i="4" s="1"/>
  <c r="G2070" i="4"/>
  <c r="B2055" i="4"/>
  <c r="B2054" i="4"/>
  <c r="C2054" i="4" s="1"/>
  <c r="G2051" i="4"/>
  <c r="D2039" i="4"/>
  <c r="E2039" i="4" s="1"/>
  <c r="E2038" i="4"/>
  <c r="E2033" i="4"/>
  <c r="G2026" i="4"/>
  <c r="B2011" i="4"/>
  <c r="B2010" i="4"/>
  <c r="G2007" i="4"/>
  <c r="E1995" i="4"/>
  <c r="G1982" i="4"/>
  <c r="B1967" i="4"/>
  <c r="B1966" i="4"/>
  <c r="G1963" i="4"/>
  <c r="C1953" i="4"/>
  <c r="E1953" i="4" s="1"/>
  <c r="E1952" i="4"/>
  <c r="D1951" i="4"/>
  <c r="E1950" i="4"/>
  <c r="G1938" i="4"/>
  <c r="B1923" i="4"/>
  <c r="C1923" i="4" s="1"/>
  <c r="D1923" i="4" s="1"/>
  <c r="F1923" i="4" s="1"/>
  <c r="B1922" i="4"/>
  <c r="C1922" i="4" s="1"/>
  <c r="D1922" i="4" s="1"/>
  <c r="F1922" i="4" s="1"/>
  <c r="G1919" i="4"/>
  <c r="C1906" i="4"/>
  <c r="E1906" i="4" s="1"/>
  <c r="G1912" i="4" s="1"/>
  <c r="G1894" i="4"/>
  <c r="B1879" i="4"/>
  <c r="B1878" i="4"/>
  <c r="G1875" i="4"/>
  <c r="E1863" i="4"/>
  <c r="C1862" i="4"/>
  <c r="E1862" i="4" s="1"/>
  <c r="G1868" i="4" s="1"/>
  <c r="G1850" i="4"/>
  <c r="B1835" i="4"/>
  <c r="B1834" i="4"/>
  <c r="G1831" i="4"/>
  <c r="E1820" i="4"/>
  <c r="C1819" i="4"/>
  <c r="E1819" i="4" s="1"/>
  <c r="C1818" i="4"/>
  <c r="E1818" i="4" s="1"/>
  <c r="G1806" i="4"/>
  <c r="B1791" i="4"/>
  <c r="B1790" i="4"/>
  <c r="C1790" i="4" s="1"/>
  <c r="E1783" i="4"/>
  <c r="G1787" i="4" s="1"/>
  <c r="D1774" i="4"/>
  <c r="C1774" i="4"/>
  <c r="G1762" i="4"/>
  <c r="B1747" i="4"/>
  <c r="B1746" i="4"/>
  <c r="E1739" i="4"/>
  <c r="G1743" i="4" s="1"/>
  <c r="D1730" i="4"/>
  <c r="C1730" i="4"/>
  <c r="B1703" i="4"/>
  <c r="B1702" i="4"/>
  <c r="E1695" i="4"/>
  <c r="G1699" i="4" s="1"/>
  <c r="D1686" i="4"/>
  <c r="C1686" i="4"/>
  <c r="G1674" i="4"/>
  <c r="B1659" i="4"/>
  <c r="B1658" i="4"/>
  <c r="E1651" i="4"/>
  <c r="G1655" i="4" s="1"/>
  <c r="D1643" i="4"/>
  <c r="C1643" i="4"/>
  <c r="G1630" i="4"/>
  <c r="B1615" i="4"/>
  <c r="C1615" i="4" s="1"/>
  <c r="D1615" i="4" s="1"/>
  <c r="F1615" i="4" s="1"/>
  <c r="B1614" i="4"/>
  <c r="C1614" i="4" s="1"/>
  <c r="D1614" i="4" s="1"/>
  <c r="F1614" i="4" s="1"/>
  <c r="G1611" i="4"/>
  <c r="D1598" i="4"/>
  <c r="G1586" i="4"/>
  <c r="B1571" i="4"/>
  <c r="C1571" i="4" s="1"/>
  <c r="D1571" i="4" s="1"/>
  <c r="F1571" i="4" s="1"/>
  <c r="B1570" i="4"/>
  <c r="C1570" i="4" s="1"/>
  <c r="D1570" i="4" s="1"/>
  <c r="F1570" i="4" s="1"/>
  <c r="G1567" i="4"/>
  <c r="C1555" i="4"/>
  <c r="E1555" i="4" s="1"/>
  <c r="G1560" i="4" s="1"/>
  <c r="G1542" i="4"/>
  <c r="B824" i="4"/>
  <c r="B868" i="4" s="1"/>
  <c r="B823" i="4"/>
  <c r="G820" i="4"/>
  <c r="E809" i="4"/>
  <c r="C808" i="4"/>
  <c r="E808" i="4" s="1"/>
  <c r="C807" i="4"/>
  <c r="E807" i="4" s="1"/>
  <c r="G795" i="4"/>
  <c r="B781" i="4"/>
  <c r="C781" i="4" s="1"/>
  <c r="B780" i="4"/>
  <c r="C780" i="4" s="1"/>
  <c r="D780" i="4" s="1"/>
  <c r="F780" i="4" s="1"/>
  <c r="G776" i="4"/>
  <c r="E767" i="4"/>
  <c r="C766" i="4"/>
  <c r="E766" i="4" s="1"/>
  <c r="G752" i="4"/>
  <c r="B736" i="4"/>
  <c r="C736" i="4" s="1"/>
  <c r="D736" i="4" s="1"/>
  <c r="F736" i="4" s="1"/>
  <c r="B735" i="4"/>
  <c r="G732" i="4"/>
  <c r="E720" i="4"/>
  <c r="C719" i="4"/>
  <c r="E719" i="4" s="1"/>
  <c r="G725" i="4" s="1"/>
  <c r="G707" i="4"/>
  <c r="B692" i="4"/>
  <c r="C692" i="4" s="1"/>
  <c r="D692" i="4" s="1"/>
  <c r="F692" i="4" s="1"/>
  <c r="B691" i="4"/>
  <c r="C691" i="4" s="1"/>
  <c r="G688" i="4"/>
  <c r="E676" i="4"/>
  <c r="C675" i="4"/>
  <c r="E675" i="4" s="1"/>
  <c r="G663" i="4"/>
  <c r="B648" i="4"/>
  <c r="C648" i="4" s="1"/>
  <c r="B647" i="4"/>
  <c r="C647" i="4" s="1"/>
  <c r="D647" i="4" s="1"/>
  <c r="F647" i="4" s="1"/>
  <c r="G644" i="4"/>
  <c r="E632" i="4"/>
  <c r="C631" i="4"/>
  <c r="E631" i="4" s="1"/>
  <c r="G637" i="4" s="1"/>
  <c r="G619" i="4"/>
  <c r="B604" i="4"/>
  <c r="C604" i="4" s="1"/>
  <c r="D604" i="4" s="1"/>
  <c r="F604" i="4" s="1"/>
  <c r="B603" i="4"/>
  <c r="C603" i="4" s="1"/>
  <c r="G600" i="4"/>
  <c r="E588" i="4"/>
  <c r="C587" i="4"/>
  <c r="E587" i="4" s="1"/>
  <c r="G575" i="4"/>
  <c r="B560" i="4"/>
  <c r="C560" i="4" s="1"/>
  <c r="B559" i="4"/>
  <c r="C559" i="4" s="1"/>
  <c r="D559" i="4" s="1"/>
  <c r="G556" i="4"/>
  <c r="E546" i="4"/>
  <c r="E545" i="4"/>
  <c r="E544" i="4"/>
  <c r="C543" i="4"/>
  <c r="E543" i="4" s="1"/>
  <c r="G531" i="4"/>
  <c r="B516" i="4"/>
  <c r="C516" i="4" s="1"/>
  <c r="B515" i="4"/>
  <c r="G512" i="4"/>
  <c r="E500" i="4"/>
  <c r="C499" i="4"/>
  <c r="E499" i="4" s="1"/>
  <c r="G487" i="4"/>
  <c r="B472" i="4"/>
  <c r="B471" i="4"/>
  <c r="C471" i="4" s="1"/>
  <c r="G468" i="4"/>
  <c r="E460" i="4"/>
  <c r="G461" i="4" s="1"/>
  <c r="G443" i="4"/>
  <c r="B428" i="4"/>
  <c r="B427" i="4"/>
  <c r="C427" i="4" s="1"/>
  <c r="G424" i="4"/>
  <c r="G417" i="4"/>
  <c r="E406" i="4"/>
  <c r="G399" i="4"/>
  <c r="B385" i="4"/>
  <c r="B429" i="4" s="1"/>
  <c r="B473" i="4" s="1"/>
  <c r="B384" i="4"/>
  <c r="C384" i="4" s="1"/>
  <c r="D384" i="4" s="1"/>
  <c r="F384" i="4" s="1"/>
  <c r="B383" i="4"/>
  <c r="C383" i="4" s="1"/>
  <c r="D383" i="4" s="1"/>
  <c r="F383" i="4" s="1"/>
  <c r="G380" i="4"/>
  <c r="G374" i="4"/>
  <c r="K371" i="4"/>
  <c r="I371" i="4"/>
  <c r="J369" i="4"/>
  <c r="G355" i="4"/>
  <c r="C341" i="4"/>
  <c r="D341" i="4" s="1"/>
  <c r="F341" i="4" s="1"/>
  <c r="B340" i="4"/>
  <c r="C340" i="4" s="1"/>
  <c r="D340" i="4" s="1"/>
  <c r="F340" i="4" s="1"/>
  <c r="B339" i="4"/>
  <c r="G336" i="4"/>
  <c r="G329" i="4"/>
  <c r="G311" i="4"/>
  <c r="B296" i="4"/>
  <c r="B295" i="4"/>
  <c r="G292" i="4"/>
  <c r="E280" i="4"/>
  <c r="G267" i="4"/>
  <c r="B252" i="4"/>
  <c r="C252" i="4" s="1"/>
  <c r="D252" i="4" s="1"/>
  <c r="F252" i="4" s="1"/>
  <c r="B251" i="4"/>
  <c r="C251" i="4" s="1"/>
  <c r="D251" i="4" s="1"/>
  <c r="F251" i="4" s="1"/>
  <c r="G248" i="4"/>
  <c r="G223" i="4"/>
  <c r="B208" i="4"/>
  <c r="B207" i="4"/>
  <c r="G204" i="4"/>
  <c r="C193" i="4"/>
  <c r="E193" i="4" s="1"/>
  <c r="D192" i="4"/>
  <c r="C192" i="4"/>
  <c r="G180" i="4"/>
  <c r="B165" i="4"/>
  <c r="B164" i="4"/>
  <c r="G161" i="4"/>
  <c r="D149" i="4"/>
  <c r="C149" i="4"/>
  <c r="D148" i="4"/>
  <c r="C148" i="4"/>
  <c r="E148" i="4" s="1"/>
  <c r="G136" i="4"/>
  <c r="B121" i="4"/>
  <c r="C120" i="4"/>
  <c r="D120" i="4" s="1"/>
  <c r="F120" i="4" s="1"/>
  <c r="G117" i="4"/>
  <c r="C104" i="4"/>
  <c r="E104" i="4" s="1"/>
  <c r="G110" i="4" s="1"/>
  <c r="G92" i="4"/>
  <c r="B76" i="4"/>
  <c r="C76" i="4" s="1"/>
  <c r="D76" i="4" s="1"/>
  <c r="F76" i="4" s="1"/>
  <c r="G82" i="4" s="1"/>
  <c r="E54" i="4" s="1"/>
  <c r="G57" i="4" s="1"/>
  <c r="G73" i="4"/>
  <c r="G66" i="4"/>
  <c r="G48" i="4"/>
  <c r="C33" i="4"/>
  <c r="D33" i="4" s="1"/>
  <c r="F33" i="4" s="1"/>
  <c r="C32" i="4"/>
  <c r="D32" i="4" s="1"/>
  <c r="F32" i="4" s="1"/>
  <c r="G29" i="4"/>
  <c r="G22" i="4"/>
  <c r="J18" i="4"/>
  <c r="J19" i="4" s="1"/>
  <c r="I18" i="4"/>
  <c r="J17" i="4"/>
  <c r="I17" i="4"/>
  <c r="J16" i="4"/>
  <c r="I16" i="4"/>
  <c r="G4" i="4"/>
  <c r="G838" i="3"/>
  <c r="G831" i="3"/>
  <c r="G812" i="3"/>
  <c r="A812" i="3"/>
  <c r="G792" i="3"/>
  <c r="E780" i="3"/>
  <c r="C779" i="3"/>
  <c r="E779" i="3" s="1"/>
  <c r="G785" i="3" s="1"/>
  <c r="G767" i="3"/>
  <c r="A767" i="3"/>
  <c r="G747" i="3"/>
  <c r="G740" i="3"/>
  <c r="G722" i="3"/>
  <c r="A722" i="3"/>
  <c r="B707" i="3"/>
  <c r="G703" i="3"/>
  <c r="E694" i="3"/>
  <c r="G696" i="3" s="1"/>
  <c r="G678" i="3"/>
  <c r="A678" i="3"/>
  <c r="G659" i="3"/>
  <c r="E650" i="3"/>
  <c r="G652" i="3" s="1"/>
  <c r="G634" i="3"/>
  <c r="A634" i="3"/>
  <c r="G615" i="3"/>
  <c r="G608" i="3"/>
  <c r="E603" i="3"/>
  <c r="C602" i="3"/>
  <c r="E602" i="3" s="1"/>
  <c r="G589" i="3"/>
  <c r="A589" i="3"/>
  <c r="G569" i="3"/>
  <c r="E557" i="3"/>
  <c r="C556" i="3"/>
  <c r="E556" i="3" s="1"/>
  <c r="G562" i="3" s="1"/>
  <c r="G543" i="3"/>
  <c r="A543" i="3"/>
  <c r="B526" i="3"/>
  <c r="G523" i="3"/>
  <c r="E511" i="3"/>
  <c r="E510" i="3"/>
  <c r="G516" i="3" s="1"/>
  <c r="C510" i="3"/>
  <c r="G497" i="3"/>
  <c r="A497" i="3"/>
  <c r="G477" i="3"/>
  <c r="E465" i="3"/>
  <c r="C464" i="3"/>
  <c r="E464" i="3" s="1"/>
  <c r="G470" i="3" s="1"/>
  <c r="G451" i="3"/>
  <c r="A451" i="3"/>
  <c r="G431" i="3"/>
  <c r="E421" i="3"/>
  <c r="E420" i="3"/>
  <c r="E419" i="3"/>
  <c r="E418" i="3"/>
  <c r="G424" i="3" s="1"/>
  <c r="C418" i="3"/>
  <c r="G405" i="3"/>
  <c r="A405" i="3"/>
  <c r="G385" i="3"/>
  <c r="E373" i="3"/>
  <c r="G378" i="3" s="1"/>
  <c r="E372" i="3"/>
  <c r="G359" i="3"/>
  <c r="A359" i="3"/>
  <c r="G339" i="3"/>
  <c r="E328" i="3"/>
  <c r="G332" i="3" s="1"/>
  <c r="E327" i="3"/>
  <c r="E326" i="3"/>
  <c r="G315" i="3"/>
  <c r="A315" i="3"/>
  <c r="G296" i="3"/>
  <c r="E285" i="3"/>
  <c r="C284" i="3"/>
  <c r="E284" i="3" s="1"/>
  <c r="E283" i="3"/>
  <c r="G289" i="3" s="1"/>
  <c r="C283" i="3"/>
  <c r="G272" i="3"/>
  <c r="A272" i="3"/>
  <c r="G252" i="3"/>
  <c r="G245" i="3"/>
  <c r="E240" i="3"/>
  <c r="C239" i="3"/>
  <c r="E239" i="3" s="1"/>
  <c r="G227" i="3"/>
  <c r="A227" i="3"/>
  <c r="B212" i="3"/>
  <c r="C212" i="3" s="1"/>
  <c r="D212" i="3" s="1"/>
  <c r="F212" i="3" s="1"/>
  <c r="G207" i="3"/>
  <c r="C198" i="3"/>
  <c r="E198" i="3" s="1"/>
  <c r="G200" i="3" s="1"/>
  <c r="G183" i="3"/>
  <c r="A183" i="3"/>
  <c r="G164" i="3"/>
  <c r="E152" i="3"/>
  <c r="G139" i="3"/>
  <c r="A139" i="3"/>
  <c r="B124" i="3"/>
  <c r="B123" i="3"/>
  <c r="G120" i="3"/>
  <c r="E116" i="3"/>
  <c r="E109" i="3"/>
  <c r="C109" i="3"/>
  <c r="E108" i="3"/>
  <c r="E107" i="3"/>
  <c r="G95" i="3"/>
  <c r="A95" i="3"/>
  <c r="B78" i="3"/>
  <c r="C78" i="3" s="1"/>
  <c r="D78" i="3" s="1"/>
  <c r="F78" i="3" s="1"/>
  <c r="B77" i="3"/>
  <c r="C77" i="3" s="1"/>
  <c r="D77" i="3" s="1"/>
  <c r="F77" i="3" s="1"/>
  <c r="G83" i="3" s="1"/>
  <c r="E55" i="3" s="1"/>
  <c r="G58" i="3" s="1"/>
  <c r="G85" i="3" s="1"/>
  <c r="G74" i="3"/>
  <c r="G67" i="3"/>
  <c r="E61" i="3"/>
  <c r="G49" i="3"/>
  <c r="A49" i="3"/>
  <c r="D32" i="3"/>
  <c r="F32" i="3" s="1"/>
  <c r="G38" i="3" s="1"/>
  <c r="E10" i="3" s="1"/>
  <c r="G13" i="3" s="1"/>
  <c r="G40" i="3" s="1"/>
  <c r="C32" i="3"/>
  <c r="B32" i="3"/>
  <c r="G29" i="3"/>
  <c r="G22" i="3"/>
  <c r="G4" i="3"/>
  <c r="B736" i="2"/>
  <c r="C736" i="2" s="1"/>
  <c r="D736" i="2" s="1"/>
  <c r="F736" i="2" s="1"/>
  <c r="G742" i="2" s="1"/>
  <c r="E714" i="2" s="1"/>
  <c r="G717" i="2" s="1"/>
  <c r="G733" i="2"/>
  <c r="G726" i="2"/>
  <c r="G708" i="2"/>
  <c r="A708" i="2"/>
  <c r="B693" i="2"/>
  <c r="B781" i="2" s="1"/>
  <c r="B692" i="2"/>
  <c r="B780" i="2" s="1"/>
  <c r="C780" i="2" s="1"/>
  <c r="D780" i="2" s="1"/>
  <c r="F780" i="2" s="1"/>
  <c r="G689" i="2"/>
  <c r="E677" i="2"/>
  <c r="G682" i="2" s="1"/>
  <c r="C676" i="2"/>
  <c r="G664" i="2"/>
  <c r="A664" i="2"/>
  <c r="B649" i="2"/>
  <c r="C649" i="2" s="1"/>
  <c r="D649" i="2" s="1"/>
  <c r="F649" i="2" s="1"/>
  <c r="B648" i="2"/>
  <c r="G645" i="2"/>
  <c r="E635" i="2"/>
  <c r="E634" i="2"/>
  <c r="C634" i="2"/>
  <c r="C633" i="2"/>
  <c r="E633" i="2" s="1"/>
  <c r="E632" i="2"/>
  <c r="G638" i="2" s="1"/>
  <c r="D632" i="2"/>
  <c r="C632" i="2"/>
  <c r="G620" i="2"/>
  <c r="A620" i="2"/>
  <c r="B605" i="2"/>
  <c r="C605" i="2" s="1"/>
  <c r="B604" i="2"/>
  <c r="C604" i="2" s="1"/>
  <c r="G601" i="2"/>
  <c r="E589" i="2"/>
  <c r="E588" i="2"/>
  <c r="G576" i="2"/>
  <c r="A576" i="2"/>
  <c r="B561" i="2"/>
  <c r="C561" i="2" s="1"/>
  <c r="B560" i="2"/>
  <c r="C560" i="2" s="1"/>
  <c r="G557" i="2"/>
  <c r="G550" i="2"/>
  <c r="G532" i="2"/>
  <c r="A532" i="2"/>
  <c r="B517" i="2"/>
  <c r="B516" i="2"/>
  <c r="C516" i="2" s="1"/>
  <c r="D516" i="2" s="1"/>
  <c r="F516" i="2" s="1"/>
  <c r="G513" i="2"/>
  <c r="E501" i="2"/>
  <c r="G488" i="2"/>
  <c r="A488" i="2"/>
  <c r="B473" i="2"/>
  <c r="C473" i="2" s="1"/>
  <c r="D473" i="2" s="1"/>
  <c r="F473" i="2" s="1"/>
  <c r="B472" i="2"/>
  <c r="C472" i="2" s="1"/>
  <c r="D472" i="2" s="1"/>
  <c r="F472" i="2" s="1"/>
  <c r="G469" i="2"/>
  <c r="E458" i="2"/>
  <c r="C457" i="2"/>
  <c r="E457" i="2" s="1"/>
  <c r="E456" i="2"/>
  <c r="G444" i="2"/>
  <c r="A444" i="2"/>
  <c r="B429" i="2"/>
  <c r="B428" i="2"/>
  <c r="G425" i="2"/>
  <c r="E412" i="2"/>
  <c r="G418" i="2" s="1"/>
  <c r="G400" i="2"/>
  <c r="A400" i="2"/>
  <c r="B385" i="2"/>
  <c r="B384" i="2"/>
  <c r="G381" i="2"/>
  <c r="J375" i="2"/>
  <c r="E369" i="2"/>
  <c r="G356" i="2"/>
  <c r="A356" i="2"/>
  <c r="B341" i="2"/>
  <c r="C341" i="2" s="1"/>
  <c r="D341" i="2" s="1"/>
  <c r="F341" i="2" s="1"/>
  <c r="B340" i="2"/>
  <c r="C340" i="2" s="1"/>
  <c r="D340" i="2" s="1"/>
  <c r="F340" i="2" s="1"/>
  <c r="G337" i="2"/>
  <c r="E325" i="2"/>
  <c r="C324" i="2"/>
  <c r="E279" i="4" s="1"/>
  <c r="G312" i="2"/>
  <c r="A312" i="2"/>
  <c r="C297" i="2"/>
  <c r="D297" i="2" s="1"/>
  <c r="F297" i="2" s="1"/>
  <c r="B296" i="2"/>
  <c r="C296" i="2" s="1"/>
  <c r="D296" i="2" s="1"/>
  <c r="F296" i="2" s="1"/>
  <c r="G293" i="2"/>
  <c r="E281" i="2"/>
  <c r="C280" i="2"/>
  <c r="G268" i="2"/>
  <c r="A268" i="2"/>
  <c r="B253" i="2"/>
  <c r="B252" i="2"/>
  <c r="G249" i="2"/>
  <c r="E239" i="2"/>
  <c r="C239" i="2"/>
  <c r="C238" i="4" s="1"/>
  <c r="E238" i="4" s="1"/>
  <c r="C238" i="2"/>
  <c r="E237" i="2"/>
  <c r="C237" i="2"/>
  <c r="C236" i="2"/>
  <c r="G224" i="2"/>
  <c r="A224" i="2"/>
  <c r="B209" i="2"/>
  <c r="B208" i="2"/>
  <c r="G205" i="2"/>
  <c r="E196" i="2"/>
  <c r="E195" i="2"/>
  <c r="E194" i="2"/>
  <c r="D193" i="2"/>
  <c r="E193" i="2" s="1"/>
  <c r="D192" i="2"/>
  <c r="E192" i="2" s="1"/>
  <c r="G180" i="2"/>
  <c r="A180" i="2"/>
  <c r="B165" i="2"/>
  <c r="C165" i="2" s="1"/>
  <c r="D165" i="2" s="1"/>
  <c r="F165" i="2" s="1"/>
  <c r="B164" i="2"/>
  <c r="C164" i="2" s="1"/>
  <c r="D164" i="2" s="1"/>
  <c r="F164" i="2" s="1"/>
  <c r="G161" i="2"/>
  <c r="E148" i="2"/>
  <c r="G154" i="2" s="1"/>
  <c r="G136" i="2"/>
  <c r="A136" i="2"/>
  <c r="B120" i="2"/>
  <c r="C120" i="2" s="1"/>
  <c r="D120" i="2" s="1"/>
  <c r="F120" i="2" s="1"/>
  <c r="G126" i="2" s="1"/>
  <c r="E98" i="2" s="1"/>
  <c r="G101" i="2" s="1"/>
  <c r="G117" i="2"/>
  <c r="G110" i="2"/>
  <c r="G92" i="2"/>
  <c r="A92" i="2"/>
  <c r="B77" i="2"/>
  <c r="C77" i="2" s="1"/>
  <c r="B76" i="2"/>
  <c r="C76" i="2" s="1"/>
  <c r="G73" i="2"/>
  <c r="E62" i="2"/>
  <c r="E61" i="2"/>
  <c r="E60" i="2"/>
  <c r="K56" i="2"/>
  <c r="J56" i="2"/>
  <c r="G48" i="2"/>
  <c r="A48" i="2"/>
  <c r="A752" i="2" s="1"/>
  <c r="D33" i="2"/>
  <c r="F33" i="2" s="1"/>
  <c r="I32" i="2"/>
  <c r="J32" i="2"/>
  <c r="D32" i="2"/>
  <c r="F32" i="2" s="1"/>
  <c r="G4" i="2"/>
  <c r="D133" i="1"/>
  <c r="I126" i="1"/>
  <c r="J126" i="1" s="1"/>
  <c r="D126" i="1"/>
  <c r="I124" i="1"/>
  <c r="O120" i="1"/>
  <c r="D120" i="1"/>
  <c r="O118" i="1"/>
  <c r="I115" i="1"/>
  <c r="I114" i="1" s="1"/>
  <c r="I113" i="1" s="1"/>
  <c r="J113" i="1" s="1"/>
  <c r="I120" i="1" s="1" a="1"/>
  <c r="I120" i="1" s="1"/>
  <c r="I112" i="1"/>
  <c r="J111" i="1"/>
  <c r="L63" i="1"/>
  <c r="L62" i="1"/>
  <c r="J61" i="1"/>
  <c r="L61" i="1" s="1"/>
  <c r="J60" i="1"/>
  <c r="L60" i="1" s="1"/>
  <c r="I60" i="1"/>
  <c r="N59" i="1"/>
  <c r="L59" i="1"/>
  <c r="N58" i="1"/>
  <c r="L58" i="1"/>
  <c r="E30" i="1"/>
  <c r="F30" i="1" s="1"/>
  <c r="E29" i="1"/>
  <c r="F29" i="1" s="1"/>
  <c r="D14" i="1"/>
  <c r="I13" i="1"/>
  <c r="I12" i="1"/>
  <c r="I5" i="1"/>
  <c r="I6" i="1" s="1"/>
  <c r="J6" i="1" s="1"/>
  <c r="C23" i="7" a="1"/>
  <c r="C23" i="7" s="1"/>
  <c r="G2416" i="4" l="1"/>
  <c r="G2418" i="4" s="1"/>
  <c r="G2420" i="4" s="1"/>
  <c r="E111" i="1" s="1"/>
  <c r="G128" i="2"/>
  <c r="G462" i="2"/>
  <c r="G744" i="2"/>
  <c r="C781" i="2"/>
  <c r="D781" i="2" s="1"/>
  <c r="F781" i="2" s="1"/>
  <c r="B168" i="3"/>
  <c r="G286" i="2"/>
  <c r="E280" i="2"/>
  <c r="G66" i="2"/>
  <c r="G594" i="2"/>
  <c r="C1303" i="5"/>
  <c r="G505" i="5"/>
  <c r="E193" i="5"/>
  <c r="J243" i="5"/>
  <c r="J244" i="5" s="1"/>
  <c r="G898" i="5"/>
  <c r="A1363" i="5"/>
  <c r="A967" i="5"/>
  <c r="B253" i="5"/>
  <c r="C253" i="5" s="1"/>
  <c r="D253" i="5" s="1"/>
  <c r="F253" i="5" s="1"/>
  <c r="B995" i="5"/>
  <c r="C995" i="5" s="1"/>
  <c r="D995" i="5" s="1"/>
  <c r="F995" i="5" s="1"/>
  <c r="G1001" i="5" s="1"/>
  <c r="E973" i="5" s="1"/>
  <c r="G976" i="5" s="1"/>
  <c r="G1003" i="5" s="1"/>
  <c r="F149" i="1"/>
  <c r="G1401" i="5"/>
  <c r="G1403" i="5" s="1"/>
  <c r="D561" i="2"/>
  <c r="F561" i="2" s="1"/>
  <c r="G170" i="2"/>
  <c r="E142" i="2" s="1"/>
  <c r="G145" i="2" s="1"/>
  <c r="G172" i="2" s="1"/>
  <c r="G786" i="2"/>
  <c r="E758" i="2" s="1"/>
  <c r="G761" i="2" s="1"/>
  <c r="G788" i="2" s="1"/>
  <c r="G346" i="2"/>
  <c r="E318" i="2" s="1"/>
  <c r="G321" i="2" s="1"/>
  <c r="G302" i="2"/>
  <c r="E274" i="2" s="1"/>
  <c r="G277" i="2" s="1"/>
  <c r="G38" i="2"/>
  <c r="E10" i="2" s="1"/>
  <c r="G13" i="2" s="1"/>
  <c r="G40" i="2" s="1"/>
  <c r="C692" i="2"/>
  <c r="E369" i="5"/>
  <c r="J369" i="5"/>
  <c r="G637" i="5"/>
  <c r="C209" i="5"/>
  <c r="B254" i="5"/>
  <c r="C254" i="5" s="1"/>
  <c r="D254" i="5" s="1"/>
  <c r="F254" i="5" s="1"/>
  <c r="G258" i="5" s="1"/>
  <c r="E231" i="5" s="1"/>
  <c r="G234" i="5" s="1"/>
  <c r="G260" i="5" s="1"/>
  <c r="G550" i="5"/>
  <c r="G825" i="5"/>
  <c r="E798" i="5" s="1"/>
  <c r="G801" i="5" s="1"/>
  <c r="G257" i="4"/>
  <c r="E229" i="4" s="1"/>
  <c r="G232" i="4" s="1"/>
  <c r="G375" i="5"/>
  <c r="G331" i="5"/>
  <c r="G724" i="5"/>
  <c r="G913" i="5"/>
  <c r="E886" i="5" s="1"/>
  <c r="G889" i="5" s="1"/>
  <c r="G915" i="5" s="1"/>
  <c r="D209" i="5"/>
  <c r="F209" i="5" s="1"/>
  <c r="D472" i="5"/>
  <c r="F472" i="5" s="1"/>
  <c r="D691" i="5"/>
  <c r="F691" i="5" s="1"/>
  <c r="G1133" i="5"/>
  <c r="E1105" i="5" s="1"/>
  <c r="G1108" i="5" s="1"/>
  <c r="D429" i="5"/>
  <c r="F429" i="5" s="1"/>
  <c r="G462" i="5"/>
  <c r="D952" i="5"/>
  <c r="F952" i="5" s="1"/>
  <c r="G1355" i="5"/>
  <c r="G84" i="5"/>
  <c r="G810" i="5"/>
  <c r="G854" i="5"/>
  <c r="G40" i="5"/>
  <c r="C342" i="5"/>
  <c r="D342" i="5" s="1"/>
  <c r="F342" i="5" s="1"/>
  <c r="C385" i="5"/>
  <c r="D385" i="5" s="1"/>
  <c r="F385" i="5" s="1"/>
  <c r="D516" i="5"/>
  <c r="F516" i="5" s="1"/>
  <c r="C516" i="5"/>
  <c r="C735" i="5"/>
  <c r="D735" i="5" s="1"/>
  <c r="F735" i="5" s="1"/>
  <c r="C341" i="5"/>
  <c r="D341" i="5" s="1"/>
  <c r="F341" i="5" s="1"/>
  <c r="C647" i="5"/>
  <c r="D647" i="5" s="1"/>
  <c r="F647" i="5" s="1"/>
  <c r="G941" i="5"/>
  <c r="G1249" i="5"/>
  <c r="C515" i="5"/>
  <c r="D515" i="5" s="1"/>
  <c r="F515" i="5" s="1"/>
  <c r="C560" i="5"/>
  <c r="D560" i="5" s="1"/>
  <c r="F560" i="5" s="1"/>
  <c r="G565" i="5" s="1"/>
  <c r="E538" i="5" s="1"/>
  <c r="G541" i="5" s="1"/>
  <c r="G567" i="5" s="1"/>
  <c r="D690" i="5"/>
  <c r="F690" i="5" s="1"/>
  <c r="D951" i="5"/>
  <c r="F951" i="5" s="1"/>
  <c r="C1304" i="5"/>
  <c r="D1304" i="5" s="1"/>
  <c r="F1304" i="5" s="1"/>
  <c r="G287" i="5"/>
  <c r="D386" i="5"/>
  <c r="F386" i="5" s="1"/>
  <c r="G418" i="5"/>
  <c r="D648" i="5"/>
  <c r="F648" i="5" s="1"/>
  <c r="D734" i="5"/>
  <c r="F734" i="5" s="1"/>
  <c r="D1303" i="5"/>
  <c r="F1303" i="5" s="1"/>
  <c r="D2276" i="4"/>
  <c r="F2276" i="4" s="1"/>
  <c r="G549" i="4"/>
  <c r="G593" i="4"/>
  <c r="E1643" i="4"/>
  <c r="G1648" i="4" s="1"/>
  <c r="G2176" i="4"/>
  <c r="G2330" i="4"/>
  <c r="E109" i="1"/>
  <c r="F109" i="1" s="1"/>
  <c r="C823" i="4"/>
  <c r="D823" i="4" s="1"/>
  <c r="F823" i="4" s="1"/>
  <c r="B867" i="4"/>
  <c r="G84" i="4"/>
  <c r="D428" i="4"/>
  <c r="F428" i="4" s="1"/>
  <c r="D735" i="4"/>
  <c r="F735" i="4" s="1"/>
  <c r="G741" i="4" s="1"/>
  <c r="E713" i="4" s="1"/>
  <c r="G716" i="4" s="1"/>
  <c r="G743" i="4" s="1"/>
  <c r="B912" i="4"/>
  <c r="C868" i="4"/>
  <c r="D868" i="4" s="1"/>
  <c r="F868" i="4" s="1"/>
  <c r="J371" i="4"/>
  <c r="C385" i="4"/>
  <c r="D385" i="4" s="1"/>
  <c r="F385" i="4" s="1"/>
  <c r="G389" i="4" s="1"/>
  <c r="E362" i="4" s="1"/>
  <c r="G365" i="4" s="1"/>
  <c r="G391" i="4" s="1"/>
  <c r="C428" i="4"/>
  <c r="D603" i="4"/>
  <c r="F603" i="4" s="1"/>
  <c r="C735" i="4"/>
  <c r="G769" i="4"/>
  <c r="G2266" i="4"/>
  <c r="G681" i="4"/>
  <c r="D691" i="4"/>
  <c r="F691" i="4" s="1"/>
  <c r="D2098" i="4"/>
  <c r="F2098" i="4" s="1"/>
  <c r="G2104" i="4" s="1"/>
  <c r="E2076" i="4" s="1"/>
  <c r="G2079" i="4" s="1"/>
  <c r="G2106" i="4" s="1"/>
  <c r="D2277" i="4"/>
  <c r="F2277" i="4" s="1"/>
  <c r="G38" i="4"/>
  <c r="E10" i="4" s="1"/>
  <c r="G13" i="4" s="1"/>
  <c r="G40" i="4" s="1"/>
  <c r="F54" i="1" s="1"/>
  <c r="D427" i="4"/>
  <c r="F427" i="4" s="1"/>
  <c r="D1790" i="4"/>
  <c r="F1790" i="4" s="1"/>
  <c r="E149" i="4"/>
  <c r="C339" i="4"/>
  <c r="D339" i="4" s="1"/>
  <c r="F339" i="4" s="1"/>
  <c r="G345" i="4" s="1"/>
  <c r="E1730" i="4"/>
  <c r="G1736" i="4" s="1"/>
  <c r="G1824" i="4"/>
  <c r="C2142" i="4"/>
  <c r="D2142" i="4" s="1"/>
  <c r="F2142" i="4" s="1"/>
  <c r="G2148" i="4" s="1"/>
  <c r="E2120" i="4" s="1"/>
  <c r="G2123" i="4" s="1"/>
  <c r="G2150" i="4" s="1"/>
  <c r="C2186" i="4"/>
  <c r="D2186" i="4" s="1"/>
  <c r="F2186" i="4" s="1"/>
  <c r="G2370" i="4"/>
  <c r="C1791" i="4"/>
  <c r="D1791" i="4" s="1"/>
  <c r="F1791" i="4" s="1"/>
  <c r="G1576" i="4"/>
  <c r="E1549" i="4" s="1"/>
  <c r="G1552" i="4" s="1"/>
  <c r="G1578" i="4" s="1"/>
  <c r="E92" i="1" s="1"/>
  <c r="F92" i="1" s="1"/>
  <c r="E192" i="4"/>
  <c r="D560" i="4"/>
  <c r="F560" i="4" s="1"/>
  <c r="G565" i="4" s="1"/>
  <c r="E537" i="4" s="1"/>
  <c r="G540" i="4" s="1"/>
  <c r="G567" i="4" s="1"/>
  <c r="D648" i="4"/>
  <c r="F648" i="4" s="1"/>
  <c r="G653" i="4" s="1"/>
  <c r="E625" i="4" s="1"/>
  <c r="G628" i="4" s="1"/>
  <c r="G655" i="4" s="1"/>
  <c r="D781" i="4"/>
  <c r="F781" i="4" s="1"/>
  <c r="G787" i="4" s="1"/>
  <c r="E759" i="4" s="1"/>
  <c r="G762" i="4" s="1"/>
  <c r="E1686" i="4"/>
  <c r="G1692" i="4" s="1"/>
  <c r="E1774" i="4"/>
  <c r="G1780" i="4" s="1"/>
  <c r="M59" i="1"/>
  <c r="P59" i="1" s="1"/>
  <c r="G746" i="2"/>
  <c r="G748" i="2" s="1"/>
  <c r="E23" i="1" s="1"/>
  <c r="F23" i="1" s="1"/>
  <c r="G87" i="3"/>
  <c r="G89" i="3"/>
  <c r="G130" i="2"/>
  <c r="G132" i="2" s="1"/>
  <c r="E8" i="1" s="1"/>
  <c r="F8" i="1" s="1"/>
  <c r="C197" i="2"/>
  <c r="E197" i="2" s="1"/>
  <c r="G198" i="2" s="1"/>
  <c r="C2040" i="4" s="1"/>
  <c r="E2040" i="4" s="1"/>
  <c r="G2044" i="4" s="1"/>
  <c r="M60" i="1"/>
  <c r="M58" i="1"/>
  <c r="G478" i="2"/>
  <c r="E450" i="2" s="1"/>
  <c r="G453" i="2" s="1"/>
  <c r="G480" i="2" s="1"/>
  <c r="G42" i="3"/>
  <c r="G44" i="3" s="1"/>
  <c r="D707" i="3"/>
  <c r="F707" i="3" s="1"/>
  <c r="C707" i="3"/>
  <c r="C1287" i="5"/>
  <c r="E1287" i="5" s="1"/>
  <c r="C235" i="4"/>
  <c r="E235" i="4" s="1"/>
  <c r="C1289" i="5"/>
  <c r="E1289" i="5" s="1"/>
  <c r="C1203" i="5"/>
  <c r="E1203" i="5" s="1"/>
  <c r="G1205" i="5" s="1"/>
  <c r="C237" i="4"/>
  <c r="E237" i="4" s="1"/>
  <c r="C429" i="2"/>
  <c r="D429" i="2" s="1"/>
  <c r="F429" i="2" s="1"/>
  <c r="D560" i="2"/>
  <c r="F560" i="2" s="1"/>
  <c r="D605" i="2"/>
  <c r="F605" i="2" s="1"/>
  <c r="C648" i="2"/>
  <c r="D648" i="2" s="1"/>
  <c r="F648" i="2" s="1"/>
  <c r="G654" i="2" s="1"/>
  <c r="E626" i="2" s="1"/>
  <c r="G629" i="2" s="1"/>
  <c r="G656" i="2" s="1"/>
  <c r="G113" i="3"/>
  <c r="B796" i="3"/>
  <c r="B481" i="3"/>
  <c r="B389" i="3"/>
  <c r="B343" i="3"/>
  <c r="B256" i="3"/>
  <c r="B751" i="3"/>
  <c r="B619" i="3"/>
  <c r="B435" i="3"/>
  <c r="B300" i="3"/>
  <c r="B211" i="3"/>
  <c r="C124" i="3"/>
  <c r="D124" i="3" s="1"/>
  <c r="F124" i="3" s="1"/>
  <c r="B841" i="3"/>
  <c r="B663" i="3"/>
  <c r="B573" i="3"/>
  <c r="D526" i="3"/>
  <c r="F526" i="3" s="1"/>
  <c r="C526" i="3"/>
  <c r="D76" i="2"/>
  <c r="F76" i="2" s="1"/>
  <c r="D77" i="2"/>
  <c r="F77" i="2" s="1"/>
  <c r="C208" i="2"/>
  <c r="D208" i="2" s="1"/>
  <c r="F208" i="2" s="1"/>
  <c r="C209" i="2"/>
  <c r="D209" i="2" s="1"/>
  <c r="F209" i="2" s="1"/>
  <c r="E236" i="2"/>
  <c r="E238" i="2"/>
  <c r="C252" i="2"/>
  <c r="D252" i="2" s="1"/>
  <c r="F252" i="2" s="1"/>
  <c r="C253" i="2"/>
  <c r="D253" i="2" s="1"/>
  <c r="F253" i="2" s="1"/>
  <c r="G285" i="4"/>
  <c r="C384" i="2"/>
  <c r="D384" i="2" s="1"/>
  <c r="F384" i="2" s="1"/>
  <c r="C385" i="2"/>
  <c r="D385" i="2" s="1"/>
  <c r="F385" i="2" s="1"/>
  <c r="C428" i="2"/>
  <c r="D428" i="2" s="1"/>
  <c r="F428" i="2" s="1"/>
  <c r="C517" i="2"/>
  <c r="D517" i="2" s="1"/>
  <c r="F517" i="2" s="1"/>
  <c r="G522" i="2" s="1"/>
  <c r="E494" i="2" s="1"/>
  <c r="G497" i="2" s="1"/>
  <c r="D604" i="2"/>
  <c r="F604" i="2" s="1"/>
  <c r="C693" i="2"/>
  <c r="D693" i="2" s="1"/>
  <c r="F693" i="2" s="1"/>
  <c r="B527" i="3"/>
  <c r="G154" i="4"/>
  <c r="C1598" i="4"/>
  <c r="E1598" i="4" s="1"/>
  <c r="G1604" i="4" s="1"/>
  <c r="C236" i="4"/>
  <c r="E236" i="4" s="1"/>
  <c r="C1288" i="5"/>
  <c r="E1288" i="5" s="1"/>
  <c r="E324" i="2"/>
  <c r="G330" i="2" s="1"/>
  <c r="D692" i="2"/>
  <c r="F692" i="2" s="1"/>
  <c r="B795" i="3"/>
  <c r="B480" i="3"/>
  <c r="B388" i="3"/>
  <c r="B342" i="3"/>
  <c r="B255" i="3"/>
  <c r="B750" i="3"/>
  <c r="B618" i="3"/>
  <c r="B434" i="3"/>
  <c r="B299" i="3"/>
  <c r="B210" i="3"/>
  <c r="C123" i="3"/>
  <c r="D123" i="3" s="1"/>
  <c r="F123" i="3" s="1"/>
  <c r="G129" i="3" s="1"/>
  <c r="E101" i="3" s="1"/>
  <c r="G104" i="3" s="1"/>
  <c r="G131" i="3" s="1"/>
  <c r="B662" i="3"/>
  <c r="B572" i="3"/>
  <c r="B706" i="3"/>
  <c r="C194" i="4"/>
  <c r="E194" i="4" s="1"/>
  <c r="G197" i="4" s="1"/>
  <c r="B2188" i="4"/>
  <c r="C473" i="4"/>
  <c r="D473" i="4" s="1"/>
  <c r="F473" i="4" s="1"/>
  <c r="G609" i="4"/>
  <c r="E581" i="4" s="1"/>
  <c r="G584" i="4" s="1"/>
  <c r="G697" i="4"/>
  <c r="E669" i="4" s="1"/>
  <c r="G672" i="4" s="1"/>
  <c r="G699" i="4" s="1"/>
  <c r="C2010" i="4"/>
  <c r="D2010" i="4" s="1"/>
  <c r="F2010" i="4" s="1"/>
  <c r="C164" i="4"/>
  <c r="D164" i="4" s="1"/>
  <c r="F164" i="4" s="1"/>
  <c r="C165" i="4"/>
  <c r="D165" i="4" s="1"/>
  <c r="F165" i="4" s="1"/>
  <c r="C207" i="4"/>
  <c r="D207" i="4" s="1"/>
  <c r="F207" i="4" s="1"/>
  <c r="C208" i="4"/>
  <c r="D208" i="4" s="1"/>
  <c r="F208" i="4" s="1"/>
  <c r="C295" i="4"/>
  <c r="D295" i="4" s="1"/>
  <c r="F295" i="4" s="1"/>
  <c r="C296" i="4"/>
  <c r="D296" i="4" s="1"/>
  <c r="F296" i="4" s="1"/>
  <c r="C121" i="4"/>
  <c r="D121" i="4" s="1"/>
  <c r="F121" i="4" s="1"/>
  <c r="G126" i="4" s="1"/>
  <c r="E98" i="4" s="1"/>
  <c r="G101" i="4" s="1"/>
  <c r="G128" i="4" s="1"/>
  <c r="C429" i="4"/>
  <c r="D429" i="4" s="1"/>
  <c r="F429" i="4" s="1"/>
  <c r="C472" i="4"/>
  <c r="D472" i="4" s="1"/>
  <c r="F472" i="4" s="1"/>
  <c r="G505" i="4"/>
  <c r="C515" i="4"/>
  <c r="D515" i="4" s="1"/>
  <c r="F515" i="4" s="1"/>
  <c r="G813" i="4"/>
  <c r="C824" i="4"/>
  <c r="D824" i="4" s="1"/>
  <c r="F824" i="4" s="1"/>
  <c r="C1658" i="4"/>
  <c r="D1658" i="4" s="1"/>
  <c r="F1658" i="4" s="1"/>
  <c r="C1834" i="4"/>
  <c r="D1834" i="4" s="1"/>
  <c r="F1834" i="4" s="1"/>
  <c r="C1878" i="4"/>
  <c r="D1878" i="4" s="1"/>
  <c r="F1878" i="4" s="1"/>
  <c r="G1928" i="4"/>
  <c r="E1900" i="4" s="1"/>
  <c r="G1903" i="4" s="1"/>
  <c r="G1930" i="4" s="1"/>
  <c r="C777" i="5"/>
  <c r="D777" i="5" s="1"/>
  <c r="F777" i="5" s="1"/>
  <c r="D471" i="4"/>
  <c r="F471" i="4" s="1"/>
  <c r="D516" i="4"/>
  <c r="F516" i="4" s="1"/>
  <c r="G1620" i="4"/>
  <c r="E1592" i="4" s="1"/>
  <c r="G1595" i="4" s="1"/>
  <c r="G1622" i="4" s="1"/>
  <c r="C1659" i="4"/>
  <c r="D1659" i="4" s="1"/>
  <c r="F1659" i="4" s="1"/>
  <c r="C1835" i="4"/>
  <c r="D1835" i="4" s="1"/>
  <c r="F1835" i="4" s="1"/>
  <c r="C1879" i="4"/>
  <c r="D1879" i="4" s="1"/>
  <c r="F1879" i="4" s="1"/>
  <c r="C1966" i="4"/>
  <c r="D1966" i="4" s="1"/>
  <c r="F1966" i="4" s="1"/>
  <c r="G302" i="5"/>
  <c r="E275" i="5" s="1"/>
  <c r="G278" i="5" s="1"/>
  <c r="C473" i="5"/>
  <c r="D473" i="5" s="1"/>
  <c r="F473" i="5" s="1"/>
  <c r="G869" i="5"/>
  <c r="E842" i="5" s="1"/>
  <c r="G845" i="5" s="1"/>
  <c r="C1702" i="4"/>
  <c r="D1702" i="4" s="1"/>
  <c r="F1702" i="4" s="1"/>
  <c r="C1703" i="4"/>
  <c r="D1703" i="4" s="1"/>
  <c r="F1703" i="4" s="1"/>
  <c r="C1746" i="4"/>
  <c r="D1746" i="4" s="1"/>
  <c r="F1746" i="4" s="1"/>
  <c r="C1747" i="4"/>
  <c r="D1747" i="4" s="1"/>
  <c r="F1747" i="4" s="1"/>
  <c r="C2011" i="4"/>
  <c r="D2011" i="4" s="1"/>
  <c r="F2011" i="4" s="1"/>
  <c r="C2055" i="4"/>
  <c r="D2055" i="4" s="1"/>
  <c r="F2055" i="4" s="1"/>
  <c r="G2221" i="4"/>
  <c r="G126" i="5"/>
  <c r="G101" i="5" s="1"/>
  <c r="G128" i="5" s="1"/>
  <c r="G198" i="5"/>
  <c r="C1967" i="4"/>
  <c r="D1967" i="4" s="1"/>
  <c r="F1967" i="4" s="1"/>
  <c r="D2054" i="4"/>
  <c r="F2054" i="4" s="1"/>
  <c r="G2237" i="4"/>
  <c r="E2209" i="4" s="1"/>
  <c r="G2212" i="4" s="1"/>
  <c r="G2332" i="4"/>
  <c r="G2372" i="4"/>
  <c r="C208" i="5"/>
  <c r="D208" i="5" s="1"/>
  <c r="F208" i="5" s="1"/>
  <c r="C428" i="5"/>
  <c r="D428" i="5" s="1"/>
  <c r="F428" i="5" s="1"/>
  <c r="G767" i="5"/>
  <c r="C1216" i="5"/>
  <c r="D1216" i="5" s="1"/>
  <c r="F1216" i="5" s="1"/>
  <c r="D604" i="5"/>
  <c r="F604" i="5" s="1"/>
  <c r="C1084" i="5"/>
  <c r="D1084" i="5" s="1"/>
  <c r="F1084" i="5" s="1"/>
  <c r="G154" i="5"/>
  <c r="G170" i="5"/>
  <c r="E143" i="5" s="1"/>
  <c r="G146" i="5" s="1"/>
  <c r="D603" i="5"/>
  <c r="F603" i="5" s="1"/>
  <c r="C776" i="5"/>
  <c r="D776" i="5" s="1"/>
  <c r="F776" i="5" s="1"/>
  <c r="G1073" i="5"/>
  <c r="G1161" i="5"/>
  <c r="C1172" i="5"/>
  <c r="D1172" i="5" s="1"/>
  <c r="F1172" i="5" s="1"/>
  <c r="D1215" i="5"/>
  <c r="F1215" i="5" s="1"/>
  <c r="G593" i="5"/>
  <c r="C1083" i="5"/>
  <c r="D1083" i="5" s="1"/>
  <c r="F1083" i="5" s="1"/>
  <c r="D1171" i="5"/>
  <c r="F1171" i="5" s="1"/>
  <c r="G1265" i="5"/>
  <c r="E1237" i="5" s="1"/>
  <c r="G1240" i="5" s="1"/>
  <c r="F111" i="1" l="1"/>
  <c r="G348" i="2"/>
  <c r="G304" i="2"/>
  <c r="G306" i="2" s="1"/>
  <c r="G308" i="2" s="1"/>
  <c r="E13" i="1" s="1"/>
  <c r="F13" i="1" s="1"/>
  <c r="G1357" i="5"/>
  <c r="G1359" i="5" s="1"/>
  <c r="G172" i="5"/>
  <c r="F140" i="1"/>
  <c r="G1005" i="5"/>
  <c r="G1007" i="5" s="1"/>
  <c r="G214" i="5"/>
  <c r="E187" i="5" s="1"/>
  <c r="G190" i="5" s="1"/>
  <c r="G216" i="5" s="1"/>
  <c r="G218" i="5" s="1"/>
  <c r="G220" i="5" s="1"/>
  <c r="E121" i="1" s="1"/>
  <c r="E317" i="4"/>
  <c r="G320" i="4" s="1"/>
  <c r="G347" i="4" s="1"/>
  <c r="G2282" i="4"/>
  <c r="E2254" i="4" s="1"/>
  <c r="G2257" i="4" s="1"/>
  <c r="G2284" i="4" s="1"/>
  <c r="G86" i="4"/>
  <c r="G88" i="4" s="1"/>
  <c r="E56" i="1" s="1"/>
  <c r="F56" i="1" s="1"/>
  <c r="G790" i="2"/>
  <c r="G792" i="2" s="1"/>
  <c r="E24" i="1" s="1"/>
  <c r="F24" i="1" s="1"/>
  <c r="G174" i="2"/>
  <c r="G176" i="2" s="1"/>
  <c r="E9" i="1" s="1"/>
  <c r="F9" i="1" s="1"/>
  <c r="G566" i="2"/>
  <c r="E538" i="2" s="1"/>
  <c r="G541" i="2" s="1"/>
  <c r="G568" i="2" s="1"/>
  <c r="G570" i="2" s="1"/>
  <c r="G572" i="2" s="1"/>
  <c r="E19" i="1" s="1"/>
  <c r="F19" i="1" s="1"/>
  <c r="G610" i="2"/>
  <c r="E582" i="2" s="1"/>
  <c r="G585" i="2" s="1"/>
  <c r="G612" i="2" s="1"/>
  <c r="G614" i="2" s="1"/>
  <c r="G616" i="2" s="1"/>
  <c r="E20" i="1" s="1"/>
  <c r="G434" i="2"/>
  <c r="E406" i="2" s="1"/>
  <c r="G409" i="2" s="1"/>
  <c r="G436" i="2" s="1"/>
  <c r="G438" i="2" s="1"/>
  <c r="G440" i="2" s="1"/>
  <c r="E16" i="1" s="1"/>
  <c r="G42" i="2"/>
  <c r="G44" i="2" s="1"/>
  <c r="E5" i="1" s="1"/>
  <c r="F5" i="1" s="1"/>
  <c r="G86" i="5"/>
  <c r="G88" i="5" s="1"/>
  <c r="E117" i="1" s="1"/>
  <c r="G42" i="5"/>
  <c r="G44" i="5" s="1"/>
  <c r="E115" i="1" s="1"/>
  <c r="F115" i="1" s="1"/>
  <c r="G390" i="5"/>
  <c r="E363" i="5" s="1"/>
  <c r="G366" i="5" s="1"/>
  <c r="G392" i="5" s="1"/>
  <c r="G394" i="5" s="1"/>
  <c r="G396" i="5" s="1"/>
  <c r="E125" i="1" s="1"/>
  <c r="G827" i="5"/>
  <c r="F136" i="1" s="1"/>
  <c r="G478" i="5"/>
  <c r="E451" i="5" s="1"/>
  <c r="G454" i="5" s="1"/>
  <c r="G480" i="5" s="1"/>
  <c r="G482" i="5" s="1"/>
  <c r="G484" i="5" s="1"/>
  <c r="E127" i="1" s="1"/>
  <c r="G739" i="5"/>
  <c r="E712" i="5" s="1"/>
  <c r="G715" i="5" s="1"/>
  <c r="G741" i="5" s="1"/>
  <c r="G743" i="5" s="1"/>
  <c r="G745" i="5" s="1"/>
  <c r="J325" i="5"/>
  <c r="J281" i="5"/>
  <c r="G262" i="5"/>
  <c r="G264" i="5" s="1"/>
  <c r="E122" i="1" s="1"/>
  <c r="F122" i="1" s="1"/>
  <c r="G304" i="5"/>
  <c r="G258" i="2"/>
  <c r="E230" i="2" s="1"/>
  <c r="G233" i="2" s="1"/>
  <c r="G871" i="5"/>
  <c r="F137" i="1" s="1"/>
  <c r="G957" i="5"/>
  <c r="E929" i="5" s="1"/>
  <c r="G932" i="5" s="1"/>
  <c r="G959" i="5" s="1"/>
  <c r="F139" i="1" s="1"/>
  <c r="G609" i="5"/>
  <c r="E582" i="5" s="1"/>
  <c r="G585" i="5" s="1"/>
  <c r="G611" i="5" s="1"/>
  <c r="G434" i="5"/>
  <c r="E407" i="5" s="1"/>
  <c r="G410" i="5" s="1"/>
  <c r="G436" i="5" s="1"/>
  <c r="G438" i="5" s="1"/>
  <c r="G695" i="5"/>
  <c r="E668" i="5" s="1"/>
  <c r="G671" i="5" s="1"/>
  <c r="G697" i="5" s="1"/>
  <c r="G1267" i="5"/>
  <c r="G1269" i="5" s="1"/>
  <c r="G1271" i="5" s="1"/>
  <c r="G521" i="5"/>
  <c r="E494" i="5" s="1"/>
  <c r="G497" i="5" s="1"/>
  <c r="G523" i="5" s="1"/>
  <c r="G525" i="5" s="1"/>
  <c r="G527" i="5" s="1"/>
  <c r="E128" i="1" s="1"/>
  <c r="G569" i="5"/>
  <c r="G571" i="5" s="1"/>
  <c r="E129" i="1" s="1"/>
  <c r="F129" i="1" s="1"/>
  <c r="G347" i="5"/>
  <c r="E319" i="5" s="1"/>
  <c r="G322" i="5" s="1"/>
  <c r="G348" i="5" s="1"/>
  <c r="G652" i="5"/>
  <c r="E625" i="5" s="1"/>
  <c r="G628" i="5" s="1"/>
  <c r="G654" i="5" s="1"/>
  <c r="G1309" i="5"/>
  <c r="E1281" i="5" s="1"/>
  <c r="G1284" i="5" s="1"/>
  <c r="G569" i="4"/>
  <c r="G571" i="4" s="1"/>
  <c r="E85" i="1" s="1"/>
  <c r="F85" i="1" s="1"/>
  <c r="G611" i="4"/>
  <c r="G613" i="4" s="1"/>
  <c r="G615" i="4" s="1"/>
  <c r="E63" i="1"/>
  <c r="F63" i="1" s="1"/>
  <c r="G393" i="4"/>
  <c r="G395" i="4" s="1"/>
  <c r="G213" i="4"/>
  <c r="E186" i="4" s="1"/>
  <c r="G189" i="4" s="1"/>
  <c r="G215" i="4" s="1"/>
  <c r="G789" i="4"/>
  <c r="E73" i="1" s="1"/>
  <c r="F73" i="1" s="1"/>
  <c r="G1580" i="4"/>
  <c r="G1582" i="4" s="1"/>
  <c r="G1796" i="4"/>
  <c r="E1768" i="4" s="1"/>
  <c r="G1771" i="4" s="1"/>
  <c r="G1798" i="4" s="1"/>
  <c r="G1800" i="4" s="1"/>
  <c r="G1802" i="4" s="1"/>
  <c r="B956" i="4"/>
  <c r="C912" i="4"/>
  <c r="D912" i="4" s="1"/>
  <c r="F912" i="4" s="1"/>
  <c r="B911" i="4"/>
  <c r="C867" i="4"/>
  <c r="D867" i="4" s="1"/>
  <c r="F867" i="4" s="1"/>
  <c r="G873" i="4" s="1"/>
  <c r="E845" i="4" s="1"/>
  <c r="G848" i="4" s="1"/>
  <c r="G875" i="4" s="1"/>
  <c r="E70" i="1"/>
  <c r="F70" i="1" s="1"/>
  <c r="G657" i="4"/>
  <c r="G659" i="4" s="1"/>
  <c r="E84" i="1" s="1"/>
  <c r="F84" i="1" s="1"/>
  <c r="E105" i="1"/>
  <c r="F105" i="1" s="1"/>
  <c r="G2152" i="4"/>
  <c r="G2154" i="4" s="1"/>
  <c r="G521" i="4"/>
  <c r="E493" i="4" s="1"/>
  <c r="G496" i="4" s="1"/>
  <c r="G523" i="4" s="1"/>
  <c r="G525" i="4" s="1"/>
  <c r="G527" i="4" s="1"/>
  <c r="G433" i="4"/>
  <c r="E405" i="4" s="1"/>
  <c r="G408" i="4" s="1"/>
  <c r="G435" i="4" s="1"/>
  <c r="G437" i="4" s="1"/>
  <c r="G439" i="4" s="1"/>
  <c r="G1840" i="4"/>
  <c r="E1812" i="4" s="1"/>
  <c r="G1815" i="4" s="1"/>
  <c r="G1842" i="4" s="1"/>
  <c r="E98" i="1" s="1"/>
  <c r="F98" i="1" s="1"/>
  <c r="G42" i="4"/>
  <c r="G44" i="4" s="1"/>
  <c r="G1972" i="4"/>
  <c r="E1944" i="4" s="1"/>
  <c r="G1947" i="4" s="1"/>
  <c r="G2016" i="4"/>
  <c r="E1988" i="4" s="1"/>
  <c r="G1991" i="4" s="1"/>
  <c r="O59" i="1"/>
  <c r="G350" i="2"/>
  <c r="G352" i="2" s="1"/>
  <c r="E14" i="1"/>
  <c r="F14" i="1" s="1"/>
  <c r="G82" i="2"/>
  <c r="E54" i="2" s="1"/>
  <c r="G57" i="2" s="1"/>
  <c r="G84" i="2" s="1"/>
  <c r="G1089" i="5"/>
  <c r="E1061" i="5" s="1"/>
  <c r="G1064" i="5" s="1"/>
  <c r="G1091" i="5" s="1"/>
  <c r="G1664" i="4"/>
  <c r="E1636" i="4" s="1"/>
  <c r="G1639" i="4" s="1"/>
  <c r="G1666" i="4" s="1"/>
  <c r="G658" i="2"/>
  <c r="G660" i="2" s="1"/>
  <c r="E21" i="1" s="1"/>
  <c r="F21" i="1" s="1"/>
  <c r="G130" i="4"/>
  <c r="G132" i="4" s="1"/>
  <c r="E57" i="1" s="1"/>
  <c r="F57" i="1" s="1"/>
  <c r="G133" i="3"/>
  <c r="G135" i="3"/>
  <c r="E31" i="1"/>
  <c r="F31" i="1" s="1"/>
  <c r="G214" i="2"/>
  <c r="E186" i="2" s="1"/>
  <c r="G189" i="2" s="1"/>
  <c r="G216" i="2" s="1"/>
  <c r="G1177" i="5"/>
  <c r="E1149" i="5" s="1"/>
  <c r="G1152" i="5" s="1"/>
  <c r="G1179" i="5" s="1"/>
  <c r="G1884" i="4"/>
  <c r="E1856" i="4" s="1"/>
  <c r="G1859" i="4" s="1"/>
  <c r="G1886" i="4" s="1"/>
  <c r="C2188" i="4"/>
  <c r="D2188" i="4" s="1"/>
  <c r="F2188" i="4" s="1"/>
  <c r="G2192" i="4" s="1"/>
  <c r="E2164" i="4" s="1"/>
  <c r="G2167" i="4" s="1"/>
  <c r="G2194" i="4" s="1"/>
  <c r="C168" i="3"/>
  <c r="D168" i="3" s="1"/>
  <c r="F168" i="3" s="1"/>
  <c r="G745" i="4"/>
  <c r="G747" i="4" s="1"/>
  <c r="E72" i="1"/>
  <c r="F72" i="1" s="1"/>
  <c r="G170" i="4"/>
  <c r="E142" i="4" s="1"/>
  <c r="G145" i="4" s="1"/>
  <c r="G172" i="4" s="1"/>
  <c r="D706" i="3"/>
  <c r="F706" i="3" s="1"/>
  <c r="G712" i="3" s="1"/>
  <c r="E684" i="3" s="1"/>
  <c r="G687" i="3" s="1"/>
  <c r="G714" i="3" s="1"/>
  <c r="C706" i="3"/>
  <c r="C167" i="3"/>
  <c r="D167" i="3" s="1"/>
  <c r="F167" i="3" s="1"/>
  <c r="C618" i="3"/>
  <c r="D618" i="3" s="1"/>
  <c r="F618" i="3" s="1"/>
  <c r="G624" i="3" s="1"/>
  <c r="E596" i="3" s="1"/>
  <c r="G599" i="3" s="1"/>
  <c r="G626" i="3" s="1"/>
  <c r="C342" i="3"/>
  <c r="D342" i="3" s="1"/>
  <c r="F342" i="3" s="1"/>
  <c r="G348" i="3" s="1"/>
  <c r="E320" i="3" s="1"/>
  <c r="G323" i="3" s="1"/>
  <c r="G350" i="3" s="1"/>
  <c r="G698" i="2"/>
  <c r="E670" i="2" s="1"/>
  <c r="G673" i="2" s="1"/>
  <c r="G700" i="2" s="1"/>
  <c r="G301" i="4"/>
  <c r="E273" i="4" s="1"/>
  <c r="G276" i="4" s="1"/>
  <c r="G303" i="4" s="1"/>
  <c r="E68" i="1"/>
  <c r="F68" i="1" s="1"/>
  <c r="D663" i="3"/>
  <c r="F663" i="3" s="1"/>
  <c r="C663" i="3"/>
  <c r="C211" i="3"/>
  <c r="D211" i="3"/>
  <c r="F211" i="3" s="1"/>
  <c r="D751" i="3"/>
  <c r="F751" i="3" s="1"/>
  <c r="C751" i="3"/>
  <c r="C389" i="3"/>
  <c r="D389" i="3"/>
  <c r="F389" i="3" s="1"/>
  <c r="G782" i="5"/>
  <c r="E755" i="5" s="1"/>
  <c r="G758" i="5" s="1"/>
  <c r="G784" i="5" s="1"/>
  <c r="G829" i="4"/>
  <c r="E801" i="4" s="1"/>
  <c r="G804" i="4" s="1"/>
  <c r="G831" i="4" s="1"/>
  <c r="G2108" i="4"/>
  <c r="G2110" i="4" s="1"/>
  <c r="E104" i="1"/>
  <c r="F104" i="1" s="1"/>
  <c r="O58" i="1"/>
  <c r="P58" i="1"/>
  <c r="P60" i="1" s="1"/>
  <c r="G390" i="2"/>
  <c r="E362" i="2" s="1"/>
  <c r="G365" i="2" s="1"/>
  <c r="G174" i="5"/>
  <c r="G176" i="5" s="1"/>
  <c r="G2239" i="4"/>
  <c r="G1932" i="4"/>
  <c r="G1934" i="4" s="1"/>
  <c r="E100" i="1"/>
  <c r="F100" i="1" s="1"/>
  <c r="D572" i="3"/>
  <c r="F572" i="3" s="1"/>
  <c r="C572" i="3"/>
  <c r="C210" i="3"/>
  <c r="D210" i="3"/>
  <c r="F210" i="3" s="1"/>
  <c r="D750" i="3"/>
  <c r="F750" i="3" s="1"/>
  <c r="G756" i="3" s="1"/>
  <c r="E728" i="3" s="1"/>
  <c r="G731" i="3" s="1"/>
  <c r="G758" i="3" s="1"/>
  <c r="C750" i="3"/>
  <c r="C388" i="3"/>
  <c r="D388" i="3" s="1"/>
  <c r="F388" i="3" s="1"/>
  <c r="G394" i="3" s="1"/>
  <c r="E366" i="3" s="1"/>
  <c r="G369" i="3" s="1"/>
  <c r="G396" i="3" s="1"/>
  <c r="C240" i="2"/>
  <c r="E240" i="2" s="1"/>
  <c r="G242" i="2" s="1"/>
  <c r="C841" i="3"/>
  <c r="D841" i="3" s="1"/>
  <c r="F841" i="3" s="1"/>
  <c r="G847" i="3" s="1"/>
  <c r="E819" i="3" s="1"/>
  <c r="G822" i="3" s="1"/>
  <c r="G849" i="3" s="1"/>
  <c r="C300" i="3"/>
  <c r="D300" i="3" s="1"/>
  <c r="F300" i="3" s="1"/>
  <c r="C481" i="3"/>
  <c r="D481" i="3" s="1"/>
  <c r="F481" i="3" s="1"/>
  <c r="C239" i="4"/>
  <c r="E239" i="4" s="1"/>
  <c r="G241" i="4" s="1"/>
  <c r="G259" i="4" s="1"/>
  <c r="G917" i="5"/>
  <c r="G919" i="5" s="1"/>
  <c r="F138" i="1"/>
  <c r="G1752" i="4"/>
  <c r="E1724" i="4" s="1"/>
  <c r="G1727" i="4" s="1"/>
  <c r="G1754" i="4" s="1"/>
  <c r="G1708" i="4"/>
  <c r="E1680" i="4" s="1"/>
  <c r="G1683" i="4" s="1"/>
  <c r="G1710" i="4" s="1"/>
  <c r="G701" i="4"/>
  <c r="G703" i="4" s="1"/>
  <c r="E71" i="1"/>
  <c r="F71" i="1" s="1"/>
  <c r="C434" i="3"/>
  <c r="D434" i="3"/>
  <c r="F434" i="3" s="1"/>
  <c r="D255" i="3"/>
  <c r="F255" i="3" s="1"/>
  <c r="C255" i="3"/>
  <c r="C795" i="3"/>
  <c r="D795" i="3"/>
  <c r="F795" i="3" s="1"/>
  <c r="D573" i="3"/>
  <c r="F573" i="3" s="1"/>
  <c r="C573" i="3"/>
  <c r="C619" i="3"/>
  <c r="D619" i="3"/>
  <c r="F619" i="3" s="1"/>
  <c r="D343" i="3"/>
  <c r="F343" i="3" s="1"/>
  <c r="C343" i="3"/>
  <c r="G1221" i="5"/>
  <c r="E1193" i="5" s="1"/>
  <c r="G1196" i="5" s="1"/>
  <c r="G1223" i="5" s="1"/>
  <c r="G2374" i="4"/>
  <c r="G2376" i="4" s="1"/>
  <c r="E110" i="1"/>
  <c r="F110" i="1" s="1"/>
  <c r="G2060" i="4"/>
  <c r="E2032" i="4" s="1"/>
  <c r="G2035" i="4" s="1"/>
  <c r="G2062" i="4" s="1"/>
  <c r="G130" i="5"/>
  <c r="G132" i="5" s="1"/>
  <c r="E118" i="1" s="1"/>
  <c r="F118" i="1"/>
  <c r="G1624" i="4"/>
  <c r="G1626" i="4" s="1"/>
  <c r="E93" i="1"/>
  <c r="F93" i="1" s="1"/>
  <c r="G477" i="4"/>
  <c r="E449" i="4" s="1"/>
  <c r="G452" i="4" s="1"/>
  <c r="G479" i="4" s="1"/>
  <c r="G2286" i="4"/>
  <c r="G2288" i="4" s="1"/>
  <c r="E108" i="1"/>
  <c r="F108" i="1" s="1"/>
  <c r="D662" i="3"/>
  <c r="F662" i="3" s="1"/>
  <c r="G668" i="3" s="1"/>
  <c r="E640" i="3" s="1"/>
  <c r="G643" i="3" s="1"/>
  <c r="G670" i="3" s="1"/>
  <c r="C662" i="3"/>
  <c r="C299" i="3"/>
  <c r="D299" i="3"/>
  <c r="F299" i="3" s="1"/>
  <c r="D480" i="3"/>
  <c r="F480" i="3" s="1"/>
  <c r="C480" i="3"/>
  <c r="C527" i="3"/>
  <c r="D527" i="3" s="1"/>
  <c r="F527" i="3" s="1"/>
  <c r="G532" i="3" s="1"/>
  <c r="E504" i="3" s="1"/>
  <c r="G507" i="3" s="1"/>
  <c r="G534" i="3" s="1"/>
  <c r="C435" i="3"/>
  <c r="D435" i="3" s="1"/>
  <c r="F435" i="3" s="1"/>
  <c r="C256" i="3"/>
  <c r="D256" i="3" s="1"/>
  <c r="F256" i="3" s="1"/>
  <c r="C796" i="3"/>
  <c r="D796" i="3" s="1"/>
  <c r="F796" i="3" s="1"/>
  <c r="C1290" i="5"/>
  <c r="E1290" i="5" s="1"/>
  <c r="G1293" i="5" s="1"/>
  <c r="G482" i="2"/>
  <c r="G484" i="2" s="1"/>
  <c r="E17" i="1" s="1"/>
  <c r="F17" i="1" s="1"/>
  <c r="G873" i="5" l="1"/>
  <c r="G875" i="5" s="1"/>
  <c r="G829" i="5"/>
  <c r="G831" i="5" s="1"/>
  <c r="G613" i="5"/>
  <c r="G615" i="5" s="1"/>
  <c r="E130" i="1" s="1"/>
  <c r="F130" i="1" s="1"/>
  <c r="Z121" i="1"/>
  <c r="G349" i="4"/>
  <c r="G351" i="4" s="1"/>
  <c r="E64" i="1" s="1"/>
  <c r="F64" i="1" s="1"/>
  <c r="E62" i="1"/>
  <c r="F62" i="1" s="1"/>
  <c r="G173" i="3"/>
  <c r="E145" i="3" s="1"/>
  <c r="G148" i="3" s="1"/>
  <c r="F20" i="1"/>
  <c r="F16" i="1"/>
  <c r="F125" i="1"/>
  <c r="F146" i="1"/>
  <c r="G306" i="5"/>
  <c r="G308" i="5" s="1"/>
  <c r="E123" i="1" s="1"/>
  <c r="F123" i="1" s="1"/>
  <c r="O60" i="1"/>
  <c r="G1311" i="5"/>
  <c r="G1313" i="5" s="1"/>
  <c r="G1315" i="5" s="1"/>
  <c r="E147" i="1" s="1"/>
  <c r="F128" i="1"/>
  <c r="E133" i="1"/>
  <c r="F133" i="1" s="1"/>
  <c r="F127" i="1"/>
  <c r="G961" i="5"/>
  <c r="G963" i="5" s="1"/>
  <c r="F126" i="1"/>
  <c r="G699" i="5"/>
  <c r="G701" i="5" s="1"/>
  <c r="E132" i="1" s="1"/>
  <c r="F132" i="1" s="1"/>
  <c r="G440" i="5"/>
  <c r="E126" i="1" s="1"/>
  <c r="F124" i="1"/>
  <c r="G350" i="5"/>
  <c r="G352" i="5" s="1"/>
  <c r="E124" i="1" s="1"/>
  <c r="G656" i="5"/>
  <c r="G658" i="5" s="1"/>
  <c r="E131" i="1" s="1"/>
  <c r="F131" i="1" s="1"/>
  <c r="E69" i="1"/>
  <c r="F69" i="1" s="1"/>
  <c r="G790" i="4"/>
  <c r="G791" i="4" s="1"/>
  <c r="E97" i="1"/>
  <c r="F97" i="1" s="1"/>
  <c r="G1844" i="4"/>
  <c r="G1846" i="4" s="1"/>
  <c r="C956" i="4"/>
  <c r="D956" i="4" s="1"/>
  <c r="F956" i="4" s="1"/>
  <c r="B1000" i="4"/>
  <c r="G217" i="4"/>
  <c r="G219" i="4" s="1"/>
  <c r="E59" i="1" s="1"/>
  <c r="F59" i="1" s="1"/>
  <c r="G877" i="4"/>
  <c r="G879" i="4" s="1"/>
  <c r="E76" i="1" s="1"/>
  <c r="F76" i="1" s="1"/>
  <c r="E67" i="1"/>
  <c r="F67" i="1" s="1"/>
  <c r="B955" i="4"/>
  <c r="C911" i="4"/>
  <c r="D911" i="4" s="1"/>
  <c r="F911" i="4" s="1"/>
  <c r="G917" i="4" s="1"/>
  <c r="E890" i="4" s="1"/>
  <c r="G893" i="4" s="1"/>
  <c r="G919" i="4" s="1"/>
  <c r="G400" i="3"/>
  <c r="G398" i="3"/>
  <c r="E38" i="1"/>
  <c r="F38" i="1" s="1"/>
  <c r="G538" i="3"/>
  <c r="G536" i="3"/>
  <c r="E42" i="1"/>
  <c r="F42" i="1" s="1"/>
  <c r="G853" i="3"/>
  <c r="G851" i="3"/>
  <c r="E49" i="1"/>
  <c r="F49" i="1" s="1"/>
  <c r="G352" i="3"/>
  <c r="G354" i="3" s="1"/>
  <c r="E36" i="1"/>
  <c r="F36" i="1" s="1"/>
  <c r="G2196" i="4"/>
  <c r="G2198" i="4" s="1"/>
  <c r="E106" i="1"/>
  <c r="F106" i="1" s="1"/>
  <c r="G261" i="4"/>
  <c r="G263" i="4" s="1"/>
  <c r="E60" i="1" s="1"/>
  <c r="F60" i="1" s="1"/>
  <c r="W60" i="1" s="1"/>
  <c r="G630" i="3"/>
  <c r="G628" i="3"/>
  <c r="E44" i="1"/>
  <c r="F44" i="1" s="1"/>
  <c r="G672" i="3"/>
  <c r="G674" i="3" s="1"/>
  <c r="E45" i="1"/>
  <c r="F45" i="1" s="1"/>
  <c r="G261" i="3"/>
  <c r="E233" i="3" s="1"/>
  <c r="G236" i="3" s="1"/>
  <c r="G263" i="3" s="1"/>
  <c r="C1111" i="5"/>
  <c r="E1111" i="5" s="1"/>
  <c r="G1117" i="5" s="1"/>
  <c r="G1135" i="5" s="1"/>
  <c r="C500" i="2"/>
  <c r="E500" i="2" s="1"/>
  <c r="G506" i="2" s="1"/>
  <c r="G524" i="2" s="1"/>
  <c r="C1951" i="4"/>
  <c r="C368" i="2"/>
  <c r="E368" i="2" s="1"/>
  <c r="G374" i="2" s="1"/>
  <c r="G392" i="2" s="1"/>
  <c r="C151" i="3"/>
  <c r="E151" i="3" s="1"/>
  <c r="G157" i="3" s="1"/>
  <c r="G578" i="3"/>
  <c r="E550" i="3" s="1"/>
  <c r="G553" i="3" s="1"/>
  <c r="G580" i="3" s="1"/>
  <c r="G2241" i="4"/>
  <c r="G2243" i="4" s="1"/>
  <c r="E107" i="1"/>
  <c r="F107" i="1" s="1"/>
  <c r="G174" i="4"/>
  <c r="G176" i="4" s="1"/>
  <c r="E58" i="1" s="1"/>
  <c r="F58" i="1" s="1"/>
  <c r="G305" i="3"/>
  <c r="E277" i="3" s="1"/>
  <c r="G280" i="3" s="1"/>
  <c r="G307" i="3" s="1"/>
  <c r="G801" i="3"/>
  <c r="E773" i="3" s="1"/>
  <c r="G776" i="3" s="1"/>
  <c r="G803" i="3" s="1"/>
  <c r="G440" i="3"/>
  <c r="E412" i="3" s="1"/>
  <c r="G415" i="3" s="1"/>
  <c r="G442" i="3" s="1"/>
  <c r="G216" i="3"/>
  <c r="E188" i="3" s="1"/>
  <c r="G191" i="3" s="1"/>
  <c r="G218" i="3" s="1"/>
  <c r="Q60" i="1"/>
  <c r="G260" i="2"/>
  <c r="G86" i="2"/>
  <c r="G88" i="2" s="1"/>
  <c r="E6" i="1" s="1"/>
  <c r="F6" i="1" s="1"/>
  <c r="G486" i="3"/>
  <c r="E458" i="3" s="1"/>
  <c r="G461" i="3" s="1"/>
  <c r="G488" i="3" s="1"/>
  <c r="G760" i="3"/>
  <c r="G762" i="3"/>
  <c r="E47" i="1"/>
  <c r="F47" i="1" s="1"/>
  <c r="G786" i="5"/>
  <c r="G788" i="5" s="1"/>
  <c r="E135" i="1" s="1"/>
  <c r="F135" i="1"/>
  <c r="G218" i="2"/>
  <c r="G220" i="2" s="1"/>
  <c r="E10" i="1"/>
  <c r="F10" i="1" s="1"/>
  <c r="G1668" i="4"/>
  <c r="G1670" i="4" s="1"/>
  <c r="E94" i="1"/>
  <c r="F94" i="1" s="1"/>
  <c r="G2064" i="4"/>
  <c r="G2066" i="4" s="1"/>
  <c r="E103" i="1"/>
  <c r="F103" i="1" s="1"/>
  <c r="F141" i="1"/>
  <c r="G1712" i="4"/>
  <c r="G1714" i="4" s="1"/>
  <c r="E95" i="1"/>
  <c r="F95" i="1" s="1"/>
  <c r="G305" i="4"/>
  <c r="G307" i="4" s="1"/>
  <c r="E61" i="1" s="1"/>
  <c r="F61" i="1" s="1"/>
  <c r="W61" i="1" s="1"/>
  <c r="G1888" i="4"/>
  <c r="G1890" i="4" s="1"/>
  <c r="E99" i="1"/>
  <c r="F99" i="1" s="1"/>
  <c r="G481" i="4"/>
  <c r="G483" i="4" s="1"/>
  <c r="E65" i="1"/>
  <c r="F65" i="1" s="1"/>
  <c r="G1225" i="5"/>
  <c r="G1227" i="5" s="1"/>
  <c r="E145" i="1" s="1"/>
  <c r="F145" i="1"/>
  <c r="G1756" i="4"/>
  <c r="G1758" i="4" s="1"/>
  <c r="E96" i="1"/>
  <c r="F96" i="1" s="1"/>
  <c r="G833" i="4"/>
  <c r="G835" i="4" s="1"/>
  <c r="E74" i="1"/>
  <c r="F74" i="1" s="1"/>
  <c r="G702" i="2"/>
  <c r="G704" i="2" s="1"/>
  <c r="E22" i="1" s="1"/>
  <c r="F22" i="1" s="1"/>
  <c r="G716" i="3"/>
  <c r="G718" i="3" s="1"/>
  <c r="E46" i="1"/>
  <c r="F46" i="1" s="1"/>
  <c r="G1181" i="5"/>
  <c r="G1183" i="5" s="1"/>
  <c r="F144" i="1"/>
  <c r="G1093" i="5"/>
  <c r="G1095" i="5" s="1"/>
  <c r="F142" i="1"/>
  <c r="I64" i="1" l="1"/>
  <c r="F147" i="1"/>
  <c r="E120" i="1"/>
  <c r="F120" i="1" s="1"/>
  <c r="F121" i="1"/>
  <c r="G175" i="3"/>
  <c r="G177" i="3" s="1"/>
  <c r="G179" i="3" s="1"/>
  <c r="E32" i="1" s="1"/>
  <c r="W64" i="1"/>
  <c r="C1000" i="4"/>
  <c r="D1000" i="4" s="1"/>
  <c r="F1000" i="4" s="1"/>
  <c r="B1044" i="4"/>
  <c r="C955" i="4"/>
  <c r="D955" i="4" s="1"/>
  <c r="F955" i="4" s="1"/>
  <c r="G961" i="4" s="1"/>
  <c r="E934" i="4" s="1"/>
  <c r="G937" i="4" s="1"/>
  <c r="G963" i="4" s="1"/>
  <c r="B999" i="4"/>
  <c r="G921" i="4"/>
  <c r="G923" i="4" s="1"/>
  <c r="E77" i="1" s="1"/>
  <c r="F77" i="1" s="1"/>
  <c r="G220" i="3"/>
  <c r="G222" i="3" s="1"/>
  <c r="E33" i="1"/>
  <c r="F33" i="1" s="1"/>
  <c r="G394" i="2"/>
  <c r="G396" i="2" s="1"/>
  <c r="E15" i="1" s="1"/>
  <c r="F15" i="1" s="1"/>
  <c r="G446" i="3"/>
  <c r="G444" i="3"/>
  <c r="E39" i="1"/>
  <c r="F39" i="1" s="1"/>
  <c r="G267" i="3"/>
  <c r="G265" i="3"/>
  <c r="E34" i="1"/>
  <c r="F34" i="1" s="1"/>
  <c r="G490" i="3"/>
  <c r="G492" i="3" s="1"/>
  <c r="E40" i="1"/>
  <c r="F40" i="1" s="1"/>
  <c r="G262" i="2"/>
  <c r="G264" i="2" s="1"/>
  <c r="E11" i="1" s="1"/>
  <c r="F11" i="1" s="1"/>
  <c r="G805" i="3"/>
  <c r="G807" i="3" s="1"/>
  <c r="E48" i="1"/>
  <c r="F48" i="1" s="1"/>
  <c r="E1951" i="4"/>
  <c r="G1956" i="4" s="1"/>
  <c r="G1974" i="4" s="1"/>
  <c r="C1994" i="4"/>
  <c r="E1994" i="4" s="1"/>
  <c r="G2000" i="4" s="1"/>
  <c r="G2018" i="4" s="1"/>
  <c r="F32" i="1"/>
  <c r="F50" i="1" s="1"/>
  <c r="F155" i="1" s="1"/>
  <c r="G311" i="3"/>
  <c r="G309" i="3"/>
  <c r="E35" i="1"/>
  <c r="F35" i="1" s="1"/>
  <c r="G582" i="3"/>
  <c r="G584" i="3" s="1"/>
  <c r="E43" i="1"/>
  <c r="F43" i="1" s="1"/>
  <c r="G526" i="2"/>
  <c r="G528" i="2" s="1"/>
  <c r="E18" i="1" s="1"/>
  <c r="F18" i="1" s="1"/>
  <c r="G1137" i="5"/>
  <c r="G1139" i="5" s="1"/>
  <c r="E143" i="1" s="1"/>
  <c r="F143" i="1" s="1"/>
  <c r="F25" i="1" l="1"/>
  <c r="F154" i="1" s="1"/>
  <c r="G965" i="4"/>
  <c r="G967" i="4" s="1"/>
  <c r="E78" i="1" s="1"/>
  <c r="F78" i="1" s="1"/>
  <c r="C999" i="4"/>
  <c r="D999" i="4" s="1"/>
  <c r="F999" i="4" s="1"/>
  <c r="G1005" i="4" s="1"/>
  <c r="E977" i="4" s="1"/>
  <c r="G980" i="4" s="1"/>
  <c r="G1007" i="4" s="1"/>
  <c r="B1043" i="4"/>
  <c r="B1088" i="4"/>
  <c r="C1044" i="4"/>
  <c r="D1044" i="4" s="1"/>
  <c r="F1044" i="4" s="1"/>
  <c r="G1976" i="4"/>
  <c r="G1978" i="4" s="1"/>
  <c r="E101" i="1"/>
  <c r="F101" i="1" s="1"/>
  <c r="G2020" i="4"/>
  <c r="G2022" i="4" s="1"/>
  <c r="E102" i="1"/>
  <c r="F102" i="1" s="1"/>
  <c r="G1009" i="4" l="1"/>
  <c r="G1011" i="4" s="1"/>
  <c r="E79" i="1" s="1"/>
  <c r="F79" i="1" s="1"/>
  <c r="B1132" i="4"/>
  <c r="C1088" i="4"/>
  <c r="D1088" i="4"/>
  <c r="F1088" i="4" s="1"/>
  <c r="B1087" i="4"/>
  <c r="C1043" i="4"/>
  <c r="D1043" i="4"/>
  <c r="F1043" i="4" s="1"/>
  <c r="G1049" i="4" s="1"/>
  <c r="E1021" i="4" s="1"/>
  <c r="G1024" i="4" s="1"/>
  <c r="G1051" i="4" s="1"/>
  <c r="C11" i="7" a="1"/>
  <c r="C11" i="7" s="1"/>
  <c r="C10" i="7" a="1"/>
  <c r="C10" i="7" s="1"/>
  <c r="G1053" i="4" l="1"/>
  <c r="G1055" i="4" s="1"/>
  <c r="E80" i="1" s="1"/>
  <c r="F80" i="1" s="1"/>
  <c r="B1176" i="4"/>
  <c r="C1132" i="4"/>
  <c r="D1132" i="4" s="1"/>
  <c r="F1132" i="4" s="1"/>
  <c r="B1131" i="4"/>
  <c r="C1087" i="4"/>
  <c r="D1087" i="4" s="1"/>
  <c r="F1087" i="4" s="1"/>
  <c r="G1093" i="4" s="1"/>
  <c r="E1065" i="4" s="1"/>
  <c r="G1068" i="4" s="1"/>
  <c r="G1095" i="4" s="1"/>
  <c r="B1220" i="4" l="1"/>
  <c r="C1176" i="4"/>
  <c r="D1176" i="4" s="1"/>
  <c r="F1176" i="4" s="1"/>
  <c r="G1097" i="4"/>
  <c r="G1099" i="4" s="1"/>
  <c r="E81" i="1" s="1"/>
  <c r="F81" i="1" s="1"/>
  <c r="B1175" i="4"/>
  <c r="C1131" i="4"/>
  <c r="D1131" i="4" s="1"/>
  <c r="F1131" i="4" s="1"/>
  <c r="G1137" i="4" s="1"/>
  <c r="E1109" i="4" s="1"/>
  <c r="G1112" i="4" s="1"/>
  <c r="G1139" i="4" s="1"/>
  <c r="G1141" i="4" l="1"/>
  <c r="G1143" i="4" s="1"/>
  <c r="E82" i="1" s="1"/>
  <c r="F82" i="1" s="1"/>
  <c r="B1219" i="4"/>
  <c r="C1175" i="4"/>
  <c r="D1175" i="4" s="1"/>
  <c r="F1175" i="4" s="1"/>
  <c r="G1181" i="4" s="1"/>
  <c r="E1153" i="4" s="1"/>
  <c r="G1156" i="4" s="1"/>
  <c r="G1183" i="4" s="1"/>
  <c r="B1264" i="4"/>
  <c r="C1220" i="4"/>
  <c r="D1220" i="4"/>
  <c r="F1220" i="4" s="1"/>
  <c r="C1264" i="4" l="1"/>
  <c r="D1264" i="4" s="1"/>
  <c r="F1264" i="4" s="1"/>
  <c r="B1308" i="4"/>
  <c r="G1185" i="4"/>
  <c r="G1187" i="4" s="1"/>
  <c r="E83" i="1" s="1"/>
  <c r="F83" i="1" s="1"/>
  <c r="B1263" i="4"/>
  <c r="C1219" i="4"/>
  <c r="D1219" i="4" s="1"/>
  <c r="F1219" i="4" s="1"/>
  <c r="G1225" i="4" s="1"/>
  <c r="E1197" i="4" s="1"/>
  <c r="G1200" i="4" s="1"/>
  <c r="G1227" i="4" s="1"/>
  <c r="B1352" i="4" l="1"/>
  <c r="C1352" i="4" s="1"/>
  <c r="D1352" i="4" s="1"/>
  <c r="F1352" i="4" s="1"/>
  <c r="C1308" i="4"/>
  <c r="D1308" i="4" s="1"/>
  <c r="F1308" i="4" s="1"/>
  <c r="C1263" i="4"/>
  <c r="D1263" i="4" s="1"/>
  <c r="F1263" i="4" s="1"/>
  <c r="G1269" i="4" s="1"/>
  <c r="E1241" i="4" s="1"/>
  <c r="G1244" i="4" s="1"/>
  <c r="G1271" i="4" s="1"/>
  <c r="B1307" i="4"/>
  <c r="G1229" i="4"/>
  <c r="G1231" i="4" s="1"/>
  <c r="E86" i="1" s="1"/>
  <c r="F86" i="1" s="1"/>
  <c r="G1273" i="4" l="1"/>
  <c r="G1275" i="4" s="1"/>
  <c r="E87" i="1" s="1"/>
  <c r="F87" i="1" s="1"/>
  <c r="B1351" i="4"/>
  <c r="C1351" i="4" s="1"/>
  <c r="D1351" i="4" s="1"/>
  <c r="F1351" i="4" s="1"/>
  <c r="G1357" i="4" s="1"/>
  <c r="E1329" i="4" s="1"/>
  <c r="G1332" i="4" s="1"/>
  <c r="G1359" i="4" s="1"/>
  <c r="C1307" i="4"/>
  <c r="D1307" i="4" s="1"/>
  <c r="F1307" i="4" s="1"/>
  <c r="G1313" i="4" s="1"/>
  <c r="E1285" i="4" s="1"/>
  <c r="G1288" i="4" s="1"/>
  <c r="G1315" i="4" s="1"/>
  <c r="G1361" i="4" l="1"/>
  <c r="G1363" i="4" s="1"/>
  <c r="E89" i="1" s="1"/>
  <c r="F89" i="1" s="1"/>
  <c r="G1317" i="4"/>
  <c r="G1319" i="4" s="1"/>
  <c r="E88" i="1" s="1"/>
  <c r="F88" i="1" s="1"/>
  <c r="F112" i="1" l="1"/>
  <c r="F156" i="1" s="1"/>
  <c r="I157" i="1" s="1"/>
  <c r="F220" i="8"/>
  <c r="D200" i="8"/>
  <c r="J22" i="1" l="1"/>
  <c r="C12" i="7" a="1"/>
  <c r="C12" i="7" s="1"/>
  <c r="D117" i="1"/>
  <c r="D148" i="1" s="1"/>
  <c r="F148" i="1" s="1"/>
  <c r="F222" i="8"/>
  <c r="G216" i="8"/>
  <c r="I216" i="8" s="1"/>
  <c r="I220" i="8" s="1"/>
  <c r="F117" i="1" l="1"/>
  <c r="F150" i="1" s="1"/>
  <c r="I130" i="1" l="1"/>
  <c r="V126" i="1"/>
  <c r="F157" i="1"/>
  <c r="K148" i="1"/>
  <c r="F177" i="1" l="1"/>
  <c r="I158" i="1"/>
  <c r="I159" i="1" s="1"/>
  <c r="C13" i="7" a="1"/>
  <c r="C13" i="7" s="1"/>
  <c r="F159" i="1"/>
  <c r="F173" i="1"/>
  <c r="F198" i="1" l="1"/>
  <c r="C14" i="7"/>
  <c r="D13" i="7" s="1"/>
  <c r="F161" i="1"/>
  <c r="F160" i="1"/>
  <c r="F183" i="1"/>
  <c r="F184" i="1" s="1"/>
  <c r="F186" i="1"/>
  <c r="F189" i="1" l="1"/>
  <c r="F192" i="1" s="1"/>
  <c r="F162" i="1"/>
  <c r="D10" i="7"/>
  <c r="D12" i="7"/>
  <c r="D20" i="7"/>
  <c r="D23" i="7"/>
  <c r="A6" i="7"/>
  <c r="E6" i="7" s="1"/>
  <c r="D11" i="7"/>
  <c r="D19" i="7"/>
  <c r="C18" i="7" a="1"/>
  <c r="C18" i="7" s="1"/>
  <c r="D22" i="7"/>
  <c r="D14" i="7" l="1"/>
  <c r="D18" i="7"/>
  <c r="C21" i="7"/>
  <c r="K162" i="1"/>
  <c r="F165" i="1"/>
  <c r="C24" i="7" l="1"/>
  <c r="D24" i="7" s="1"/>
  <c r="D21" i="7"/>
  <c r="F166" i="1"/>
  <c r="F168" i="1" s="1"/>
  <c r="F170" i="1" s="1"/>
  <c r="F17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ingeniero Yuber</author>
  </authors>
  <commentList>
    <comment ref="D21" authorId="0" shapeId="0" xr:uid="{ED50D916-76D5-4F0A-83CE-9C602EE10333}">
      <text>
        <r>
          <rPr>
            <b/>
            <sz val="9"/>
            <color indexed="81"/>
            <rFont val="Tahoma"/>
            <family val="2"/>
          </rPr>
          <t>ingeniero Yuber:</t>
        </r>
        <r>
          <rPr>
            <sz val="9"/>
            <color indexed="81"/>
            <rFont val="Tahoma"/>
            <family val="2"/>
          </rPr>
          <t xml:space="preserve">
Se considera 0,30m para poder formaletear</t>
        </r>
      </text>
    </comment>
    <comment ref="D22" authorId="0" shapeId="0" xr:uid="{65BC6846-5F23-40E2-BA29-3C1656A54393}">
      <text>
        <r>
          <rPr>
            <b/>
            <sz val="9"/>
            <color indexed="81"/>
            <rFont val="Tahoma"/>
            <family val="2"/>
          </rPr>
          <t>ingeniero Yuber:</t>
        </r>
        <r>
          <rPr>
            <sz val="9"/>
            <color indexed="81"/>
            <rFont val="Tahoma"/>
            <family val="2"/>
          </rPr>
          <t xml:space="preserve">
Se considera 0,30m para poder formaletear</t>
        </r>
      </text>
    </comment>
    <comment ref="D24" authorId="0" shapeId="0" xr:uid="{EFEF9F09-9CB5-47F4-92D2-D9D13B8082F4}">
      <text>
        <r>
          <rPr>
            <b/>
            <sz val="9"/>
            <color indexed="81"/>
            <rFont val="Tahoma"/>
            <family val="2"/>
          </rPr>
          <t>ingeniero Yuber:</t>
        </r>
        <r>
          <rPr>
            <sz val="9"/>
            <color indexed="81"/>
            <rFont val="Tahoma"/>
            <family val="2"/>
          </rPr>
          <t xml:space="preserve">
Se considera 0,30m para poder formaletear</t>
        </r>
      </text>
    </comment>
    <comment ref="D25" authorId="0" shapeId="0" xr:uid="{352B8834-466F-40B0-9FCB-C5C611FF79A9}">
      <text>
        <r>
          <rPr>
            <b/>
            <sz val="9"/>
            <color indexed="81"/>
            <rFont val="Tahoma"/>
            <family val="2"/>
          </rPr>
          <t>ingeniero Yuber:</t>
        </r>
        <r>
          <rPr>
            <sz val="9"/>
            <color indexed="81"/>
            <rFont val="Tahoma"/>
            <family val="2"/>
          </rPr>
          <t xml:space="preserve">
Se considera 0,30m para poder formaletear</t>
        </r>
      </text>
    </comment>
    <comment ref="D48" authorId="0" shapeId="0" xr:uid="{31CC0004-E0E2-437A-8A81-08A5C7338600}">
      <text>
        <r>
          <rPr>
            <b/>
            <sz val="9"/>
            <color indexed="81"/>
            <rFont val="Tahoma"/>
            <family val="2"/>
          </rPr>
          <t>ingeniero Yuber:</t>
        </r>
        <r>
          <rPr>
            <sz val="9"/>
            <color indexed="81"/>
            <rFont val="Tahoma"/>
            <family val="2"/>
          </rPr>
          <t xml:space="preserve">
Se considera 0,30m para poder formaletear</t>
        </r>
      </text>
    </comment>
    <comment ref="D49" authorId="0" shapeId="0" xr:uid="{50640427-371B-488B-9D0D-8554276963CA}">
      <text>
        <r>
          <rPr>
            <b/>
            <sz val="9"/>
            <color indexed="81"/>
            <rFont val="Tahoma"/>
            <family val="2"/>
          </rPr>
          <t>ingeniero Yuber:</t>
        </r>
        <r>
          <rPr>
            <sz val="9"/>
            <color indexed="81"/>
            <rFont val="Tahoma"/>
            <family val="2"/>
          </rPr>
          <t xml:space="preserve">
Se considera 0,30m para poder formaletear</t>
        </r>
      </text>
    </comment>
    <comment ref="D56" authorId="0" shapeId="0" xr:uid="{5F23A27E-3B45-417D-8A59-0A88A60F669C}">
      <text>
        <r>
          <rPr>
            <b/>
            <sz val="9"/>
            <color indexed="81"/>
            <rFont val="Tahoma"/>
            <family val="2"/>
          </rPr>
          <t>ingeniero Yuber:</t>
        </r>
        <r>
          <rPr>
            <sz val="9"/>
            <color indexed="81"/>
            <rFont val="Tahoma"/>
            <family val="2"/>
          </rPr>
          <t xml:space="preserve">
Se considera 0,30m para poder formaletear</t>
        </r>
      </text>
    </comment>
    <comment ref="D57" authorId="0" shapeId="0" xr:uid="{629A02FA-5A68-4164-A40E-D834E0D27E92}">
      <text>
        <r>
          <rPr>
            <b/>
            <sz val="9"/>
            <color indexed="81"/>
            <rFont val="Tahoma"/>
            <family val="2"/>
          </rPr>
          <t>ingeniero Yuber:</t>
        </r>
        <r>
          <rPr>
            <sz val="9"/>
            <color indexed="81"/>
            <rFont val="Tahoma"/>
            <family val="2"/>
          </rPr>
          <t xml:space="preserve">
Se considera 0,30m para poder formaletear</t>
        </r>
      </text>
    </comment>
    <comment ref="E74" authorId="0" shapeId="0" xr:uid="{8904D93F-0940-4BA5-8B79-6CA6157957DE}">
      <text>
        <r>
          <rPr>
            <b/>
            <sz val="9"/>
            <color indexed="81"/>
            <rFont val="Tahoma"/>
            <family val="2"/>
          </rPr>
          <t>ingeniero Yuber:</t>
        </r>
        <r>
          <rPr>
            <sz val="9"/>
            <color indexed="81"/>
            <rFont val="Tahoma"/>
            <family val="2"/>
          </rPr>
          <t xml:space="preserve">
peso/metro lineal</t>
        </r>
      </text>
    </comment>
    <comment ref="F74" authorId="0" shapeId="0" xr:uid="{87F8CAF7-0586-46C6-BAB5-9BE23E20D5EC}">
      <text>
        <r>
          <rPr>
            <b/>
            <sz val="9"/>
            <color indexed="81"/>
            <rFont val="Tahoma"/>
            <family val="2"/>
          </rPr>
          <t>ingeniero Yuber:</t>
        </r>
        <r>
          <rPr>
            <sz val="9"/>
            <color indexed="81"/>
            <rFont val="Tahoma"/>
            <family val="2"/>
          </rPr>
          <t xml:space="preserve">
peso/metro lineal</t>
        </r>
      </text>
    </comment>
    <comment ref="E75" authorId="0" shapeId="0" xr:uid="{4F54EA07-2D7D-4DE4-9390-B6142EDB9DDC}">
      <text>
        <r>
          <rPr>
            <b/>
            <sz val="9"/>
            <color indexed="81"/>
            <rFont val="Tahoma"/>
            <family val="2"/>
          </rPr>
          <t>ingeniero Yuber:</t>
        </r>
        <r>
          <rPr>
            <sz val="9"/>
            <color indexed="81"/>
            <rFont val="Tahoma"/>
            <family val="2"/>
          </rPr>
          <t xml:space="preserve">
Recubrimientos</t>
        </r>
      </text>
    </comment>
    <comment ref="F75" authorId="0" shapeId="0" xr:uid="{A888BE5C-25E1-4F10-BE90-FF0245C9238C}">
      <text>
        <r>
          <rPr>
            <b/>
            <sz val="9"/>
            <color indexed="81"/>
            <rFont val="Tahoma"/>
            <family val="2"/>
          </rPr>
          <t>ingeniero Yuber:</t>
        </r>
        <r>
          <rPr>
            <sz val="9"/>
            <color indexed="81"/>
            <rFont val="Tahoma"/>
            <family val="2"/>
          </rPr>
          <t xml:space="preserve">
Recubrimiento</t>
        </r>
      </text>
    </comment>
    <comment ref="E77" authorId="0" shapeId="0" xr:uid="{9A74B4B4-F381-4E79-BD7C-91A5B49C8BB1}">
      <text>
        <r>
          <rPr>
            <b/>
            <sz val="9"/>
            <color indexed="81"/>
            <rFont val="Tahoma"/>
            <family val="2"/>
          </rPr>
          <t>ingeniero Yuber:</t>
        </r>
        <r>
          <rPr>
            <sz val="9"/>
            <color indexed="81"/>
            <rFont val="Tahoma"/>
            <family val="2"/>
          </rPr>
          <t xml:space="preserve">
peso/metro lineal</t>
        </r>
      </text>
    </comment>
    <comment ref="F77" authorId="0" shapeId="0" xr:uid="{5A56721F-9EB8-4CB3-9B46-5F8AC00DEF01}">
      <text>
        <r>
          <rPr>
            <b/>
            <sz val="9"/>
            <color indexed="81"/>
            <rFont val="Tahoma"/>
            <family val="2"/>
          </rPr>
          <t>ingeniero Yuber:</t>
        </r>
        <r>
          <rPr>
            <sz val="9"/>
            <color indexed="81"/>
            <rFont val="Tahoma"/>
            <family val="2"/>
          </rPr>
          <t xml:space="preserve">
peso/metro lineal</t>
        </r>
      </text>
    </comment>
    <comment ref="E78" authorId="0" shapeId="0" xr:uid="{DF9AE320-D2C0-4129-953B-7589D69E7931}">
      <text>
        <r>
          <rPr>
            <b/>
            <sz val="9"/>
            <color indexed="81"/>
            <rFont val="Tahoma"/>
            <family val="2"/>
          </rPr>
          <t>ingeniero Yuber:</t>
        </r>
        <r>
          <rPr>
            <sz val="9"/>
            <color indexed="81"/>
            <rFont val="Tahoma"/>
            <family val="2"/>
          </rPr>
          <t xml:space="preserve">
Recubrimientos</t>
        </r>
      </text>
    </comment>
    <comment ref="F78" authorId="0" shapeId="0" xr:uid="{B91677E1-EA91-4CAF-A9B7-283F5E80656D}">
      <text>
        <r>
          <rPr>
            <b/>
            <sz val="9"/>
            <color indexed="81"/>
            <rFont val="Tahoma"/>
            <family val="2"/>
          </rPr>
          <t>ingeniero Yuber:</t>
        </r>
        <r>
          <rPr>
            <sz val="9"/>
            <color indexed="81"/>
            <rFont val="Tahoma"/>
            <family val="2"/>
          </rPr>
          <t xml:space="preserve">
Recubrimiento</t>
        </r>
      </text>
    </comment>
    <comment ref="E81" authorId="0" shapeId="0" xr:uid="{9517EC18-BDAD-409B-81AD-FF65DDC6907B}">
      <text>
        <r>
          <rPr>
            <b/>
            <sz val="9"/>
            <color indexed="81"/>
            <rFont val="Tahoma"/>
            <family val="2"/>
          </rPr>
          <t>ingeniero Yuber:</t>
        </r>
        <r>
          <rPr>
            <sz val="9"/>
            <color indexed="81"/>
            <rFont val="Tahoma"/>
            <family val="2"/>
          </rPr>
          <t xml:space="preserve">
Ganchos
</t>
        </r>
      </text>
    </comment>
    <comment ref="E84" authorId="0" shapeId="0" xr:uid="{24545752-DE02-4133-95BF-034CD6E4905F}">
      <text>
        <r>
          <rPr>
            <b/>
            <sz val="9"/>
            <color indexed="81"/>
            <rFont val="Tahoma"/>
            <family val="2"/>
          </rPr>
          <t>ingeniero Yuber:</t>
        </r>
        <r>
          <rPr>
            <sz val="9"/>
            <color indexed="81"/>
            <rFont val="Tahoma"/>
            <family val="2"/>
          </rPr>
          <t xml:space="preserve">
Ganchos
</t>
        </r>
      </text>
    </comment>
    <comment ref="E88" authorId="0" shapeId="0" xr:uid="{9973B791-2B28-49E1-8808-9254B6BCB1C3}">
      <text>
        <r>
          <rPr>
            <b/>
            <sz val="9"/>
            <color indexed="81"/>
            <rFont val="Tahoma"/>
            <family val="2"/>
          </rPr>
          <t>ingeniero Yuber:</t>
        </r>
        <r>
          <rPr>
            <sz val="9"/>
            <color indexed="81"/>
            <rFont val="Tahoma"/>
            <family val="2"/>
          </rPr>
          <t xml:space="preserve">
Ganchos
</t>
        </r>
      </text>
    </comment>
    <comment ref="D104" authorId="0" shapeId="0" xr:uid="{74B8DB96-78F1-4376-8D2D-A0035F778085}">
      <text>
        <r>
          <rPr>
            <b/>
            <sz val="9"/>
            <color indexed="81"/>
            <rFont val="Tahoma"/>
            <family val="2"/>
          </rPr>
          <t>ingeniero Yuber:</t>
        </r>
        <r>
          <rPr>
            <sz val="9"/>
            <color indexed="81"/>
            <rFont val="Tahoma"/>
            <family val="2"/>
          </rPr>
          <t xml:space="preserve">
Se considera 0,30m para poder formaletear</t>
        </r>
      </text>
    </comment>
    <comment ref="D105" authorId="0" shapeId="0" xr:uid="{B52711B3-3F76-4790-B398-15C45475FB14}">
      <text>
        <r>
          <rPr>
            <b/>
            <sz val="9"/>
            <color indexed="81"/>
            <rFont val="Tahoma"/>
            <family val="2"/>
          </rPr>
          <t>ingeniero Yuber:</t>
        </r>
        <r>
          <rPr>
            <sz val="9"/>
            <color indexed="81"/>
            <rFont val="Tahoma"/>
            <family val="2"/>
          </rPr>
          <t xml:space="preserve">
Se considera 0,30m para poder formaletear</t>
        </r>
      </text>
    </comment>
    <comment ref="D108" authorId="0" shapeId="0" xr:uid="{8B69B538-B9C2-47AC-B712-1919457997BD}">
      <text>
        <r>
          <rPr>
            <b/>
            <sz val="9"/>
            <color indexed="81"/>
            <rFont val="Tahoma"/>
            <family val="2"/>
          </rPr>
          <t>ingeniero Yuber:</t>
        </r>
        <r>
          <rPr>
            <sz val="9"/>
            <color indexed="81"/>
            <rFont val="Tahoma"/>
            <family val="2"/>
          </rPr>
          <t xml:space="preserve">
Se considera 0,30m para poder formaletear</t>
        </r>
      </text>
    </comment>
    <comment ref="D109" authorId="0" shapeId="0" xr:uid="{6CD093B5-B45E-440E-AF50-7B0F8A2FB214}">
      <text>
        <r>
          <rPr>
            <b/>
            <sz val="9"/>
            <color indexed="81"/>
            <rFont val="Tahoma"/>
            <family val="2"/>
          </rPr>
          <t>ingeniero Yuber:</t>
        </r>
        <r>
          <rPr>
            <sz val="9"/>
            <color indexed="81"/>
            <rFont val="Tahoma"/>
            <family val="2"/>
          </rPr>
          <t xml:space="preserve">
Se considera 0,30m para poder formaletear</t>
        </r>
      </text>
    </comment>
    <comment ref="E141" authorId="0" shapeId="0" xr:uid="{807A661C-9D73-4BE7-8500-9778E050DA34}">
      <text>
        <r>
          <rPr>
            <b/>
            <sz val="9"/>
            <color indexed="81"/>
            <rFont val="Tahoma"/>
            <family val="2"/>
          </rPr>
          <t>ingeniero Yuber:</t>
        </r>
        <r>
          <rPr>
            <sz val="9"/>
            <color indexed="81"/>
            <rFont val="Tahoma"/>
            <family val="2"/>
          </rPr>
          <t xml:space="preserve">
peso/metro lineal</t>
        </r>
      </text>
    </comment>
    <comment ref="F141" authorId="0" shapeId="0" xr:uid="{92A4D6BB-8889-4645-B257-94C3DF150CAB}">
      <text>
        <r>
          <rPr>
            <b/>
            <sz val="9"/>
            <color indexed="81"/>
            <rFont val="Tahoma"/>
            <family val="2"/>
          </rPr>
          <t>ingeniero Yuber:</t>
        </r>
        <r>
          <rPr>
            <sz val="9"/>
            <color indexed="81"/>
            <rFont val="Tahoma"/>
            <family val="2"/>
          </rPr>
          <t xml:space="preserve">
peso/metro lineal</t>
        </r>
      </text>
    </comment>
    <comment ref="E142" authorId="0" shapeId="0" xr:uid="{3957C5C7-6124-4DBD-A6CD-BAD997EAAEC8}">
      <text>
        <r>
          <rPr>
            <b/>
            <sz val="9"/>
            <color indexed="81"/>
            <rFont val="Tahoma"/>
            <family val="2"/>
          </rPr>
          <t>ingeniero Yuber:</t>
        </r>
        <r>
          <rPr>
            <sz val="9"/>
            <color indexed="81"/>
            <rFont val="Tahoma"/>
            <family val="2"/>
          </rPr>
          <t xml:space="preserve">
Recubrimientos</t>
        </r>
      </text>
    </comment>
    <comment ref="F142" authorId="0" shapeId="0" xr:uid="{AC71010B-4B35-40C5-917B-2917D3F56C67}">
      <text>
        <r>
          <rPr>
            <b/>
            <sz val="9"/>
            <color indexed="81"/>
            <rFont val="Tahoma"/>
            <family val="2"/>
          </rPr>
          <t>ingeniero Yuber:</t>
        </r>
        <r>
          <rPr>
            <sz val="9"/>
            <color indexed="81"/>
            <rFont val="Tahoma"/>
            <family val="2"/>
          </rPr>
          <t xml:space="preserve">
Recubrimiento</t>
        </r>
      </text>
    </comment>
    <comment ref="F222" authorId="0" shapeId="0" xr:uid="{0D2F3D22-379A-4510-84B7-C39E73EB16E1}">
      <text>
        <r>
          <rPr>
            <b/>
            <sz val="9"/>
            <color indexed="81"/>
            <rFont val="Tahoma"/>
            <family val="2"/>
          </rPr>
          <t>ingeniero Yuber:</t>
        </r>
        <r>
          <rPr>
            <sz val="9"/>
            <color indexed="81"/>
            <rFont val="Tahoma"/>
            <family val="2"/>
          </rPr>
          <t xml:space="preserve">
Se considera el 40% del material excavado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<sst xmlns="http://schemas.openxmlformats.org/spreadsheetml/2006/main" count="7126" uniqueCount="949">
  <si>
    <t>PRESUPUESTO ACUEDUCTO VEREDA CARAUQUIA</t>
  </si>
  <si>
    <t>MUNICIPIO DE BURITICA</t>
  </si>
  <si>
    <t>ITEM</t>
  </si>
  <si>
    <t>DETALLE</t>
  </si>
  <si>
    <t>U/M</t>
  </si>
  <si>
    <t>CANTIDAD</t>
  </si>
  <si>
    <t>VLR. UNIT.</t>
  </si>
  <si>
    <t>VLR. TOTAL</t>
  </si>
  <si>
    <t>I.</t>
  </si>
  <si>
    <t>BOCATOMA</t>
  </si>
  <si>
    <t>Localización</t>
  </si>
  <si>
    <r>
      <rPr>
        <sz val="10"/>
        <color theme="1"/>
        <rFont val="Arial"/>
        <family val="2"/>
      </rPr>
      <t>m</t>
    </r>
    <r>
      <rPr>
        <sz val="10"/>
        <color theme="1"/>
        <rFont val="Calibri"/>
        <family val="2"/>
      </rPr>
      <t>²</t>
    </r>
  </si>
  <si>
    <t>Manejo de la quebrada.</t>
  </si>
  <si>
    <t>gl</t>
  </si>
  <si>
    <t>Excavación en las condiciones de humedad existentes</t>
  </si>
  <si>
    <t>3.1</t>
  </si>
  <si>
    <t>en material heterogeneo</t>
  </si>
  <si>
    <r>
      <rPr>
        <sz val="10"/>
        <color theme="1"/>
        <rFont val="Arial"/>
        <family val="2"/>
      </rPr>
      <t>m</t>
    </r>
    <r>
      <rPr>
        <sz val="10"/>
        <color theme="1"/>
        <rFont val="Calibri"/>
        <family val="2"/>
      </rPr>
      <t>³</t>
    </r>
  </si>
  <si>
    <t>3.2</t>
  </si>
  <si>
    <t>en roca</t>
  </si>
  <si>
    <t>Concreto ciclopeo para fundacion de losa para represamiento de agua de fc=175 kg/cm2, con 60% de piedra.</t>
  </si>
  <si>
    <r>
      <rPr>
        <sz val="10"/>
        <color theme="1"/>
        <rFont val="Arial"/>
        <family val="2"/>
      </rPr>
      <t>Concreto de f´c=210 Kg/cm</t>
    </r>
    <r>
      <rPr>
        <sz val="10"/>
        <color theme="1"/>
        <rFont val="Calibri"/>
        <family val="2"/>
      </rPr>
      <t>², incluye aceleran</t>
    </r>
    <r>
      <rPr>
        <sz val="10"/>
        <color theme="1"/>
        <rFont val="Arial"/>
        <family val="2"/>
      </rPr>
      <t>te y formaleteria.</t>
    </r>
  </si>
  <si>
    <t>Acero de refuerzo.</t>
  </si>
  <si>
    <t>6.1</t>
  </si>
  <si>
    <t>Kg</t>
  </si>
  <si>
    <t>6.2</t>
  </si>
  <si>
    <t>Ø 1/2"  (60000 psi).</t>
  </si>
  <si>
    <t>Construccion de caja de derivacion en concreto,  adosada  a  bocatoma, (ver planos).</t>
  </si>
  <si>
    <t>un</t>
  </si>
  <si>
    <t>Rejilla (ver planos).</t>
  </si>
  <si>
    <t>Valvula de compuerta Ø 2" roscada tipo Reed White, incluye accesorios.</t>
  </si>
  <si>
    <t>Sistema de aforo en fibra de vidrio, incluye vertedero, sistema de rebose y desagues.</t>
  </si>
  <si>
    <t>Medio codo PVC-P  Ø 2" X 45°.</t>
  </si>
  <si>
    <t>Niple  Ø 4" en PVC, adaptador macho y tapón, para limpieza de bocatoma, (ver panos).</t>
  </si>
  <si>
    <t xml:space="preserve">Tubería PVC-P Ø 3" empotrada en toma. </t>
  </si>
  <si>
    <t>ml</t>
  </si>
  <si>
    <t>Llenos con material de la excavación.</t>
  </si>
  <si>
    <t xml:space="preserve">COSTO DIRECTO BOCATOMA </t>
  </si>
  <si>
    <t>II.</t>
  </si>
  <si>
    <t>TANQUE DESARENADOR</t>
  </si>
  <si>
    <t>Excavación.</t>
  </si>
  <si>
    <t>1.1</t>
  </si>
  <si>
    <t>en material heterogéneo.</t>
  </si>
  <si>
    <t>1.2</t>
  </si>
  <si>
    <t>en roca.</t>
  </si>
  <si>
    <t>Concreto para solado esp. = 0,05 m.</t>
  </si>
  <si>
    <t>Tanque  desarenador  en fibra de vidrio (PRFV), según planos. L = 2.20 m, Ancho = 0,80 m, H = 1.10 m.</t>
  </si>
  <si>
    <t>Válvula   de   compuerta eastica,  vastago no ascendente Ø4"</t>
  </si>
  <si>
    <t>Válvula  de  compuerta  Ø11/2",  E.R.</t>
  </si>
  <si>
    <t>Válvula  de  compuerta  Ø2",  E.R.</t>
  </si>
  <si>
    <t>Tubería PVC presión.</t>
  </si>
  <si>
    <t>8.1</t>
  </si>
  <si>
    <t>Ø 11/2"  RDE 21</t>
  </si>
  <si>
    <t>8.2</t>
  </si>
  <si>
    <t>Ø 2"  RDE 21</t>
  </si>
  <si>
    <t>8.3</t>
  </si>
  <si>
    <t>Ø 4"  RDE 21</t>
  </si>
  <si>
    <t>Tee PVC  P presión.</t>
  </si>
  <si>
    <t>9.1</t>
  </si>
  <si>
    <t>Ø2"</t>
  </si>
  <si>
    <t xml:space="preserve">Ø4" </t>
  </si>
  <si>
    <t>Codo PVC presión Ø2" x 90°.</t>
  </si>
  <si>
    <t>S.T.I de tanque cilindrico en fibra de vidrio PRFV, para   prefiltro,  incluye,  falso  fondo,  salida  de limpieza, rebose, tubería de repartición y salida. Diametro = 1,50 m.    H = 1,70 m.</t>
  </si>
  <si>
    <t>Torre  de  aireación  en  bandejas  perforadas en fibra  de  vidrio (PRFV), cuatro bandejas, incluye tuberías y montaje, (para reducción de hierro).</t>
  </si>
  <si>
    <t>Pall  Rings  Ø2" por 2" de altura, para reducción de hierro (van dentro de las bandejas).</t>
  </si>
  <si>
    <t>Unión mecanica PVC Ø 2" (pasante).</t>
  </si>
  <si>
    <t>Llenos.</t>
  </si>
  <si>
    <t xml:space="preserve">COSTO DIRECTO TANQUE DESARENADOR </t>
  </si>
  <si>
    <t>III.</t>
  </si>
  <si>
    <t xml:space="preserve">TANQUE DE ALMACENAMIENTO </t>
  </si>
  <si>
    <t>2.1</t>
  </si>
  <si>
    <t>2.2</t>
  </si>
  <si>
    <t>Entresuelo en piedra y recebo e=0.20m.</t>
  </si>
  <si>
    <t>Concreto para solado esp=0.05m.</t>
  </si>
  <si>
    <t>Concreto    de    f´c  =  210 kg / cm2,  incluye, formaletería.</t>
  </si>
  <si>
    <t>Ø1/2" - 5/8" (60000 psi)</t>
  </si>
  <si>
    <t>S.T.I de tanque cilindrico en PRFV, para unidad de filtracion, incluye falso fondo, tubería interna de salida de aguas filtradas, tubería de drenaje del tanque, tubería interna perforada de aguas de lavado de filtros. D= 2,70 m.    H= 2,50 m.</t>
  </si>
  <si>
    <t>S.T.I de tanque cilindrico en PRFV, para unidad de floculacion -  sedimentacion, incluye tubería interna de distribucion de agua cruda, tubería de desague agua de lavado, canaleta diente de sierra de agas floculadas. H = 2,80 m.    Diametro = 1,20 m.</t>
  </si>
  <si>
    <t>S.T.I   de   tanque   cilindrico  en  PRFV,  para lavado de filtro, incluye flotador Ø1", salidas para rebose y limpieza, Lado = 1,25 m.    H=1,25 m.</t>
  </si>
  <si>
    <t>11.1</t>
  </si>
  <si>
    <t>11.2</t>
  </si>
  <si>
    <r>
      <rPr>
        <sz val="10"/>
        <color theme="1"/>
        <rFont val="Arial"/>
        <family val="2"/>
      </rPr>
      <t>Codo PVC presión Ø1</t>
    </r>
    <r>
      <rPr>
        <sz val="10"/>
        <color theme="1"/>
        <rFont val="Calibri"/>
        <family val="2"/>
      </rPr>
      <t>½</t>
    </r>
    <r>
      <rPr>
        <sz val="10"/>
        <color theme="1"/>
        <rFont val="Arial"/>
        <family val="2"/>
      </rPr>
      <t>".</t>
    </r>
  </si>
  <si>
    <t>Codo PVC presión Ø2".</t>
  </si>
  <si>
    <t>Medio codo PVC presión Ø2".</t>
  </si>
  <si>
    <t>Tee Ø2" PVC-P presión.</t>
  </si>
  <si>
    <t>Válvula  de  compuerta  Ø2", tipo  Reed  White, incluye accesorios.</t>
  </si>
  <si>
    <t xml:space="preserve">Válvula bola metalica Ø2", incluye accesorios. </t>
  </si>
  <si>
    <t>Modulo    de   sedimentación   acelerada    en poliestireno    color   negro   calibre   1.5  mm, altura 75 cms, con tamaño de rombo 5,50cm y inclinación de celdas 60°, díametro 0.68 mt.</t>
  </si>
  <si>
    <t>Lecho poroso 3/4", para sedimentador.</t>
  </si>
  <si>
    <t>Grava de soporte en filtros.</t>
  </si>
  <si>
    <t>Arena torpedo.</t>
  </si>
  <si>
    <t>Arena para filtros Cu = 1.67   T.E = 0.48 mm.</t>
  </si>
  <si>
    <t>Antracita     Cu = 1.79      T.E = 0.70 mm.</t>
  </si>
  <si>
    <t>Macromedidor   Ø 11/2"   volumetrico,   incluye bridas PVC, empaques y tornilleria.</t>
  </si>
  <si>
    <t>Filtro   en   Yee   Ø11/2", E.R.</t>
  </si>
  <si>
    <t>Unión rapida deslizante Ø2".</t>
  </si>
  <si>
    <t>Caja  para  macromedidor, incluye base, muros y tapa con marco metalico (0.40x0.80) m, libres.</t>
  </si>
  <si>
    <t>Caja   para  válvula  de ( 0.30 x 0.30 ) m  libres, incluye    base,    muros   y   tapa  con  marco metalico.</t>
  </si>
  <si>
    <t>Cerramiento   cerco  en  alambre de púas, con estacón    inmunizado   de   Ø 4",  L = 2.50 m. incluye 10 hiladas de alambre y concreto para anclaje f´c = 175 kg/cm2.</t>
  </si>
  <si>
    <t>Puerta   en  estacón  media  caña inmunizado, según detalle en planos.</t>
  </si>
  <si>
    <t>Caseta de (1.30 m x 2.0 m) libres,  altura igual a 2.25 m, en bloque  de  0.15 m,  incluye  losa, refuerzo y puerta metalica con cerradura, según planos.</t>
  </si>
  <si>
    <t>Lechos  de  secado  en  fibra  de  vidrio (PRFV), incluye tanque con su respectivo techo en fibra de  vidrio,  grava  de  soporte  y  arena  gruesa, según planos.</t>
  </si>
  <si>
    <t>Tanque   espesador   de   lodos,   en  concreto, incluye refuerzo Ø3/8" c/0.20m, ambos sentidos, esp. muro = 0,10 m.   L =1,25 m.   H = 1,25 m.</t>
  </si>
  <si>
    <t>Manguera minera Ø2" (desague).</t>
  </si>
  <si>
    <t>Estuche  para  medición de cloro libre en agua potable;  rango  de 0 - 3.4 ppm con  resolución de 0.1  ppm;  técnica  del  disco  de  color con reactivo  dpd; consta de caja de medición; dos (2)  tubos  plasticos, disco de color; cien (100) pruebas   de   cloro   libre,  estuche  plastico y manual de instrucciones.</t>
  </si>
  <si>
    <t>Tanque plastico de 250 litros para dosificadores, incluye accesorios</t>
  </si>
  <si>
    <t>Llenos</t>
  </si>
  <si>
    <t>COSTO DIRECTO TANQUE DE ALMACENAMIENTO</t>
  </si>
  <si>
    <t>IV.</t>
  </si>
  <si>
    <t>ADUCCIÓN  -  CONDUCCIÓN  Y  REDES  DE DISTRIBUCION</t>
  </si>
  <si>
    <t>Acueducto Vereda Carauquia</t>
  </si>
  <si>
    <t>Descripción</t>
  </si>
  <si>
    <t>Longitud (m)</t>
  </si>
  <si>
    <t>en tierra</t>
  </si>
  <si>
    <t>Red Principal - Tubería de 2"</t>
  </si>
  <si>
    <t>Red Principal - Tubería de 1 1/2"</t>
  </si>
  <si>
    <t>Tubería PVC.</t>
  </si>
  <si>
    <t>Red Principal - Tubería de 1"</t>
  </si>
  <si>
    <t>Ø 1/2"  (manguera PF+UAD), incluye accesor.</t>
  </si>
  <si>
    <t>Red Secundaria - Tubería de  Ø 3/4"</t>
  </si>
  <si>
    <t>Ø 1/2"  RDE 13.5  presión, incluye accesorios.</t>
  </si>
  <si>
    <t>Red Secundaria - Tubería de  Ø 1/2"</t>
  </si>
  <si>
    <t>3.3</t>
  </si>
  <si>
    <t>Ø 3/4"  RDE 21, incluye accesorios.</t>
  </si>
  <si>
    <t xml:space="preserve">Total Redes </t>
  </si>
  <si>
    <t>Ø 1"  RDE 21, incluye accesorios.</t>
  </si>
  <si>
    <t>3.4</t>
  </si>
  <si>
    <r>
      <rPr>
        <sz val="10"/>
        <color theme="1"/>
        <rFont val="Arial"/>
        <family val="2"/>
      </rPr>
      <t>Ø 1</t>
    </r>
    <r>
      <rPr>
        <sz val="10"/>
        <color theme="1"/>
        <rFont val="Calibri"/>
        <family val="2"/>
      </rPr>
      <t>½</t>
    </r>
    <r>
      <rPr>
        <sz val="10"/>
        <color theme="1"/>
        <rFont val="Arial"/>
        <family val="2"/>
      </rPr>
      <t>"  RDE 21, incluye accesorios.</t>
    </r>
  </si>
  <si>
    <t>3.5</t>
  </si>
  <si>
    <t>Ø2"  RDE 21  Unión Mecanica</t>
  </si>
  <si>
    <t>Codo Ø 2" x 221/2° gran radio U.M.</t>
  </si>
  <si>
    <t>Medio Codo Ø2" PVC presión.</t>
  </si>
  <si>
    <t>Tee Ø2" PVC  P presión.</t>
  </si>
  <si>
    <t>Buje soldado Ø2" X 11/2" PVC.</t>
  </si>
  <si>
    <t>Unión Ø2" PVC presión.</t>
  </si>
  <si>
    <t>Unión rapida Ø2" pvc.</t>
  </si>
  <si>
    <t>Collar de derivación Ø2" x 1/2".</t>
  </si>
  <si>
    <t>Suministro y colocación de medidor de velocidad Ø1/2",  incluye  colocación  de  válvula  de control, registro de corte antifraude, accesorios PVC de Ø 1/2 y construcción de caja con tapa metálica.</t>
  </si>
  <si>
    <t>Válvula paso libre E.R., tipo Reed White.</t>
  </si>
  <si>
    <t>12.1</t>
  </si>
  <si>
    <t>Ø 1/2"</t>
  </si>
  <si>
    <t>12.2</t>
  </si>
  <si>
    <t>Ø 1"</t>
  </si>
  <si>
    <t>12.3</t>
  </si>
  <si>
    <t>Ø 2"</t>
  </si>
  <si>
    <t>Válvula ventosa de Ø 1/2", incluye collar, niples y valvula de control.</t>
  </si>
  <si>
    <t>Válvula  reguladora de presión, incluye filtro en yee, válvula de control (entrada), ventosa, unión, manometro, niples roscados, unión desmontaje, tees. Ø1/2"</t>
  </si>
  <si>
    <t>Válvula  reguladora de presión, incluye filtro en yee, válvula de control (entrada), ventosa, unión, manometro, niples roscados, unión desmontaje, tees. Ø1"</t>
  </si>
  <si>
    <r>
      <rPr>
        <sz val="10"/>
        <color theme="1"/>
        <rFont val="Arial"/>
        <family val="2"/>
      </rPr>
      <t>Válvula  reguladora de presión, incluye válvula de control (entrada), ventosa, unión, manometro, niples roscados, unión desmontaje, tees. Ø1</t>
    </r>
    <r>
      <rPr>
        <sz val="10"/>
        <color theme="1"/>
        <rFont val="Calibri"/>
        <family val="2"/>
      </rPr>
      <t>½</t>
    </r>
    <r>
      <rPr>
        <sz val="10"/>
        <color theme="1"/>
        <rFont val="Arial"/>
        <family val="2"/>
      </rPr>
      <t>"</t>
    </r>
  </si>
  <si>
    <t>Caja   para   válvula  de  (0.40 x 0.40) m  libres, incluye base, muros y tapa con marco metalico.</t>
  </si>
  <si>
    <t>Caja para válvula reguladora de presión, incluye muros  y  tapa  metálica  metalica  con  marco (0,40 x0,50) m,  H = 0,60 m  para Ø1/2"</t>
  </si>
  <si>
    <r>
      <rPr>
        <sz val="10"/>
        <color theme="1"/>
        <rFont val="Arial"/>
        <family val="2"/>
      </rPr>
      <t>Caja para válvula reguladora de presión, incluye muros  y  tapa  metálica  metalica  con  marco (0,50 x 1,50) m,  H = 0,60 m  para Ø1</t>
    </r>
    <r>
      <rPr>
        <sz val="10"/>
        <color theme="1"/>
        <rFont val="Calibri"/>
        <family val="2"/>
      </rPr>
      <t>½</t>
    </r>
    <r>
      <rPr>
        <sz val="10"/>
        <color theme="1"/>
        <rFont val="Arial"/>
        <family val="2"/>
      </rPr>
      <t>"</t>
    </r>
  </si>
  <si>
    <t xml:space="preserve">Concreto de f'c = 175 kg/cm2, para atraques. </t>
  </si>
  <si>
    <t>Llenos   con   material   de  la  misma  brecha, compactados en capas de 0,20 m.</t>
  </si>
  <si>
    <t xml:space="preserve">COSTO DIRECTO CONDUCCION, ADUCCION - RED DE DISTRIBUCION </t>
  </si>
  <si>
    <t>PRESUPUESTO TOTAL ACUEDUCTO VEREDA CARAUQUIA MUNICIPIO DE BURITICA</t>
  </si>
  <si>
    <t>COSTO BOCATOMA</t>
  </si>
  <si>
    <t>COSTO TANQUE DESARENADOR</t>
  </si>
  <si>
    <t>COSTO TANQUE DE ALMACENAMIENTO</t>
  </si>
  <si>
    <t xml:space="preserve">COSTO RED DE DISTRIBUCIÓN </t>
  </si>
  <si>
    <t>V.</t>
  </si>
  <si>
    <t>COSTO CERCADO DE LA BOCATOMA</t>
  </si>
  <si>
    <t>TOTAL COSTO DIRECTO</t>
  </si>
  <si>
    <t>Administración</t>
  </si>
  <si>
    <t>Utilidad</t>
  </si>
  <si>
    <t>COSTO TOTAL ACUEDUCTO</t>
  </si>
  <si>
    <t>RESUMEN FINAL</t>
  </si>
  <si>
    <t>A.</t>
  </si>
  <si>
    <t>B.</t>
  </si>
  <si>
    <t>COSTO INTERVENTORIA ( 8%)</t>
  </si>
  <si>
    <t>COSTO ACUEDUCTO + INTERVENTORIA (A+B)</t>
  </si>
  <si>
    <t>C</t>
  </si>
  <si>
    <t>COSTOS AMBIENTALES (1%)</t>
  </si>
  <si>
    <t xml:space="preserve"> TOTAL PROYECTO ACUEDUCTO (A+B+C)</t>
  </si>
  <si>
    <t>ANALISIS DE PRECIOS UNITARIOS</t>
  </si>
  <si>
    <t>NOMBRE: MUNICIPIO DE BURITICA</t>
  </si>
  <si>
    <t xml:space="preserve">OBRA N°      Bocatoma - Acueducto </t>
  </si>
  <si>
    <t>Fecha:</t>
  </si>
  <si>
    <t>ITEM N° :  1.</t>
  </si>
  <si>
    <t xml:space="preserve">CANTIDAD: </t>
  </si>
  <si>
    <t xml:space="preserve">     UNID:</t>
  </si>
  <si>
    <t>M2</t>
  </si>
  <si>
    <t>I.EQUIPO</t>
  </si>
  <si>
    <t>Tipo</t>
  </si>
  <si>
    <t>Tarifa/Hr.</t>
  </si>
  <si>
    <t>Rendim.</t>
  </si>
  <si>
    <t>Valor Unit.</t>
  </si>
  <si>
    <t>Herram.</t>
  </si>
  <si>
    <t>1 Oficial</t>
  </si>
  <si>
    <t>Subtotal</t>
  </si>
  <si>
    <t>1 Ayudante</t>
  </si>
  <si>
    <t>II. MATERIALES</t>
  </si>
  <si>
    <t>1 Minero</t>
  </si>
  <si>
    <t>Unidad</t>
  </si>
  <si>
    <t>Prec. Un.</t>
  </si>
  <si>
    <t>Cantid.</t>
  </si>
  <si>
    <t>1 pintor</t>
  </si>
  <si>
    <t>III.TRANSPORTE</t>
  </si>
  <si>
    <t>Material</t>
  </si>
  <si>
    <t>Vol.o peso</t>
  </si>
  <si>
    <t>Distancia</t>
  </si>
  <si>
    <t>Tarifa</t>
  </si>
  <si>
    <t>IV. MANO DE OBRA</t>
  </si>
  <si>
    <t>Trabajador</t>
  </si>
  <si>
    <t>Jornal/dia</t>
  </si>
  <si>
    <t>Prest. Soc.</t>
  </si>
  <si>
    <t>Jornal Tot.</t>
  </si>
  <si>
    <t>Rendim/to</t>
  </si>
  <si>
    <t>Valor total</t>
  </si>
  <si>
    <t xml:space="preserve"> A: 25%</t>
  </si>
  <si>
    <t xml:space="preserve">         </t>
  </si>
  <si>
    <t xml:space="preserve">   TOTAL COSTO DIRECTO</t>
  </si>
  <si>
    <t>A.I.U.    (  30   ) %</t>
  </si>
  <si>
    <t xml:space="preserve"> U: 5%</t>
  </si>
  <si>
    <t xml:space="preserve">   PRECIO UNITARIO</t>
  </si>
  <si>
    <t>ITEM N° :  2.</t>
  </si>
  <si>
    <t>Manejo de la quebrada</t>
  </si>
  <si>
    <t>GLB</t>
  </si>
  <si>
    <t>Costales</t>
  </si>
  <si>
    <t>Plastico</t>
  </si>
  <si>
    <t>glb</t>
  </si>
  <si>
    <t>Tubería</t>
  </si>
  <si>
    <t>Transporte local</t>
  </si>
  <si>
    <t>2 Ayudante</t>
  </si>
  <si>
    <t>ITEM N° :   3.1</t>
  </si>
  <si>
    <t>Excavacion en material humedo heterogeneo</t>
  </si>
  <si>
    <t>M3</t>
  </si>
  <si>
    <t>2 Ayudantes</t>
  </si>
  <si>
    <t>ITEM N° :   3.2</t>
  </si>
  <si>
    <t>Excavacion en roca.</t>
  </si>
  <si>
    <t>Mecha, polvora</t>
  </si>
  <si>
    <t>Glb</t>
  </si>
  <si>
    <t>Transp.</t>
  </si>
  <si>
    <t>ITEM N° :  4.</t>
  </si>
  <si>
    <t>Concreto ciclopeo, incluye acelerante y formaleteria</t>
  </si>
  <si>
    <t>Cemento.</t>
  </si>
  <si>
    <t>saco</t>
  </si>
  <si>
    <t>Material de playa.</t>
  </si>
  <si>
    <t>m3</t>
  </si>
  <si>
    <t>Piedra.</t>
  </si>
  <si>
    <t>Acelerante.</t>
  </si>
  <si>
    <t>Formaleteria.</t>
  </si>
  <si>
    <t>Desperdicio</t>
  </si>
  <si>
    <t>Transporte</t>
  </si>
  <si>
    <t>3 Ayudantes</t>
  </si>
  <si>
    <t>ITEM N° :  5.</t>
  </si>
  <si>
    <t>Concreto f'c = 210 kg/cm2, incluye acelerante y formaleteria</t>
  </si>
  <si>
    <t>Desperdicio.</t>
  </si>
  <si>
    <t>4 Ayudantes</t>
  </si>
  <si>
    <t>ITEM N° :  6.1</t>
  </si>
  <si>
    <t>Acero de refuerzo Ø 3/8".</t>
  </si>
  <si>
    <t>KG</t>
  </si>
  <si>
    <t>Acero Ø 3/8".</t>
  </si>
  <si>
    <t>kg</t>
  </si>
  <si>
    <t>$3.809,52</t>
  </si>
  <si>
    <t>Alambre</t>
  </si>
  <si>
    <t>glb.</t>
  </si>
  <si>
    <t>ITEM N° :   6.2</t>
  </si>
  <si>
    <t>Acero de refuerzo Ø 1/2" .</t>
  </si>
  <si>
    <t>Acero Ø 1/2".</t>
  </si>
  <si>
    <t>ITEM N° :   7.</t>
  </si>
  <si>
    <t>Construción de caja de derivación en concreto, adosada a bocatoma, (ver planos).</t>
  </si>
  <si>
    <t>UN</t>
  </si>
  <si>
    <t>Concr.  210 kg/cm2</t>
  </si>
  <si>
    <t>Herraje tapa.</t>
  </si>
  <si>
    <t>ITEM N° :   8.</t>
  </si>
  <si>
    <t>Rejilla (según planos)</t>
  </si>
  <si>
    <t>Rejilla.</t>
  </si>
  <si>
    <t>ITEM N°   9.</t>
  </si>
  <si>
    <t>Valvula de compuerta tipo Reed White Ø 2", incluye accesorios.</t>
  </si>
  <si>
    <t>Valvula Ø 2".</t>
  </si>
  <si>
    <t xml:space="preserve">Adapt. Macho Ø2".  </t>
  </si>
  <si>
    <t>Teflón.</t>
  </si>
  <si>
    <t>Glb.</t>
  </si>
  <si>
    <t>ITEM N°  10.</t>
  </si>
  <si>
    <t>ITEM N°  11.</t>
  </si>
  <si>
    <t>Sistema de aforo en fibra de vidrio (PRFV), incluye vertedero y sistema de rebose.</t>
  </si>
  <si>
    <t>Tanque  pequeño  en</t>
  </si>
  <si>
    <t>PRFV,  incluye  tela,</t>
  </si>
  <si>
    <t>fibra de vidrio, resina,</t>
  </si>
  <si>
    <t>masilla,  acelerante,</t>
  </si>
  <si>
    <t>pintura.</t>
  </si>
  <si>
    <t>ITEM N°  12.</t>
  </si>
  <si>
    <t>Codo PVC - P    Ø 2" X 45°</t>
  </si>
  <si>
    <t>Codo Ø3"x45° pvc-p.</t>
  </si>
  <si>
    <t>Soldadura, limpiador.</t>
  </si>
  <si>
    <t>ITEM N°  13.</t>
  </si>
  <si>
    <t>Niple Ø3" en PVC- RDE 21, adaptador macho y tapón, para limpieza de bacatoma</t>
  </si>
  <si>
    <t>Tub. pvc-s Ø3".</t>
  </si>
  <si>
    <t>Adapt. Macho pvc 3".</t>
  </si>
  <si>
    <t>Tapón roscado 3".</t>
  </si>
  <si>
    <t>Limpiador, soldadura.</t>
  </si>
  <si>
    <t>ITEM N°  14.</t>
  </si>
  <si>
    <t>Tuberia PVC - P  Ø 3" empotrada en toma.</t>
  </si>
  <si>
    <t>ML</t>
  </si>
  <si>
    <t>Tuberia 3" RDE 21.</t>
  </si>
  <si>
    <t>Soldadura, limp.</t>
  </si>
  <si>
    <t>ITEM N°  15.</t>
  </si>
  <si>
    <t xml:space="preserve">OBRA N°      Desarenador - Acueducto </t>
  </si>
  <si>
    <t>ITEM N° :   1,1</t>
  </si>
  <si>
    <t>Excavacion en material heterogéneo.</t>
  </si>
  <si>
    <t>2  Ayudantes</t>
  </si>
  <si>
    <t>ITEM N° :   1.2</t>
  </si>
  <si>
    <t>Taladro percutor</t>
  </si>
  <si>
    <t>Planta Energia</t>
  </si>
  <si>
    <t>Cemento demoledor.</t>
  </si>
  <si>
    <t xml:space="preserve">Transp. </t>
  </si>
  <si>
    <t>1 ayudante</t>
  </si>
  <si>
    <t xml:space="preserve"> A: 27%</t>
  </si>
  <si>
    <t>A.I.U.    (  32   ) %</t>
  </si>
  <si>
    <t>ITEM N° :   2.</t>
  </si>
  <si>
    <t>ITEM N°  3</t>
  </si>
  <si>
    <t>metalico.</t>
  </si>
  <si>
    <t>Concreto</t>
  </si>
  <si>
    <t>Herraje metalico</t>
  </si>
  <si>
    <t>ITEM N° :   4</t>
  </si>
  <si>
    <t>Tanque desarenador en fibra de vidrio (PRFV), según plano.</t>
  </si>
  <si>
    <t xml:space="preserve">Tanque  en  fibra  de  </t>
  </si>
  <si>
    <t>vidrio, incluye tela,</t>
  </si>
  <si>
    <t>masilla, acelerante,</t>
  </si>
  <si>
    <t>2 ayudante</t>
  </si>
  <si>
    <t>1 Pintor</t>
  </si>
  <si>
    <t>ITEM N°   5</t>
  </si>
  <si>
    <t>Válvula de compuerta elastica, vastago no ascendente Ø 4", J.H.</t>
  </si>
  <si>
    <t>Válvula Ø 4".</t>
  </si>
  <si>
    <t>Lubricante.</t>
  </si>
  <si>
    <t>ITEM N°   6</t>
  </si>
  <si>
    <t>Válvula de Compuerta tipo Reed White Ø 11/2", E.R.</t>
  </si>
  <si>
    <t>Válvula Ø 11/2".</t>
  </si>
  <si>
    <t>Adapt. macho Ø11/2".</t>
  </si>
  <si>
    <t>Teflon.</t>
  </si>
  <si>
    <t>ITEM N°   7</t>
  </si>
  <si>
    <t>Válvula de Compuerta tipo Reed White Ø2", E.R.</t>
  </si>
  <si>
    <t>Válvula Ø 2".</t>
  </si>
  <si>
    <t>Adapt. macho Ø2".</t>
  </si>
  <si>
    <t>ITEM N°   8.1</t>
  </si>
  <si>
    <r>
      <rPr>
        <sz val="10"/>
        <color theme="1"/>
        <rFont val="Arial"/>
        <family val="2"/>
      </rPr>
      <t>Tubería PVC presión Ø 1</t>
    </r>
    <r>
      <rPr>
        <sz val="10"/>
        <color theme="1"/>
        <rFont val="Calibri"/>
        <family val="2"/>
      </rPr>
      <t>½</t>
    </r>
    <r>
      <rPr>
        <sz val="10"/>
        <color theme="1"/>
        <rFont val="Arial"/>
        <family val="2"/>
      </rPr>
      <t xml:space="preserve">" RDE 21. </t>
    </r>
  </si>
  <si>
    <t>M.L</t>
  </si>
  <si>
    <r>
      <rPr>
        <sz val="10"/>
        <color theme="1"/>
        <rFont val="Arial"/>
        <family val="2"/>
      </rPr>
      <t>Tuberia 1</t>
    </r>
    <r>
      <rPr>
        <sz val="10"/>
        <color theme="1"/>
        <rFont val="Calibri"/>
        <family val="2"/>
      </rPr>
      <t>½</t>
    </r>
    <r>
      <rPr>
        <sz val="10"/>
        <color theme="1"/>
        <rFont val="Arial"/>
        <family val="2"/>
      </rPr>
      <t>" RDE 21.</t>
    </r>
  </si>
  <si>
    <t>ITEM N°   8.2</t>
  </si>
  <si>
    <t xml:space="preserve">Tubería PVC presión Ø 2" RDE 21. </t>
  </si>
  <si>
    <t>Tuberia 2" RDE 21.</t>
  </si>
  <si>
    <t>gal</t>
  </si>
  <si>
    <t>Accesorios</t>
  </si>
  <si>
    <t>limpiador</t>
  </si>
  <si>
    <t>ITEM N°   8.3</t>
  </si>
  <si>
    <t xml:space="preserve">Tubería PVC presión Ø 4" RDE 21. </t>
  </si>
  <si>
    <t>Tub. pvc-s Ø4".</t>
  </si>
  <si>
    <t>Ml</t>
  </si>
  <si>
    <t>Soldadura.</t>
  </si>
  <si>
    <t>ITEM N°   9.1</t>
  </si>
  <si>
    <t xml:space="preserve">Tee PVC P presión Ø 2". </t>
  </si>
  <si>
    <t>Tee pvc - p Ø 2".</t>
  </si>
  <si>
    <t>ITEM N°  9.2</t>
  </si>
  <si>
    <t xml:space="preserve">Tee PVC P presión Ø 4". </t>
  </si>
  <si>
    <t>Tee pvc - p Ø 4".</t>
  </si>
  <si>
    <t>ITEM N°   10</t>
  </si>
  <si>
    <t xml:space="preserve">Codo PVC presión Ø 2". </t>
  </si>
  <si>
    <t>Codo Ø 2"x90° pvc.</t>
  </si>
  <si>
    <t>Bandejas perforadas</t>
  </si>
  <si>
    <t>en vidrio (PRFV)</t>
  </si>
  <si>
    <t>Pall  Rings  Ø2" por 2" de altura</t>
  </si>
  <si>
    <t>Ayudantes</t>
  </si>
  <si>
    <t>ITEM N°   14</t>
  </si>
  <si>
    <t xml:space="preserve">Union mecanica 2" pvc- p.   </t>
  </si>
  <si>
    <t>Unión pasante Ø 3".</t>
  </si>
  <si>
    <t>ITEM N°   15</t>
  </si>
  <si>
    <t xml:space="preserve">Llenos. </t>
  </si>
  <si>
    <t xml:space="preserve">OBRA N°      Tanque almacenamiento - Acueducto </t>
  </si>
  <si>
    <t>ITEM N° :   1.</t>
  </si>
  <si>
    <t>ITEM N° :   2,1</t>
  </si>
  <si>
    <t>ITEM N° :   2.2</t>
  </si>
  <si>
    <t>Mecha, polvora.</t>
  </si>
  <si>
    <t>ITEM N° :   3.</t>
  </si>
  <si>
    <t>Entresuelo en piedra y recebo e = 0,20 m.</t>
  </si>
  <si>
    <t>Piedra</t>
  </si>
  <si>
    <t>Recebo</t>
  </si>
  <si>
    <t>ITEM N° :   4.</t>
  </si>
  <si>
    <t>Concreto para solado esp = 0.05 m.</t>
  </si>
  <si>
    <t>ITEM N° :   6.</t>
  </si>
  <si>
    <t>Acero de refuerzo Ø 1/2" y  Ø 5/8".</t>
  </si>
  <si>
    <t>Acero Ø 5/8".</t>
  </si>
  <si>
    <t>ITEM N°   7.</t>
  </si>
  <si>
    <t>S.T.I de tanque cilindrico en PRFV, para unidad de floculación-sedimentación</t>
  </si>
  <si>
    <t>D = 0,90 m.    H = 2,90 m.</t>
  </si>
  <si>
    <t>Tanques en PRFV,</t>
  </si>
  <si>
    <t>Ø=1,20 m h=2,80 m</t>
  </si>
  <si>
    <t>Incluye: tela, fibra de</t>
  </si>
  <si>
    <t>vidrio, resina, masi -</t>
  </si>
  <si>
    <t>lla, acelerante, pintu</t>
  </si>
  <si>
    <t>ra, molde.</t>
  </si>
  <si>
    <t>Transporte al sitio.</t>
  </si>
  <si>
    <t>1 Oficial.</t>
  </si>
  <si>
    <t>ITEM N°   8.</t>
  </si>
  <si>
    <t>S.T.I de tanque cilindrico en PRFV, para unidad de filtración, incluye falso fondo,</t>
  </si>
  <si>
    <t>Ø = 0,70 m, H = 2.70 m.</t>
  </si>
  <si>
    <t>Tanque cilindrico en PRFV, para unidad de filtración, incluye tuberías y accesorios. H = 2,80 m.    Diametro = 1,20 m.</t>
  </si>
  <si>
    <t>ITEM N°   9</t>
  </si>
  <si>
    <t>H = 2,55 mts.</t>
  </si>
  <si>
    <t>Compresor, pistola.</t>
  </si>
  <si>
    <t>Electrico</t>
  </si>
  <si>
    <t>Tanques  en  PRFV,</t>
  </si>
  <si>
    <t>Incluye: tela fibra de</t>
  </si>
  <si>
    <t>ra, escalera, molde.</t>
  </si>
  <si>
    <t>Ø=0,90 m h=2,90 m</t>
  </si>
  <si>
    <t>ITEM N°   11.1</t>
  </si>
  <si>
    <t xml:space="preserve">Tubería PVC presión Ø 11/2" RDE 21. </t>
  </si>
  <si>
    <t>ITEM N°   11.2</t>
  </si>
  <si>
    <t>ITEM N°   12</t>
  </si>
  <si>
    <r>
      <rPr>
        <sz val="10"/>
        <color theme="1"/>
        <rFont val="Arial"/>
        <family val="2"/>
      </rPr>
      <t>Codo PVC presión Ø 1</t>
    </r>
    <r>
      <rPr>
        <sz val="10"/>
        <color theme="1"/>
        <rFont val="Calibri"/>
        <family val="2"/>
      </rPr>
      <t>½</t>
    </r>
    <r>
      <rPr>
        <sz val="10"/>
        <color theme="1"/>
        <rFont val="Arial"/>
        <family val="2"/>
      </rPr>
      <t xml:space="preserve">". </t>
    </r>
  </si>
  <si>
    <t>CodoØ 2" x 90° pvcp.</t>
  </si>
  <si>
    <t>ITEM N°   13</t>
  </si>
  <si>
    <t xml:space="preserve">Medio codo PVC presión Ø 2". </t>
  </si>
  <si>
    <t>Medio codoØ 2" .</t>
  </si>
  <si>
    <t>Tee Ø 2" pvc - p.</t>
  </si>
  <si>
    <t>ITEM N°   16.</t>
  </si>
  <si>
    <t>ITEM N°   17</t>
  </si>
  <si>
    <r>
      <rPr>
        <sz val="10"/>
        <color theme="1"/>
        <rFont val="Arial"/>
        <family val="2"/>
      </rPr>
      <t>Válvula de bola Ø 1</t>
    </r>
    <r>
      <rPr>
        <sz val="10"/>
        <color theme="1"/>
        <rFont val="Calibri"/>
        <family val="2"/>
      </rPr>
      <t>½</t>
    </r>
    <r>
      <rPr>
        <sz val="10"/>
        <color theme="1"/>
        <rFont val="Arial"/>
        <family val="2"/>
      </rPr>
      <t>", E.R.</t>
    </r>
  </si>
  <si>
    <t>ITEM N°   18</t>
  </si>
  <si>
    <t xml:space="preserve">Modulo de sedimentación acelerada en poliestireno color negro calibre 1,5 mm, </t>
  </si>
  <si>
    <t>altura 51 cm con tamaño de rombo 5,5 cm y inclinación de celdas 60° díametro 0,68 m.</t>
  </si>
  <si>
    <t>Modulo Sediment.</t>
  </si>
  <si>
    <t>ITEM N°   19</t>
  </si>
  <si>
    <t>Lecho poroso 3/4", para sedimentador</t>
  </si>
  <si>
    <t>Triturado Ø3/4".</t>
  </si>
  <si>
    <t>ITEM N°   20</t>
  </si>
  <si>
    <t>Grava de soporte.</t>
  </si>
  <si>
    <t>ITEM N°   21</t>
  </si>
  <si>
    <t>Ano: 2018</t>
  </si>
  <si>
    <t>ITEM N°   22</t>
  </si>
  <si>
    <t>Arena para filtros Cu=1,67 T.E=0,70 mm.</t>
  </si>
  <si>
    <t>Arena para filtros.</t>
  </si>
  <si>
    <t>ITEM N°   23</t>
  </si>
  <si>
    <t>Antracita Cu=1,79 T.E=0,70 mm,</t>
  </si>
  <si>
    <t>Antracita.</t>
  </si>
  <si>
    <t>ITEM N°  24</t>
  </si>
  <si>
    <t>Medidor  Ø 11/2" volumetrico, incluye accesorios.</t>
  </si>
  <si>
    <t>Medidor Ø 11/2".</t>
  </si>
  <si>
    <t>Adaptadores.</t>
  </si>
  <si>
    <t>ITEM N°  25</t>
  </si>
  <si>
    <t>Filtro en Yee Ø 11/2" roscado, incluye accesorios.</t>
  </si>
  <si>
    <t>Filtro Y Ø11/2".</t>
  </si>
  <si>
    <t>ITEM N°  26</t>
  </si>
  <si>
    <t>Unión reparación deslizante Ø 2".</t>
  </si>
  <si>
    <t>Unión  Ø11/2".</t>
  </si>
  <si>
    <t>ITEM N°   27</t>
  </si>
  <si>
    <t>Caja  para  macromedidor,  incluye  base, muros  y  tapa  con marco metalico de</t>
  </si>
  <si>
    <t>(0,40 x 0,80) m.</t>
  </si>
  <si>
    <t>Bloque de 0,10 m.</t>
  </si>
  <si>
    <t>Concreto.</t>
  </si>
  <si>
    <t>Madera</t>
  </si>
  <si>
    <t>ITEM N°   28</t>
  </si>
  <si>
    <t>Caja para válvula de (0,30 x 0,30)m, libres  incluye base, muros y tapa con marco</t>
  </si>
  <si>
    <t>ITEM N°   29</t>
  </si>
  <si>
    <r>
      <rPr>
        <sz val="10"/>
        <color theme="1"/>
        <rFont val="Arial"/>
        <family val="2"/>
      </rPr>
      <t>Cerramiento cerco  en  alambre  de  púas, Ø</t>
    </r>
    <r>
      <rPr>
        <sz val="8"/>
        <color theme="1"/>
        <rFont val="Arial"/>
        <family val="2"/>
      </rPr>
      <t xml:space="preserve"> 4",  L = 2,50 m,  incluye  10 hiladas de</t>
    </r>
  </si>
  <si>
    <t>alambre de púas, concreto.</t>
  </si>
  <si>
    <t>Diferencial.</t>
  </si>
  <si>
    <t>Paral 4"  L=2,50 m.</t>
  </si>
  <si>
    <t>Alambre de púas.</t>
  </si>
  <si>
    <t>m.l</t>
  </si>
  <si>
    <t>Conct. 175 kg/cm2</t>
  </si>
  <si>
    <t>ITEM N°   30</t>
  </si>
  <si>
    <t>Puerta en estacón media caña inmunizado, según detalle en planos.</t>
  </si>
  <si>
    <t>Puerta.</t>
  </si>
  <si>
    <t>Cerradura.</t>
  </si>
  <si>
    <t>ITEM N°   31</t>
  </si>
  <si>
    <t>Caseta de (1.30 m x 2.0 m.) libres, altura 2.06 m, en bloque de 0.15 m, incluye</t>
  </si>
  <si>
    <t>losa, refuerzo y puerta metalica.</t>
  </si>
  <si>
    <t>Caseta d (1.30x2.0)</t>
  </si>
  <si>
    <t>libres, incluye muros</t>
  </si>
  <si>
    <t>losa, puerta y refuer-</t>
  </si>
  <si>
    <t>zo según planos.</t>
  </si>
  <si>
    <t>ITEM N°   32</t>
  </si>
  <si>
    <t>Lechos de secado en fibra de vidrio, incluye tanque con techo, grava de soporte</t>
  </si>
  <si>
    <t>y arena.</t>
  </si>
  <si>
    <t>Ø=1,20 m H=1,05 m.</t>
  </si>
  <si>
    <t>ra, y techo.</t>
  </si>
  <si>
    <t>Lecho.</t>
  </si>
  <si>
    <t>ITEM N°   33</t>
  </si>
  <si>
    <t>Adobe 10x20x40</t>
  </si>
  <si>
    <t>acero refuerzo</t>
  </si>
  <si>
    <t>Mortero</t>
  </si>
  <si>
    <t>revoque</t>
  </si>
  <si>
    <t>ITEM N°   34</t>
  </si>
  <si>
    <t xml:space="preserve">Manguera minera  Ø 2". </t>
  </si>
  <si>
    <t>Manguera Ø 2".</t>
  </si>
  <si>
    <t>Accesorios.</t>
  </si>
  <si>
    <t>ITEM N°   35</t>
  </si>
  <si>
    <t>Estuche para medición de cloro en agua potable</t>
  </si>
  <si>
    <t>2.0</t>
  </si>
  <si>
    <t xml:space="preserve">Estuche   medición  </t>
  </si>
  <si>
    <t>de cloro.</t>
  </si>
  <si>
    <t>ITEM N°   36</t>
  </si>
  <si>
    <t>Tanque plastico de 250 litros, incluye accesorios y arena</t>
  </si>
  <si>
    <t xml:space="preserve">Tanque 250 litros.  </t>
  </si>
  <si>
    <t>2 Ayudantes.</t>
  </si>
  <si>
    <t xml:space="preserve">OBRA N° Conducción - Red de Distribución  </t>
  </si>
  <si>
    <t>Comision Topografía</t>
  </si>
  <si>
    <t>ITEM N° :     2.1</t>
  </si>
  <si>
    <t>Tubería PVC Ø 1/2" (manguera PF + UAD).</t>
  </si>
  <si>
    <t>Mangu. pf+uad Ø1/2.</t>
  </si>
  <si>
    <t>Unión pf+uad.</t>
  </si>
  <si>
    <t>Tubería Ø 1/2" PVC - P  RDE 13.5, incluye accesorios.</t>
  </si>
  <si>
    <t>Tub. Ø 1/2" RDE 13.5</t>
  </si>
  <si>
    <t>ITEM N° :   3.3</t>
  </si>
  <si>
    <t>Tubería Ø 1" PVC - P  RDE 21, incluye accesorios.</t>
  </si>
  <si>
    <t>Tub. Ø1" RDE 21.</t>
  </si>
  <si>
    <t>ITEM N° :   3.4</t>
  </si>
  <si>
    <t>Tubería Ø 1 1/2" PVC - P  RDE 21, incluye accesorios.</t>
  </si>
  <si>
    <t>ITEM N° :   3.5</t>
  </si>
  <si>
    <t>Tubería Ø 2" PVC - Unión mecanica   RDE 21.</t>
  </si>
  <si>
    <t>Codo PVC presión Ø 2" x 2,5".</t>
  </si>
  <si>
    <t>Codo pvc - p Ø2".</t>
  </si>
  <si>
    <t>ITEM N° :   5.</t>
  </si>
  <si>
    <t>Medio codo PVC presión Ø 2" x 45°.</t>
  </si>
  <si>
    <t>Codo pvc Ø2"x45".</t>
  </si>
  <si>
    <t>Tee ensamblada PVC Ø 2" U.M.</t>
  </si>
  <si>
    <t>Tee pvc  Ø2" U.M.</t>
  </si>
  <si>
    <t>Buje PVC presión Ø 2" x 11/2".</t>
  </si>
  <si>
    <t>Buje Ø2"x11/2".</t>
  </si>
  <si>
    <t>Unión PVC presión Ø  2".</t>
  </si>
  <si>
    <t>Unión pvc Ø 2".</t>
  </si>
  <si>
    <t>ITEM N° :   9.</t>
  </si>
  <si>
    <t>Unión rapida PVC Ø  2".</t>
  </si>
  <si>
    <t>Unión rapida Ø 2".</t>
  </si>
  <si>
    <t>ITEM N° :   10.</t>
  </si>
  <si>
    <t>Collar de derivación PVC Ø  2" x 1/2".</t>
  </si>
  <si>
    <t>Collar Ø 2"x1/2".</t>
  </si>
  <si>
    <t>ITEM N° :   11</t>
  </si>
  <si>
    <t>Suministro  y  colocación  de  medidor  de  velocidad  Ø1/2", incluye válvula paso libre,</t>
  </si>
  <si>
    <t>registro de corte , acces.pvc y caja.</t>
  </si>
  <si>
    <t>Medidor Ø1/2".</t>
  </si>
  <si>
    <t>Válvula P.L. Ø1/2".</t>
  </si>
  <si>
    <t>Registro de corte 1/2".</t>
  </si>
  <si>
    <t>Accesorios pvc.</t>
  </si>
  <si>
    <t>Caja en bloque de 10,</t>
  </si>
  <si>
    <t>incluye tapa metalica.</t>
  </si>
  <si>
    <t>ITEM N° :   12.1</t>
  </si>
  <si>
    <t>Válvula paso libre Ø 1/2" extremo roscado.</t>
  </si>
  <si>
    <t>Válvula Ø 1/2".</t>
  </si>
  <si>
    <t>Adapt. macho Ø1/2".</t>
  </si>
  <si>
    <t>ITEM N° :   12.2</t>
  </si>
  <si>
    <t>Válvula paso libre Ø 1" extremo roscado.</t>
  </si>
  <si>
    <t>Válvula Ø 1".</t>
  </si>
  <si>
    <t>Adapt. macho Ø1".</t>
  </si>
  <si>
    <t>ITEM N° :   12.3</t>
  </si>
  <si>
    <t>Válvula paso libre Ø 2" extremo roscado, tipo Reed White.</t>
  </si>
  <si>
    <t>Adapt. macho Ø 2".</t>
  </si>
  <si>
    <t>ITEM N° :   13.</t>
  </si>
  <si>
    <t>Válvula ventosa Ø 1/2", incluye niples galvanizados y valvula.</t>
  </si>
  <si>
    <t>Ventosa Ø 1/2".</t>
  </si>
  <si>
    <t>Niples H.G Ø 1/2".</t>
  </si>
  <si>
    <t>Válvula reguladora de presión Ø 1/2", incluye filtro en Y, compuerta, ventosa, manom.</t>
  </si>
  <si>
    <t>niples, tees y unión de desmontaje.</t>
  </si>
  <si>
    <t>VRP Ø 1/2".</t>
  </si>
  <si>
    <t>Filtro Ø 1/2".</t>
  </si>
  <si>
    <t>Manometro.</t>
  </si>
  <si>
    <t>Niples Ø 1/2".</t>
  </si>
  <si>
    <t>Adapatadores</t>
  </si>
  <si>
    <t>ITEM N° :   15</t>
  </si>
  <si>
    <t>Válvula reguladora de presión Ø 1", incluye filtro en Y, compuerta, ventosa, manom.</t>
  </si>
  <si>
    <t>VRP Ø 1".</t>
  </si>
  <si>
    <t>Filtro Ø 1".</t>
  </si>
  <si>
    <t>Niples Ø 1".</t>
  </si>
  <si>
    <t>ITEM N° :   16</t>
  </si>
  <si>
    <r>
      <rPr>
        <sz val="10"/>
        <color theme="1"/>
        <rFont val="Arial"/>
        <family val="2"/>
      </rPr>
      <t>Válvula reguladora de presión Ø 1</t>
    </r>
    <r>
      <rPr>
        <sz val="10"/>
        <color theme="1"/>
        <rFont val="Calibri"/>
        <family val="2"/>
      </rPr>
      <t>½</t>
    </r>
    <r>
      <rPr>
        <sz val="10"/>
        <color theme="1"/>
        <rFont val="Arial"/>
        <family val="2"/>
      </rPr>
      <t>", incluye filtro en Y, compuerta, ventosa, manom.</t>
    </r>
  </si>
  <si>
    <t>VRP Ø 1 1/2".</t>
  </si>
  <si>
    <t>Válvula Ø 1 1/2".</t>
  </si>
  <si>
    <t>Filtro Ø 1 1/2".</t>
  </si>
  <si>
    <t>Niples Ø 11/2".</t>
  </si>
  <si>
    <t>Ventosa.</t>
  </si>
  <si>
    <t>ITEM N°  17</t>
  </si>
  <si>
    <t>Caja de (40 x 40) cms, libre, incluye base, muros y caja con marco metalico.</t>
  </si>
  <si>
    <t>Herraje metálico.</t>
  </si>
  <si>
    <t>ITEM N°    18</t>
  </si>
  <si>
    <t xml:space="preserve">Construcción de caja para VRP de Ø 1/2" de (0,40 x 0,50)m, libre, incluye muros  </t>
  </si>
  <si>
    <t>y tapa con marco metalico.</t>
  </si>
  <si>
    <t>Mortero.</t>
  </si>
  <si>
    <t>ITEM N°    19</t>
  </si>
  <si>
    <t xml:space="preserve">Construcción de caja para VRP de Ø 1"  de (0,40 x 0,90)m, libre, incluye muros  </t>
  </si>
  <si>
    <t>Formaleta.</t>
  </si>
  <si>
    <t>ITEM N°    20</t>
  </si>
  <si>
    <r>
      <rPr>
        <sz val="10"/>
        <color theme="1"/>
        <rFont val="Arial"/>
        <family val="2"/>
      </rPr>
      <t>Construcción de caja para VRP de Ø 1</t>
    </r>
    <r>
      <rPr>
        <sz val="10"/>
        <color theme="1"/>
        <rFont val="Calibri"/>
        <family val="2"/>
      </rPr>
      <t>½</t>
    </r>
    <r>
      <rPr>
        <sz val="10"/>
        <color theme="1"/>
        <rFont val="Arial"/>
        <family val="2"/>
      </rPr>
      <t xml:space="preserve">"  de (0,50 x 1,50)m, libre, incluye muros  </t>
    </r>
  </si>
  <si>
    <t>ITEM N° :  21</t>
  </si>
  <si>
    <t>Concreto f'c=175 kg/cm2.</t>
  </si>
  <si>
    <t>5 Ayudantes</t>
  </si>
  <si>
    <t>CATÁLOGO MAESTRO DE PRECIOS UNITARIOS, CUADRILLAS Y TRANSPORTE</t>
  </si>
  <si>
    <t>MUNICIPIO DE BURITICÁ - PROYECTO OPTIMIZACIÓN ACUEDUCTO RURAL (VIGENCIA 2026)</t>
  </si>
  <si>
    <t>CÓDIGO</t>
  </si>
  <si>
    <t>DESCRIPCIÓN DEL INSUMO / CUADRILLA / SERVICIO</t>
  </si>
  <si>
    <t>UNIDAD</t>
  </si>
  <si>
    <t>TARIFA BASE 2026 (COP)</t>
  </si>
  <si>
    <t>DESPERDICIO (%)</t>
  </si>
  <si>
    <t>PRECIO UNITARIO FINAL (COP)</t>
  </si>
  <si>
    <t>ESPECIFICACIÓN TÉCNICA / OBSERVACIONES</t>
  </si>
  <si>
    <t>1. MANO DE OBRA Y CUADRILLAS (FAS 75% INCLUIDO - BURITICÁ 2026)</t>
  </si>
  <si>
    <t>MO-01</t>
  </si>
  <si>
    <t>Oficial de Construcción / Obras Civiles (incl. FAS 75%)</t>
  </si>
  <si>
    <t>H-D</t>
  </si>
  <si>
    <t>Resolución de Salarios 2026 - Obras Hidráulicas</t>
  </si>
  <si>
    <t>MO-02</t>
  </si>
  <si>
    <t>Ayudante Práctico de Construcción (incl. FAS 75%)</t>
  </si>
  <si>
    <t>Mano de obra no calificada zona rural Buriticá</t>
  </si>
  <si>
    <t>MO-03</t>
  </si>
  <si>
    <t>Minero / Especialista en Excavación en Roca y Zanja</t>
  </si>
  <si>
    <t>Excavación manual en terrenos de alta pendiente</t>
  </si>
  <si>
    <t>MO-04</t>
  </si>
  <si>
    <t>Pintor / Aplicador Recubrimientos Epóxicos</t>
  </si>
  <si>
    <t>Impermeabilización tanques y estructuras</t>
  </si>
  <si>
    <t>MO-05</t>
  </si>
  <si>
    <t>Topógrafo Especialista (con Comisión de Topografía)</t>
  </si>
  <si>
    <t>Día</t>
  </si>
  <si>
    <t>Replanteo y control altimétrico redes y tanques</t>
  </si>
  <si>
    <t>MO-06</t>
  </si>
  <si>
    <t>Cadenero / Auxiliar de Topografía</t>
  </si>
  <si>
    <t>Apoyo en levantamiento de redes acueducto</t>
  </si>
  <si>
    <t>MO-07</t>
  </si>
  <si>
    <t>Cuadrilla Básica Obras Civiles (1 Oficial + 2 Ayudantes)</t>
  </si>
  <si>
    <t>Cuadrilla estándar estructuración y vaciados</t>
  </si>
  <si>
    <t>MO-08</t>
  </si>
  <si>
    <t>Cuadrilla Especializada Redes (1 Oficial + 3 Ayudantes)</t>
  </si>
  <si>
    <t>Instalación, acople y prueba hidráulica de redes</t>
  </si>
  <si>
    <t>2. TUBERÍAS, MANGUERAS Y ACCESORIOS PVC-P (PRESIÓN RDE)</t>
  </si>
  <si>
    <t>TUB-01</t>
  </si>
  <si>
    <t>Tubería PVC Presión Ø 1/2" RDE 13.5 (Extr. Lisa L=6m)</t>
  </si>
  <si>
    <t>Tub</t>
  </si>
  <si>
    <t>NTC 382 / ASTM D2241 para acometidas</t>
  </si>
  <si>
    <t>TUB-02</t>
  </si>
  <si>
    <t>Tubería PVC Presión Ø 1" RDE 21 (Unión Mecánica L=6m)</t>
  </si>
  <si>
    <t>NTC 382 Redes secundarias y derivaciones</t>
  </si>
  <si>
    <t>TUB-03</t>
  </si>
  <si>
    <t>Tubería PVC Presión Ø 1-1/2" RDE 21 (Unión Mecánica L=6m)</t>
  </si>
  <si>
    <t>NTC 382 Redes matrices menores</t>
  </si>
  <si>
    <t>TUB-04</t>
  </si>
  <si>
    <t>Tubería PVC Presión Ø 2" RDE 21 (Unión Mecánica L=6m)</t>
  </si>
  <si>
    <t>NTC 382 Conducción y distribución principal</t>
  </si>
  <si>
    <t>TUB-05</t>
  </si>
  <si>
    <t>Tubería PVC Presión Ø 2-1/2" RDE 21 (Unión Mecánica L=6m)</t>
  </si>
  <si>
    <t>NTC 382 Línea aducción y desarenador</t>
  </si>
  <si>
    <t>TUB-06</t>
  </si>
  <si>
    <t>Tubería PVC Presión Ø 3" RDE 21 (Unión Mecánica L=6m)</t>
  </si>
  <si>
    <t>NTC 382 Aducción principal bocatoma</t>
  </si>
  <si>
    <t>TUB-07</t>
  </si>
  <si>
    <t>Tubería PVC Presión Ø 4" RDE 21 (Unión Mecánica L=6m)</t>
  </si>
  <si>
    <t>NTC 382 Tubería matriz y excesos tanques</t>
  </si>
  <si>
    <t>TUB-08</t>
  </si>
  <si>
    <t>Manguera Polietileno Alta Densidad PEAD Ø 1" PN 10</t>
  </si>
  <si>
    <t>m</t>
  </si>
  <si>
    <t>Tramos escarpados y cruces de quebradas</t>
  </si>
  <si>
    <t>ACC-01</t>
  </si>
  <si>
    <t>Codo PVC Presión 90° Ø 2" Campana x Campana</t>
  </si>
  <si>
    <t>Und</t>
  </si>
  <si>
    <t>NTC 1339 Accesorios soldables PVC presión</t>
  </si>
  <si>
    <t>ACC-02</t>
  </si>
  <si>
    <t>Codo PVC Presión 90° Ø 3" Campana x Campana</t>
  </si>
  <si>
    <t>NTC 1339 Cambios de alineamiento aducción</t>
  </si>
  <si>
    <t>ACC-03</t>
  </si>
  <si>
    <t>Codo PVC Presión 90° Ø 4" Campana x Campana</t>
  </si>
  <si>
    <t>NTC 1339 Tubería descole y salidas de fondo</t>
  </si>
  <si>
    <t>ACC-04</t>
  </si>
  <si>
    <t>Tee PVC Presión Ø 2" x 2" x 2" Campana</t>
  </si>
  <si>
    <t>NTC 1339 Derivaciones en red de distribución</t>
  </si>
  <si>
    <t>ACC-05</t>
  </si>
  <si>
    <t>Tee PVC Presión Ø 3" x 3" x 3" Campana</t>
  </si>
  <si>
    <t>NTC 1339 Conexiones tanques de almacenamiento</t>
  </si>
  <si>
    <t>ACC-06</t>
  </si>
  <si>
    <t>Tee PVC Presión Ø 4" x 4" x 4" Campana</t>
  </si>
  <si>
    <t>NTC 1339 Interconexión bocatoma y bypass</t>
  </si>
  <si>
    <t>VAL-01</t>
  </si>
  <si>
    <t>Válvula de Compuerta Cierre Elástico Ø 2" (Extremos Bridados)</t>
  </si>
  <si>
    <t>AWWA C509 para corte sectorial en cajas</t>
  </si>
  <si>
    <t>VAL-02</t>
  </si>
  <si>
    <t>Válvula de Compuerta Cierre Elástico Ø 4" (Extremos Bridados)</t>
  </si>
  <si>
    <t>AWWA C509 Válvula de fondo y salida tanques</t>
  </si>
  <si>
    <t>VAL-03</t>
  </si>
  <si>
    <t>Válvula de Bola PVC Roscada Ø 2" (Paso Completo)</t>
  </si>
  <si>
    <t>Aislamiento y control en tanques de quiebre</t>
  </si>
  <si>
    <t>ACC-07</t>
  </si>
  <si>
    <t>Unión Mecánica Universal Tipo Dresser Ø 2" Hierro Dúctil</t>
  </si>
  <si>
    <t>Empalmes de transición y reparaciones</t>
  </si>
  <si>
    <t>ACC-08</t>
  </si>
  <si>
    <t>Unión Mecánica Universal Tipo Dresser Ø 4" Hierro Dúctil</t>
  </si>
  <si>
    <t>Acople flexible en entradas/salidas estructuras</t>
  </si>
  <si>
    <t>INS-01</t>
  </si>
  <si>
    <t>Pegante Soldadura Líquida para PVC Presión (1/4 Galón)</t>
  </si>
  <si>
    <t>NTC 576 Unión solvente PVC</t>
  </si>
  <si>
    <t>INS-02</t>
  </si>
  <si>
    <t>Limpiador Desengrasante Removedor PVC (1/4 Galón)</t>
  </si>
  <si>
    <t>Preparación superficial de juntas PVC</t>
  </si>
  <si>
    <t>3. MATERIALES BÁSICOS Y ESTRUCTURALES</t>
  </si>
  <si>
    <t>MAT-01</t>
  </si>
  <si>
    <t>Cemento Portland Gris Tipo 1 (Saco de 50 kg)</t>
  </si>
  <si>
    <t>Saco</t>
  </si>
  <si>
    <t>NTC 121 / NTC 321 Concretos estructurales</t>
  </si>
  <si>
    <t>MAT-02</t>
  </si>
  <si>
    <t>Arena Lavada de Río para Revoque / Pega / Concreto</t>
  </si>
  <si>
    <t>NTC 174 Agregado fino libre de materia orgánica</t>
  </si>
  <si>
    <t>MAT-03</t>
  </si>
  <si>
    <t>Triturado Estructural 3/4" de Cantera</t>
  </si>
  <si>
    <t>NTC 174 Agregado grueso para concretos</t>
  </si>
  <si>
    <t>MAT-04</t>
  </si>
  <si>
    <t>Piedra Media Zanja / Rajón para Concreto Ciclópeo</t>
  </si>
  <si>
    <t>Para cimientos y descoles de bocatoma</t>
  </si>
  <si>
    <t>MAT-05</t>
  </si>
  <si>
    <t>Acero de Refuerzo Corrugado Grado 60 (3/8" y 1/2")</t>
  </si>
  <si>
    <t>NTC 2289 / ASTM A706 Sismorresistente</t>
  </si>
  <si>
    <t>MAT-06</t>
  </si>
  <si>
    <t>Alambre Negro Recocido Calibre 18 para Amarre</t>
  </si>
  <si>
    <t>Fijación y armado de canastillas de refuerzo</t>
  </si>
  <si>
    <t>MAT-07</t>
  </si>
  <si>
    <t>Aditivo Impermeabilizante Integral (Sika 1 o equivalente)</t>
  </si>
  <si>
    <t>Impermeabilización de masa en tanques de agua</t>
  </si>
  <si>
    <t>MAT-08</t>
  </si>
  <si>
    <t>Madera para Formaleta (Listones, Tablas y Puntales 4 usos)</t>
  </si>
  <si>
    <t>m2</t>
  </si>
  <si>
    <t>Encofrados muros y losas de tanques</t>
  </si>
  <si>
    <t>MAT-09</t>
  </si>
  <si>
    <t>Tabla Chapa / Triplay Fenólico 15mm para Encofrado Visto</t>
  </si>
  <si>
    <t>Acabado liso e impermeable en muros de agua</t>
  </si>
  <si>
    <t>MAT-10</t>
  </si>
  <si>
    <t>Puntillas de Acero con Cabeza (2", 2-1/2", 3")</t>
  </si>
  <si>
    <t>lb</t>
  </si>
  <si>
    <t>Fijación de encofrados y formaletería</t>
  </si>
  <si>
    <t>4. EQUIPOS, MAQUINARIA Y HERRAMIENTAS</t>
  </si>
  <si>
    <t>EQ-01</t>
  </si>
  <si>
    <t>Mezcladora de Concreto Cap. 1 Bulto a Gasolina (8 HP)</t>
  </si>
  <si>
    <t>Rendimiento 3.5 m3/h con operario</t>
  </si>
  <si>
    <t>EQ-02</t>
  </si>
  <si>
    <t>Vibrador de Concreto a Gasolina con Aguja 1-1/2" (4 HP)</t>
  </si>
  <si>
    <t>Compactación óptima de muros y losas</t>
  </si>
  <si>
    <t>EQ-03</t>
  </si>
  <si>
    <t>Motobomba Autocebante 2" para Desagüe y Achique</t>
  </si>
  <si>
    <t>Manejo de aguas en excavación de bocatoma</t>
  </si>
  <si>
    <t>EQ-04</t>
  </si>
  <si>
    <t>Compresor Neumático Portátil + Martillo Demoledor</t>
  </si>
  <si>
    <t>Rotura y excavación de zanjas en roca dura</t>
  </si>
  <si>
    <t>EQ-05</t>
  </si>
  <si>
    <t>Estación Total / Nivel Óptico de Precisión con Trípode</t>
  </si>
  <si>
    <t>Nivelación y trazado de cotas piezométricas</t>
  </si>
  <si>
    <t>EQ-06</t>
  </si>
  <si>
    <t>Herramienta Menor (Palas, Picos, Carretillas, Baldes, Cizallas)</t>
  </si>
  <si>
    <t>%MO</t>
  </si>
  <si>
    <t>5% sobre el valor total de la mano de obra</t>
  </si>
  <si>
    <t>5. TRANSPORTE, ACARREOS Y FLETES REGIONALES BURITICÁ</t>
  </si>
  <si>
    <t>TR-01</t>
  </si>
  <si>
    <t>Flete Terrestre Camión Medellín - Buriticá (Cabecera)</t>
  </si>
  <si>
    <t>Ton</t>
  </si>
  <si>
    <t>Transporte de cemento, acero y tubería por vía carreteable</t>
  </si>
  <si>
    <t>TR-02</t>
  </si>
  <si>
    <t>Acarreo Volqueta Municipal / Interveredal (Hasta 10 km)</t>
  </si>
  <si>
    <t>Viaje</t>
  </si>
  <si>
    <t>Transporte de agregados pétrreos y materiales a pie de obra</t>
  </si>
  <si>
    <t>TR-03</t>
  </si>
  <si>
    <t>Acarreo a Lomo de Mula (Sendero de Herradura / Trocha)</t>
  </si>
  <si>
    <t>Capacidad 100-120 kg para accesos a bocatoma y tanques</t>
  </si>
  <si>
    <t>TR-04</t>
  </si>
  <si>
    <t>Acarreo Manual en Hombro / Cuadrilla en Sendero Escarpado</t>
  </si>
  <si>
    <t>Jornal</t>
  </si>
  <si>
    <t>Transporte de tubería y piezas en tramos sin acceso de bestia</t>
  </si>
  <si>
    <t>MUNICIPIO DE BURITICÁ - ANTIOQUIA | SECRETARÍA DE PLANEACIÓN E INFRAESTRUCTURA</t>
  </si>
  <si>
    <t>PROYECTO: CONSTRUCCIÓN Y OPTIMIZACIÓN ACUEDUCTO VEREDA CARAUQUIA</t>
  </si>
  <si>
    <t>DOCUMENTO TÉCNICO-FINANCIERO: RESUMEN GENERAL DE LICITACIÓN PÚBLICA</t>
  </si>
  <si>
    <t>COSTO DIRECTO TOTAL</t>
  </si>
  <si>
    <t>TOTAL A.I.U. (30%)</t>
  </si>
  <si>
    <t>INTERVENTORÍA INTEGRAL (8%)</t>
  </si>
  <si>
    <t>PRESUPUESTO GENERAL</t>
  </si>
  <si>
    <t>1. RESUMEN DE COSTOS DIRECTOS POR CAPÍTULO DE OBRA</t>
  </si>
  <si>
    <t>Capítulo</t>
  </si>
  <si>
    <t>Descripción del Componente</t>
  </si>
  <si>
    <t>Costo Directo (COP)</t>
  </si>
  <si>
    <t>% Incidencia</t>
  </si>
  <si>
    <t>Estado / Observaciones</t>
  </si>
  <si>
    <t>Cap. I</t>
  </si>
  <si>
    <t>Bocatoma y Obras de Captación</t>
  </si>
  <si>
    <t>Obras civiles e hidráulicas</t>
  </si>
  <si>
    <t>Cap. II</t>
  </si>
  <si>
    <t>Tanque Desarenador y Prefiltro</t>
  </si>
  <si>
    <t>Unidades de sedimentación y filtrado</t>
  </si>
  <si>
    <t>Cap. III</t>
  </si>
  <si>
    <t>Tanque de Almacenamiento y Cloración</t>
  </si>
  <si>
    <t>Estructura de reserva y desinfección</t>
  </si>
  <si>
    <t>Cap. IV</t>
  </si>
  <si>
    <t>Aducción, Conducción y Red de Distribución</t>
  </si>
  <si>
    <t>Tuberías RDE 21, accesorios e hidrantes</t>
  </si>
  <si>
    <t>TOTAL</t>
  </si>
  <si>
    <t>TOTAL COSTO DIRECTO DE CONSTRUCCIÓN</t>
  </si>
  <si>
    <t>100.0% Presupuesto Base</t>
  </si>
  <si>
    <t>2. ESTRUCTURA ECONÓMICA DE LA PROPUESTA (A.I.U. E INDIRECTOS)</t>
  </si>
  <si>
    <t>Ítem</t>
  </si>
  <si>
    <t>Concepto Financiero / Contractual</t>
  </si>
  <si>
    <t>Valor Total (COP)</t>
  </si>
  <si>
    <t>% Base / CD</t>
  </si>
  <si>
    <t>Bases de Cálculo</t>
  </si>
  <si>
    <t>A</t>
  </si>
  <si>
    <t>Costo Directo Total de Obra</t>
  </si>
  <si>
    <t>Presupuesto de ejecución material</t>
  </si>
  <si>
    <t>B.1</t>
  </si>
  <si>
    <t>Administración e Imprevistos (AI)</t>
  </si>
  <si>
    <t>25.0% sobre Costo Directo</t>
  </si>
  <si>
    <t>B.2</t>
  </si>
  <si>
    <t>Utilidad del Contratista (U)</t>
  </si>
  <si>
    <t>5.0% sobre Costo Directo</t>
  </si>
  <si>
    <t>SUBTOTAL</t>
  </si>
  <si>
    <t>VALOR TOTAL DEL CONTRATO DE OBRA (A + B)</t>
  </si>
  <si>
    <t>Costo Directo + AIU (30.0%)</t>
  </si>
  <si>
    <t>Interventoría Técnica, Administrativa y Ambiental</t>
  </si>
  <si>
    <t>8.0% sobre Costo Directo</t>
  </si>
  <si>
    <t>D</t>
  </si>
  <si>
    <t>Plan de Manejo Ambiental y Social (PMAS)</t>
  </si>
  <si>
    <t>1.0% sobre Costo Directo</t>
  </si>
  <si>
    <t>PRESUPUESTO OFICIAL TOTAL DEL PROYECTO</t>
  </si>
  <si>
    <t>Inversión Municipal Total</t>
  </si>
  <si>
    <t>Válvula de Bola / Compuerta   Ø1 " PVC Presión , incluye accesorios.</t>
  </si>
  <si>
    <t>Adaptador Macho / Brida PRFV a PVC Ø1 "</t>
  </si>
  <si>
    <t>Tubería PVC Presión (RDE 21 / Sch 40) Ø1 "</t>
  </si>
  <si>
    <t>Tubería PVC Presión (Colector General) Ø 2" o 1 1/2"</t>
  </si>
  <si>
    <t>Reducción Bushing PVC Ø 2" a 1" ó 1 1/2" a 1"</t>
  </si>
  <si>
    <t>Tubería y accesorios Conduit   Ø PVC 3/4" (Control)</t>
  </si>
  <si>
    <t>Junta Flexible / Antivibratoria Ø1 "</t>
  </si>
  <si>
    <t>Rollo</t>
  </si>
  <si>
    <t>Adhesivo (Soldadura líquida) para PVC  en 1/4 Gl</t>
  </si>
  <si>
    <t>Soporte metálico / Abrazadera tipo uña Var.</t>
  </si>
  <si>
    <t>Gl</t>
  </si>
  <si>
    <t>Unión PVC universal de presión Ø  1".</t>
  </si>
  <si>
    <t>CodoØ 1" x 90° pvcp.</t>
  </si>
  <si>
    <t xml:space="preserve">Codo PVC presión Ø 1". </t>
  </si>
  <si>
    <t xml:space="preserve">Tee PVC P presión Ø 1". </t>
  </si>
  <si>
    <t>Tee Ø 1" pvc - p.</t>
  </si>
  <si>
    <t>S.T. I</t>
  </si>
  <si>
    <t>S.T. I Válvula de Bola / Compuerta   Ø1 " PVC Presión , incluye accesorios.</t>
  </si>
  <si>
    <t>S.T. I Unión Universal PVC Presión  Ø1 "</t>
  </si>
  <si>
    <t>S.T. I Adaptador Macho / Brida PRFV a PVC Ø1 "</t>
  </si>
  <si>
    <t>S.T. I Codo 90° PVC Presión Ø1 "</t>
  </si>
  <si>
    <t>S.T. I Tee PVC Presión  Ø1 "</t>
  </si>
  <si>
    <t>S.T. I Tubería PVC Presión (RDE 21 / Sch 40) Ø1 "</t>
  </si>
  <si>
    <t>S.T. I Tubería PVC Presión (Colector General) Ø 2" o 1 1/2"</t>
  </si>
  <si>
    <t>S.T. I Reducción Bushing PVC Ø 2" a 1" ó 1 1/2" a 1"</t>
  </si>
  <si>
    <t>S.T. I Codo 90° PVC Presión Ø 2" (Venteo)</t>
  </si>
  <si>
    <t>S.T. I Tubería PVC Ø 2" (Venteo)</t>
  </si>
  <si>
    <t>S.T. I Tubería y accesorios Conduit   Ø PVC 3/4" (Control)</t>
  </si>
  <si>
    <t>S.T. I Junta Flexible / Antivibratoria Ø1 "</t>
  </si>
  <si>
    <t>S.T. I Soporte metálico / Abrazadera tipo uña Var.</t>
  </si>
  <si>
    <t>S.T. I Adhesivo (Soldadura líquida) para PVC  en 1/4 Gl</t>
  </si>
  <si>
    <t>S.T. I Limpiador (Primer) para PVC en 1/4 Gl</t>
  </si>
  <si>
    <t>S.T. I Cinta de Téflon industrial</t>
  </si>
  <si>
    <t>Total</t>
  </si>
  <si>
    <t>Caja para valvula de (o,70 x 0,70m) libres incluye, base.muros y tapa con marco metalico.</t>
  </si>
  <si>
    <t xml:space="preserve">Caja para válvula de (0,70 x 0,70) m, libres  incluye base, muros  y tapa </t>
  </si>
  <si>
    <t>S.T.I de tanque cilíndrico en PRFV, para tanque de almacenamiento,  D=1,90m. H=3,02m.</t>
  </si>
  <si>
    <t>H = 3,02 mts.</t>
  </si>
  <si>
    <t>S.T.I de tanque cilindrico en PRFV, para tanque de almacenamiento,  D=1,90m. H=3,02m.</t>
  </si>
  <si>
    <t>Ø=1,90 m   H=3,02 m.</t>
  </si>
  <si>
    <t>Tapa de concreto para desarenador tapa con marco metalico.</t>
  </si>
  <si>
    <t>ITEM N° :  12.</t>
  </si>
  <si>
    <t>ITEM N°  15</t>
  </si>
  <si>
    <t>ITEM N°   16</t>
  </si>
  <si>
    <t>ITEM N°   24</t>
  </si>
  <si>
    <t>Ø 3/8"- 5/8" (60000 psi).</t>
  </si>
  <si>
    <t>ITEM N°  16.</t>
  </si>
  <si>
    <t>Guaya Cable Galvanizado 1/4 Alma De Acero</t>
  </si>
  <si>
    <t>um</t>
  </si>
  <si>
    <t>S.T.I Guaya Cable Galvanizado 1/4 Alma De Acero</t>
  </si>
  <si>
    <t>Tub. Ø3/4" RDE 21.</t>
  </si>
  <si>
    <t>Tubería Ø 3/4" PVC - P  RDE 21, incluye accesorios.</t>
  </si>
  <si>
    <t>Válvula  reguladora de presión, incluye filtro en yee, válvula de control (entrada), ventosa, unión, manometro, niples roscados, unión desmontaje, tees. Ø3/4"</t>
  </si>
  <si>
    <t>Válvula reguladora de presión Ø 3/4", incluye filtro en Y, compuerta, ventosa, manom.</t>
  </si>
  <si>
    <t>VRP Ø 3/4".</t>
  </si>
  <si>
    <t>Válvula Ø 3/4".</t>
  </si>
  <si>
    <t>Filtro Ø 3/4".</t>
  </si>
  <si>
    <t>Niples Ø 3/4".</t>
  </si>
  <si>
    <t>ITEM N° :   14,2</t>
  </si>
  <si>
    <t>ITEM N° :   14,1</t>
  </si>
  <si>
    <t>Caja para válvula reguladora de presión, incluye muros  y  tapa  metálica  metalica  con  marco (0,40 x 0,90) m,  H = 0,60 m  para Ø 3/4"y para Ø1"</t>
  </si>
  <si>
    <t>S.T. I Union con reducciones de 2 a 11/2,de 11/2 a 1, de 11/2 a 3/4,de 1 a 3/4, de 11/2 a 1/2, de 1a 1/2", de 3/4 a 1/2"</t>
  </si>
  <si>
    <t xml:space="preserve"> Union con reducciones de 2 a 11/2,de 11/2 a 1, de 11/2 a 3/4,de 1 a 3/4, de 11/2 a 1/2, de 1a 1/2", de 3/4 a 1/2"</t>
  </si>
  <si>
    <t xml:space="preserve">Un </t>
  </si>
  <si>
    <t>Unidad de medida</t>
  </si>
  <si>
    <t>Cantidad</t>
  </si>
  <si>
    <t>Total (m)</t>
  </si>
  <si>
    <t>Tubería 2"</t>
  </si>
  <si>
    <t>Tubería 11/2"</t>
  </si>
  <si>
    <t>Tubería 1"</t>
  </si>
  <si>
    <t>Tubería 3/4"</t>
  </si>
  <si>
    <t>Tubería 1/2"</t>
  </si>
  <si>
    <t>Excavaciones - Tuberias</t>
  </si>
  <si>
    <t>Descripción de item</t>
  </si>
  <si>
    <t>Ancho(m)</t>
  </si>
  <si>
    <t>profundidad (m)</t>
  </si>
  <si>
    <t>Distribucion de Tuberías</t>
  </si>
  <si>
    <t>Total (m3)</t>
  </si>
  <si>
    <t>Observaciones</t>
  </si>
  <si>
    <t>Se instalaran 36 m de tubería aerea en los sitios donde existen pasos aereos</t>
  </si>
  <si>
    <t>Total excavacion en roca</t>
  </si>
  <si>
    <t>Union con reducciones de 2 a 11/2</t>
  </si>
  <si>
    <t>Union con reducciones de 11/2 a 1</t>
  </si>
  <si>
    <t>Union con reducciones de 11/2 a 3/4</t>
  </si>
  <si>
    <t>Union con reducciones de 1 a 3/4</t>
  </si>
  <si>
    <t>Union con reducciones de 11/2 a 1/2</t>
  </si>
  <si>
    <t>Union con reducciones de 1a 1/2"</t>
  </si>
  <si>
    <t>Union con reducciones de 3/4 a 1/2"</t>
  </si>
  <si>
    <t xml:space="preserve">unidad </t>
  </si>
  <si>
    <t>cantidad</t>
  </si>
  <si>
    <t>uniones con reduciones - Tuberias</t>
  </si>
  <si>
    <t>Excavaciones - Losa del tanque</t>
  </si>
  <si>
    <t>Largo</t>
  </si>
  <si>
    <t>Ancho</t>
  </si>
  <si>
    <t>Desplante</t>
  </si>
  <si>
    <t>Dimensiones</t>
  </si>
  <si>
    <t xml:space="preserve">En roca </t>
  </si>
  <si>
    <t>Solado de limpieza- Losa del tanque</t>
  </si>
  <si>
    <t>Acero superior</t>
  </si>
  <si>
    <t>Acero inferior</t>
  </si>
  <si>
    <t>1/2"</t>
  </si>
  <si>
    <t>5/8"</t>
  </si>
  <si>
    <t>Parrilla Superior (kg)</t>
  </si>
  <si>
    <t>Parrilla Inferior  (kg)</t>
  </si>
  <si>
    <t>Cantidad de barras</t>
  </si>
  <si>
    <t>direccion</t>
  </si>
  <si>
    <t>Peso Kg</t>
  </si>
  <si>
    <t>Excavaciones - En bocatoma</t>
  </si>
  <si>
    <t>Excavaciones pase aereo - En bocatoma</t>
  </si>
  <si>
    <t>Concreto - Losa de bocatoma</t>
  </si>
  <si>
    <t>cimentacion pase aereo</t>
  </si>
  <si>
    <t>columnas pase aereo</t>
  </si>
  <si>
    <t>total concreto (m3)</t>
  </si>
  <si>
    <t>Acero -- Losa del tanque</t>
  </si>
  <si>
    <t>Concreto  - Losa del tanque</t>
  </si>
  <si>
    <t>Acero pase aereo - En bocatoma</t>
  </si>
  <si>
    <t>Largo c1</t>
  </si>
  <si>
    <t>Ancho c1</t>
  </si>
  <si>
    <t>Espesor c1</t>
  </si>
  <si>
    <t>Largo c2</t>
  </si>
  <si>
    <t>Ancho c2</t>
  </si>
  <si>
    <t>Espesor c2</t>
  </si>
  <si>
    <t>3/8"</t>
  </si>
  <si>
    <t>Acero Longitudinal C1 (kg)</t>
  </si>
  <si>
    <t>Ganchos</t>
  </si>
  <si>
    <t>Longitud de Barras</t>
  </si>
  <si>
    <t>Total Acero (Kg)</t>
  </si>
  <si>
    <t>Acero Transversal C1 (kg)</t>
  </si>
  <si>
    <t>Columna 1 L=2,90 m</t>
  </si>
  <si>
    <t>Columna 2 L=2,90 m</t>
  </si>
  <si>
    <t>Acero Longitudinal C2 (kg)</t>
  </si>
  <si>
    <t>Acero Transversal C2 (kg)</t>
  </si>
  <si>
    <t>Acero Total (kg)</t>
  </si>
  <si>
    <t>Parrilla L=0,85 m</t>
  </si>
  <si>
    <t>Localización - Losa del tanque</t>
  </si>
  <si>
    <t>Cantidades de obra</t>
  </si>
  <si>
    <t>128352.50.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</si>
</sst>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164" formatCode="_(&quot;$&quot;* #,##0_);_(&quot;$&quot;* \(#,##0\);_(&quot;$&quot;* &quot;-&quot;_);_(@_)"/>
    <numFmt numFmtId="165" formatCode="_-&quot;$&quot;\ * #,##0.00_-;\-&quot;$&quot;\ * #,##0.00_-;_-&quot;$&quot;\ * &quot;-&quot;??_-;_-@"/>
    <numFmt numFmtId="166" formatCode="&quot;$&quot;#,##0"/>
    <numFmt numFmtId="167" formatCode="_(&quot;$&quot;* #,##0.00_);_(&quot;$&quot;* \(#,##0.00\);_(&quot;$&quot;* &quot;-&quot;??_);_(@_)"/>
    <numFmt numFmtId="168" formatCode="_(&quot;$&quot;* #,##0_);_(&quot;$&quot;* \(#,##0\);_(&quot;$&quot;* &quot;-&quot;??_);_(@_)"/>
    <numFmt numFmtId="169" formatCode="d/m/yyyy"/>
    <numFmt numFmtId="170" formatCode="0.0"/>
    <numFmt numFmtId="171" formatCode="_(* #,##0.00_);_(* \(#,##0.00\);_(* &quot;-&quot;??_);_(@_)"/>
    <numFmt numFmtId="172" formatCode="0.000"/>
    <numFmt numFmtId="173" formatCode="_-&quot;$&quot;* #,##0_-;\-&quot;$&quot;* #,##0_-;_-&quot;$&quot;* &quot;-&quot;_-;_-@"/>
    <numFmt numFmtId="174" formatCode="_-&quot;$&quot;\ * #,##0.0_-;\-&quot;$&quot;\ * #,##0.0_-;_-&quot;$&quot;\ * &quot;-&quot;??_-;_-@_-"/>
    <numFmt numFmtId="175" formatCode="_-&quot;$&quot;\ * #,##0_-;\-&quot;$&quot;\ * #,##0_-;_-&quot;$&quot;\ * &quot;-&quot;??_-;_-@_-"/>
    <numFmt numFmtId="176" formatCode="\$#,##0"/>
    <numFmt numFmtId="177" formatCode="\$#,##0.00"/>
    <numFmt numFmtId="178" formatCode="_(* #,##0_);_(* \(#,##0\);_(* &quot;-&quot;??_);_(@_)"/>
    <numFmt numFmtId="179" formatCode="_(&quot;$&quot;* #,##0.000_);_(&quot;$&quot;* \(#,##0.000\);_(&quot;$&quot;* &quot;-&quot;??_);_(@_)"/>
    <numFmt numFmtId="180" formatCode="0.0000"/>
  </numFmts>
  <fonts count="35">
    <font>
      <sz val="10"/>
      <color rgb="FF000000"/>
      <name val="Arial"/>
      <scheme val="minor"/>
    </font>
    <font>
      <sz val="10"/>
      <color theme="1"/>
      <name val="Arial"/>
      <family val="2"/>
    </font>
    <font>
      <b/>
      <sz val="10"/>
      <color theme="1"/>
      <name val="Arial"/>
      <family val="2"/>
    </font>
    <font>
      <b/>
      <sz val="9"/>
      <color theme="1"/>
      <name val="Arial"/>
      <family val="2"/>
    </font>
    <font>
      <sz val="9"/>
      <color theme="1"/>
      <name val="Arial"/>
      <family val="2"/>
    </font>
    <font>
      <sz val="10"/>
      <color theme="1"/>
      <name val="Noto Sans Symbols"/>
    </font>
    <font>
      <b/>
      <sz val="12"/>
      <color theme="1"/>
      <name val="Arial"/>
      <family val="2"/>
    </font>
    <font>
      <sz val="12"/>
      <color theme="1"/>
      <name val="Arial"/>
      <family val="2"/>
    </font>
    <font>
      <sz val="10"/>
      <color theme="1"/>
      <name val="Arial"/>
      <family val="2"/>
      <scheme val="minor"/>
    </font>
    <font>
      <sz val="10"/>
      <color rgb="FF0C0C0C"/>
      <name val="Arial"/>
      <family val="2"/>
    </font>
    <font>
      <b/>
      <sz val="10"/>
      <color rgb="FF000000"/>
      <name val="Arial"/>
      <family val="2"/>
      <scheme val="minor"/>
    </font>
    <font>
      <sz val="10"/>
      <name val="Arial"/>
      <family val="2"/>
    </font>
    <font>
      <b/>
      <sz val="11"/>
      <color rgb="FF1F4E78"/>
      <name val="Arial"/>
      <family val="2"/>
    </font>
    <font>
      <b/>
      <sz val="9.5"/>
      <name val="Arial"/>
      <family val="2"/>
    </font>
    <font>
      <sz val="9.5"/>
      <name val="Arial"/>
      <family val="2"/>
    </font>
    <font>
      <b/>
      <sz val="9"/>
      <color rgb="FFFFFFFF"/>
      <name val="Arial"/>
      <family val="2"/>
    </font>
    <font>
      <b/>
      <sz val="10.5"/>
      <color rgb="FFFFFFFF"/>
      <name val="Arial"/>
      <family val="2"/>
    </font>
    <font>
      <b/>
      <sz val="9.5"/>
      <color rgb="FF1F4E78"/>
      <name val="Arial"/>
      <family val="2"/>
    </font>
    <font>
      <sz val="9"/>
      <name val="Arial"/>
      <family val="2"/>
    </font>
    <font>
      <b/>
      <sz val="9"/>
      <name val="Arial"/>
      <family val="2"/>
    </font>
    <font>
      <b/>
      <sz val="10"/>
      <name val="Arial"/>
      <family val="2"/>
    </font>
    <font>
      <sz val="10"/>
      <color rgb="FF000000"/>
      <name val="Arial"/>
      <family val="2"/>
      <scheme val="minor"/>
    </font>
    <font>
      <sz val="10"/>
      <color theme="1"/>
      <name val="Calibri"/>
      <family val="2"/>
    </font>
    <font>
      <sz val="8"/>
      <color theme="1"/>
      <name val="Arial"/>
      <family val="2"/>
    </font>
    <font>
      <sz val="10"/>
      <color rgb="FF000000"/>
      <name val="Calibri"/>
      <family val="2"/>
    </font>
    <font>
      <b/>
      <sz val="14"/>
      <name val="Arial"/>
      <family val="2"/>
    </font>
    <font>
      <sz val="10"/>
      <name val="Arial"/>
      <family val="2"/>
      <scheme val="minor"/>
    </font>
    <font>
      <b/>
      <sz val="11"/>
      <name val="Arial"/>
      <family val="2"/>
    </font>
    <font>
      <b/>
      <sz val="12"/>
      <name val="Arial"/>
      <family val="2"/>
    </font>
    <font>
      <b/>
      <i/>
      <sz val="10"/>
      <name val="Arial"/>
      <family val="2"/>
    </font>
    <font>
      <sz val="14"/>
      <color rgb="FF333333"/>
      <name val="Lato"/>
      <family val="2"/>
    </font>
    <font>
      <b/>
      <sz val="11"/>
      <color theme="1"/>
      <name val="Arial"/>
      <family val="2"/>
      <scheme val="minor"/>
    </font>
    <font>
      <sz val="9"/>
      <color indexed="81"/>
      <name val="Tahoma"/>
      <family val="2"/>
    </font>
    <font>
      <b/>
      <sz val="9"/>
      <color indexed="81"/>
      <name val="Tahoma"/>
      <family val="2"/>
    </font>
    <font>
      <sz val="8"/>
      <name val="Arial"/>
      <family val="2"/>
      <scheme val="minor"/>
    </font>
  </fonts>
  <fills count="26">
    <fill>
      <patternFill patternType="none"/>
    </fill>
    <fill>
      <patternFill patternType="gray125"/>
    </fill>
    <fill>
      <patternFill patternType="solid">
        <fgColor theme="6" tint="0.59999389629810485"/>
        <bgColor indexed="65"/>
      </patternFill>
    </fill>
    <fill>
      <patternFill patternType="solid">
        <fgColor theme="6" tint="0.79998168889431442"/>
        <bgColor indexed="65"/>
      </patternFill>
    </fill>
    <fill>
      <patternFill patternType="solid">
        <fgColor rgb="FF99CC00"/>
      </patternFill>
    </fill>
    <fill>
      <patternFill patternType="solid">
        <fgColor rgb="FF1F4E78"/>
      </patternFill>
    </fill>
    <fill>
      <patternFill patternType="solid">
        <fgColor rgb="FF2F5597"/>
      </patternFill>
    </fill>
    <fill>
      <patternFill patternType="solid">
        <fgColor rgb="FFD9E1F2"/>
      </patternFill>
    </fill>
    <fill>
      <patternFill patternType="solid">
        <fgColor rgb="FFF9FAFB"/>
      </patternFill>
    </fill>
    <fill>
      <patternFill patternType="solid">
        <fgColor rgb="FFF2F4F8"/>
      </patternFill>
    </fill>
    <fill>
      <patternFill patternType="solid">
        <fgColor rgb="FFF0F0F0"/>
      </patternFill>
    </fill>
    <fill>
      <patternFill patternType="solid">
        <fgColor rgb="FFFFFFFF"/>
      </patternFill>
    </fill>
    <fill>
      <patternFill patternType="solid">
        <fgColor theme="9" tint="0.79998168889431442"/>
        <bgColor indexed="64"/>
      </patternFill>
    </fill>
    <fill>
      <patternFill patternType="solid">
        <fgColor rgb="FFFFFFFF"/>
        <bgColor rgb="FFFFFFFF"/>
      </patternFill>
    </fill>
    <fill>
      <patternFill patternType="solid">
        <fgColor rgb="FFFFFF0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C00000"/>
        <bgColor indexed="64"/>
      </patternFill>
    </fill>
    <fill>
      <patternFill patternType="solid">
        <fgColor rgb="FF0070C0"/>
        <bgColor indexed="64"/>
      </patternFill>
    </fill>
    <fill>
      <patternFill patternType="solid">
        <fgColor rgb="FFFF0000"/>
        <bgColor indexed="64"/>
      </patternFill>
    </fill>
    <fill>
      <patternFill patternType="solid">
        <fgColor rgb="FFFF33CC"/>
        <bgColor indexed="64"/>
      </patternFill>
    </fill>
    <fill>
      <patternFill patternType="solid">
        <fgColor rgb="FF92D05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00B050"/>
        <bgColor indexed="64"/>
      </patternFill>
    </fill>
    <fill>
      <patternFill patternType="solid">
        <fgColor theme="6"/>
        <bgColor indexed="64"/>
      </patternFill>
    </fill>
  </fills>
  <borders count="110">
    <border>
      <left/>
      <right/>
      <top/>
      <bottom/>
      <diagonal/>
    </border>
    <border>
      <left/>
      <right/>
      <top/>
      <bottom/>
      <diagonal/>
    </border>
    <border>
      <left style="medium">
        <color rgb="FF000000"/>
      </left>
      <right style="hair">
        <color rgb="FF000000"/>
      </right>
      <top style="medium">
        <color rgb="FF000000"/>
      </top>
      <bottom style="medium">
        <color rgb="FF000000"/>
      </bottom>
      <diagonal/>
    </border>
    <border>
      <left style="hair">
        <color rgb="FF000000"/>
      </left>
      <right style="hair">
        <color rgb="FF000000"/>
      </right>
      <top style="medium">
        <color rgb="FF000000"/>
      </top>
      <bottom style="medium">
        <color rgb="FF000000"/>
      </bottom>
      <diagonal/>
    </border>
    <border>
      <left style="hair">
        <color rgb="FF000000"/>
      </left>
      <right style="medium">
        <color rgb="FF000000"/>
      </right>
      <top style="medium">
        <color rgb="FF000000"/>
      </top>
      <bottom style="medium">
        <color rgb="FF000000"/>
      </bottom>
      <diagonal/>
    </border>
    <border>
      <left style="medium">
        <color rgb="FF000000"/>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
      <left style="medium">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style="hair">
        <color rgb="FF000000"/>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medium">
        <color rgb="FF000000"/>
      </right>
      <top style="hair">
        <color rgb="FF000000"/>
      </top>
      <bottom style="medium">
        <color rgb="FF000000"/>
      </bottom>
      <diagonal/>
    </border>
    <border>
      <left style="medium">
        <color rgb="FF000000"/>
      </left>
      <right style="hair">
        <color rgb="FF000000"/>
      </right>
      <top/>
      <bottom style="hair">
        <color rgb="FF000000"/>
      </bottom>
      <diagonal/>
    </border>
    <border>
      <left style="hair">
        <color rgb="FF000000"/>
      </left>
      <right style="medium">
        <color rgb="FF000000"/>
      </right>
      <top/>
      <bottom style="hair">
        <color rgb="FF000000"/>
      </bottom>
      <diagonal/>
    </border>
    <border>
      <left style="thin">
        <color rgb="FF000000"/>
      </left>
      <right style="thin">
        <color rgb="FF000000"/>
      </right>
      <top/>
      <bottom/>
      <diagonal/>
    </border>
    <border>
      <left style="medium">
        <color rgb="FF000000"/>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style="medium">
        <color rgb="FF000000"/>
      </right>
      <top style="hair">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hair">
        <color rgb="FF000000"/>
      </left>
      <right/>
      <top style="hair">
        <color rgb="FF000000"/>
      </top>
      <bottom style="medium">
        <color rgb="FF000000"/>
      </bottom>
      <diagonal/>
    </border>
    <border>
      <left/>
      <right/>
      <top style="hair">
        <color rgb="FF000000"/>
      </top>
      <bottom style="medium">
        <color rgb="FF000000"/>
      </bottom>
      <diagonal/>
    </border>
    <border>
      <left/>
      <right style="hair">
        <color rgb="FF000000"/>
      </right>
      <top style="hair">
        <color rgb="FF000000"/>
      </top>
      <bottom style="medium">
        <color rgb="FF000000"/>
      </bottom>
      <diagonal/>
    </border>
    <border>
      <left style="medium">
        <color rgb="FF000000"/>
      </left>
      <right/>
      <top style="hair">
        <color rgb="FF000000"/>
      </top>
      <bottom style="medium">
        <color rgb="FF000000"/>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bottom/>
      <diagonal/>
    </border>
    <border>
      <left/>
      <right/>
      <top style="thin">
        <color rgb="FFD9D9D9"/>
      </top>
      <bottom style="thin">
        <color rgb="FFD9D9D9"/>
      </bottom>
      <diagonal/>
    </border>
    <border>
      <left style="thin">
        <color rgb="FFD9D9D9"/>
      </left>
      <right style="thin">
        <color rgb="FFD9D9D9"/>
      </right>
      <top style="thin">
        <color rgb="FFD9D9D9"/>
      </top>
      <bottom style="medium">
        <color rgb="FF1F4E78"/>
      </bottom>
      <diagonal/>
    </border>
    <border>
      <left/>
      <right/>
      <top style="thin">
        <color rgb="FF1F4E78"/>
      </top>
      <bottom style="medium">
        <color rgb="FF1F4E78"/>
      </bottom>
      <diagonal/>
    </border>
    <border>
      <left/>
      <right/>
      <top/>
      <bottom style="thin">
        <color rgb="FFD9D9D9"/>
      </bottom>
      <diagonal/>
    </border>
    <border>
      <left/>
      <right/>
      <top style="thin">
        <color rgb="FF1F4E78"/>
      </top>
      <bottom style="double">
        <color rgb="FF1F4E78"/>
      </bottom>
      <diagonal/>
    </border>
    <border>
      <left/>
      <right/>
      <top style="thin">
        <color rgb="FF1F4E78"/>
      </top>
      <bottom style="thin">
        <color rgb="FF1F4E78"/>
      </bottom>
      <diagonal/>
    </border>
    <border>
      <left style="thin">
        <color rgb="FFD9D9D9"/>
      </left>
      <right style="thin">
        <color rgb="FFD9D9D9"/>
      </right>
      <top style="thin">
        <color rgb="FFD9D9D9"/>
      </top>
      <bottom style="thin">
        <color rgb="FFD9D9D9"/>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rgb="FFD9D9D9"/>
      </right>
      <top style="thin">
        <color rgb="FFD9D9D9"/>
      </top>
      <bottom style="medium">
        <color rgb="FF1F4E78"/>
      </bottom>
      <diagonal/>
    </border>
    <border>
      <left style="thin">
        <color rgb="FFD9D9D9"/>
      </left>
      <right style="medium">
        <color indexed="64"/>
      </right>
      <top style="thin">
        <color rgb="FFD9D9D9"/>
      </top>
      <bottom style="medium">
        <color rgb="FF1F4E78"/>
      </bottom>
      <diagonal/>
    </border>
    <border>
      <left style="medium">
        <color indexed="64"/>
      </left>
      <right/>
      <top style="thin">
        <color rgb="FF1F4E78"/>
      </top>
      <bottom style="medium">
        <color rgb="FF1F4E78"/>
      </bottom>
      <diagonal/>
    </border>
    <border>
      <left/>
      <right style="medium">
        <color indexed="64"/>
      </right>
      <top style="thin">
        <color rgb="FF1F4E78"/>
      </top>
      <bottom style="medium">
        <color rgb="FF1F4E78"/>
      </bottom>
      <diagonal/>
    </border>
    <border>
      <left style="medium">
        <color indexed="64"/>
      </left>
      <right/>
      <top/>
      <bottom style="thin">
        <color rgb="FFD9D9D9"/>
      </bottom>
      <diagonal/>
    </border>
    <border>
      <left/>
      <right style="medium">
        <color indexed="64"/>
      </right>
      <top/>
      <bottom style="thin">
        <color rgb="FFD9D9D9"/>
      </bottom>
      <diagonal/>
    </border>
    <border>
      <left style="medium">
        <color indexed="64"/>
      </left>
      <right/>
      <top style="thin">
        <color rgb="FF1F4E78"/>
      </top>
      <bottom style="double">
        <color rgb="FF1F4E78"/>
      </bottom>
      <diagonal/>
    </border>
    <border>
      <left/>
      <right style="medium">
        <color indexed="64"/>
      </right>
      <top style="thin">
        <color rgb="FF1F4E78"/>
      </top>
      <bottom style="double">
        <color rgb="FF1F4E78"/>
      </bottom>
      <diagonal/>
    </border>
    <border>
      <left style="medium">
        <color indexed="64"/>
      </left>
      <right/>
      <top style="thin">
        <color rgb="FFD9D9D9"/>
      </top>
      <bottom style="thin">
        <color rgb="FFD9D9D9"/>
      </bottom>
      <diagonal/>
    </border>
    <border>
      <left/>
      <right style="medium">
        <color indexed="64"/>
      </right>
      <top style="thin">
        <color rgb="FFD9D9D9"/>
      </top>
      <bottom style="thin">
        <color rgb="FFD9D9D9"/>
      </bottom>
      <diagonal/>
    </border>
    <border>
      <left style="medium">
        <color indexed="64"/>
      </left>
      <right/>
      <top style="thin">
        <color rgb="FF1F4E78"/>
      </top>
      <bottom style="thin">
        <color rgb="FF1F4E78"/>
      </bottom>
      <diagonal/>
    </border>
    <border>
      <left/>
      <right style="medium">
        <color indexed="64"/>
      </right>
      <top style="thin">
        <color rgb="FF1F4E78"/>
      </top>
      <bottom style="thin">
        <color rgb="FF1F4E78"/>
      </bottom>
      <diagonal/>
    </border>
    <border>
      <left style="medium">
        <color indexed="64"/>
      </left>
      <right/>
      <top style="medium">
        <color rgb="FF1F4E78"/>
      </top>
      <bottom style="medium">
        <color indexed="64"/>
      </bottom>
      <diagonal/>
    </border>
    <border>
      <left/>
      <right/>
      <top style="medium">
        <color rgb="FF1F4E78"/>
      </top>
      <bottom style="medium">
        <color indexed="64"/>
      </bottom>
      <diagonal/>
    </border>
    <border>
      <left/>
      <right style="medium">
        <color indexed="64"/>
      </right>
      <top style="medium">
        <color rgb="FF1F4E78"/>
      </top>
      <bottom style="medium">
        <color indexed="64"/>
      </bottom>
      <diagonal/>
    </border>
    <border>
      <left style="medium">
        <color rgb="FF000000"/>
      </left>
      <right/>
      <top style="hair">
        <color rgb="FF000000"/>
      </top>
      <bottom/>
      <diagonal/>
    </border>
    <border>
      <left/>
      <right/>
      <top style="hair">
        <color rgb="FF000000"/>
      </top>
      <bottom/>
      <diagonal/>
    </border>
    <border>
      <left style="hair">
        <color rgb="FF000000"/>
      </left>
      <right/>
      <top style="hair">
        <color rgb="FF000000"/>
      </top>
      <bottom/>
      <diagonal/>
    </border>
    <border>
      <left/>
      <right style="hair">
        <color rgb="FF000000"/>
      </right>
      <top style="hair">
        <color rgb="FF000000"/>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medium">
        <color indexed="64"/>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s>
  <cellStyleXfs count="2">
    <xf numFmtId="0" fontId="0" fillId="0" borderId="1"/>
    <xf numFmtId="44" fontId="21" fillId="0" borderId="1" applyFont="0" applyFill="0" applyBorder="0" applyAlignment="0" applyProtection="0"/>
  </cellStyleXfs>
  <cellXfs count="553">
    <xf numFmtId="0" fontId="0" fillId="0" borderId="1" xfId="0"/>
    <xf numFmtId="0" fontId="1" fillId="0" borderId="1" xfId="0" applyFont="1"/>
    <xf numFmtId="0" fontId="2" fillId="0" borderId="1" xfId="0" applyFont="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2" fillId="0" borderId="5" xfId="0" applyFont="1" applyBorder="1" applyAlignment="1">
      <alignment horizontal="center" vertical="center"/>
    </xf>
    <xf numFmtId="0" fontId="2" fillId="0" borderId="6" xfId="0" applyFont="1" applyBorder="1" applyAlignment="1">
      <alignment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vertical="center"/>
    </xf>
    <xf numFmtId="0" fontId="1" fillId="0" borderId="9" xfId="0" applyFont="1" applyBorder="1" applyAlignment="1">
      <alignment horizontal="center" vertical="center"/>
    </xf>
    <xf numFmtId="164" fontId="1" fillId="0" borderId="9" xfId="0" applyNumberFormat="1" applyFont="1" applyBorder="1" applyAlignment="1">
      <alignment horizontal="center" vertical="center"/>
    </xf>
    <xf numFmtId="164" fontId="1" fillId="0" borderId="10" xfId="0" applyNumberFormat="1" applyFont="1" applyBorder="1" applyAlignment="1">
      <alignment horizontal="center" vertical="center"/>
    </xf>
    <xf numFmtId="0" fontId="4" fillId="0" borderId="9" xfId="0" applyFont="1" applyBorder="1" applyAlignment="1">
      <alignment horizontal="center" vertical="center"/>
    </xf>
    <xf numFmtId="2" fontId="1" fillId="0" borderId="9" xfId="0" applyNumberFormat="1" applyFont="1" applyBorder="1" applyAlignment="1">
      <alignment horizontal="center" vertical="center"/>
    </xf>
    <xf numFmtId="0" fontId="1" fillId="0" borderId="9" xfId="0" applyFont="1" applyBorder="1" applyAlignment="1">
      <alignment horizontal="left" vertical="center"/>
    </xf>
    <xf numFmtId="1" fontId="1" fillId="0" borderId="1" xfId="0" applyNumberFormat="1" applyFont="1"/>
    <xf numFmtId="44" fontId="10" fillId="0" borderId="1" xfId="1" applyFont="1"/>
    <xf numFmtId="0" fontId="6" fillId="0" borderId="1" xfId="0" applyFont="1" applyAlignment="1">
      <alignment vertical="center"/>
    </xf>
    <xf numFmtId="0" fontId="7" fillId="0" borderId="1" xfId="0" applyFont="1" applyAlignment="1">
      <alignment vertical="center"/>
    </xf>
    <xf numFmtId="0" fontId="1" fillId="0" borderId="10" xfId="0" applyFont="1" applyBorder="1" applyAlignment="1">
      <alignment horizontal="center" vertical="center"/>
    </xf>
    <xf numFmtId="0" fontId="1" fillId="0" borderId="9" xfId="0" applyFont="1" applyBorder="1" applyAlignment="1">
      <alignment horizontal="left"/>
    </xf>
    <xf numFmtId="0" fontId="1" fillId="0" borderId="11" xfId="0" applyFont="1" applyBorder="1" applyAlignment="1">
      <alignment horizontal="center" vertical="center"/>
    </xf>
    <xf numFmtId="0" fontId="1" fillId="0" borderId="12" xfId="0" applyFont="1" applyBorder="1"/>
    <xf numFmtId="0" fontId="1" fillId="0" borderId="12" xfId="0" applyFont="1" applyBorder="1" applyAlignment="1">
      <alignment horizontal="center"/>
    </xf>
    <xf numFmtId="2" fontId="1" fillId="0" borderId="12" xfId="0" applyNumberFormat="1" applyFont="1" applyBorder="1" applyAlignment="1">
      <alignment horizontal="center"/>
    </xf>
    <xf numFmtId="164" fontId="1" fillId="0" borderId="12" xfId="0" applyNumberFormat="1" applyFont="1" applyBorder="1" applyAlignment="1">
      <alignment horizontal="center" vertical="center"/>
    </xf>
    <xf numFmtId="164" fontId="1" fillId="0" borderId="13" xfId="0" applyNumberFormat="1"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xf numFmtId="0" fontId="1" fillId="0" borderId="6" xfId="0" applyFont="1" applyBorder="1" applyAlignment="1">
      <alignment horizontal="center"/>
    </xf>
    <xf numFmtId="2" fontId="1" fillId="0" borderId="6" xfId="0" applyNumberFormat="1" applyFont="1" applyBorder="1" applyAlignment="1">
      <alignment horizontal="center"/>
    </xf>
    <xf numFmtId="164" fontId="1" fillId="0" borderId="6" xfId="0" applyNumberFormat="1" applyFont="1" applyBorder="1" applyAlignment="1">
      <alignment horizontal="center" vertical="center"/>
    </xf>
    <xf numFmtId="164" fontId="1" fillId="0" borderId="7" xfId="0" applyNumberFormat="1" applyFont="1" applyBorder="1" applyAlignment="1">
      <alignment horizontal="center" vertical="center"/>
    </xf>
    <xf numFmtId="0" fontId="1" fillId="0" borderId="9" xfId="0" applyFont="1" applyBorder="1"/>
    <xf numFmtId="2" fontId="1" fillId="0" borderId="9" xfId="0" applyNumberFormat="1" applyFont="1" applyBorder="1" applyAlignment="1">
      <alignment horizontal="center"/>
    </xf>
    <xf numFmtId="0" fontId="1" fillId="0" borderId="12" xfId="0" applyFont="1" applyBorder="1" applyAlignment="1">
      <alignment vertical="center"/>
    </xf>
    <xf numFmtId="0" fontId="1" fillId="0" borderId="12" xfId="0" applyFont="1" applyBorder="1" applyAlignment="1">
      <alignment horizontal="center" vertical="center"/>
    </xf>
    <xf numFmtId="2" fontId="1" fillId="0" borderId="12" xfId="0" applyNumberFormat="1" applyFont="1" applyBorder="1" applyAlignment="1">
      <alignment horizontal="center" vertical="center"/>
    </xf>
    <xf numFmtId="0" fontId="1" fillId="0" borderId="14" xfId="0" applyFont="1" applyBorder="1" applyAlignment="1">
      <alignment horizontal="center" vertical="center"/>
    </xf>
    <xf numFmtId="171" fontId="6" fillId="0" borderId="15" xfId="0" applyNumberFormat="1" applyFont="1" applyBorder="1" applyAlignment="1">
      <alignment horizontal="center" vertical="center"/>
    </xf>
    <xf numFmtId="0" fontId="1" fillId="0" borderId="1" xfId="0" applyFont="1" applyAlignment="1">
      <alignment vertical="center"/>
    </xf>
    <xf numFmtId="0" fontId="2" fillId="0" borderId="9" xfId="0" applyFont="1" applyBorder="1" applyAlignment="1">
      <alignment vertical="center"/>
    </xf>
    <xf numFmtId="2" fontId="1" fillId="2" borderId="9" xfId="0" applyNumberFormat="1" applyFont="1" applyFill="1" applyBorder="1" applyAlignment="1">
      <alignment horizontal="center" vertical="center"/>
    </xf>
    <xf numFmtId="0" fontId="0" fillId="0" borderId="32" xfId="0" applyBorder="1"/>
    <xf numFmtId="0" fontId="0" fillId="0" borderId="1" xfId="0" applyAlignment="1">
      <alignment horizontal="center" vertical="center"/>
    </xf>
    <xf numFmtId="0" fontId="8" fillId="0" borderId="1" xfId="0" applyFont="1"/>
    <xf numFmtId="0" fontId="1" fillId="0" borderId="16" xfId="0" applyFont="1" applyBorder="1" applyAlignment="1">
      <alignment horizontal="left"/>
    </xf>
    <xf numFmtId="0" fontId="1" fillId="0" borderId="17" xfId="0" applyFont="1" applyBorder="1" applyAlignment="1">
      <alignment horizontal="center" vertical="center"/>
    </xf>
    <xf numFmtId="0" fontId="1" fillId="0" borderId="18" xfId="0" applyFont="1" applyBorder="1" applyAlignment="1">
      <alignment horizontal="left" vertical="center"/>
    </xf>
    <xf numFmtId="0" fontId="1" fillId="0" borderId="18" xfId="0" applyFont="1" applyBorder="1" applyAlignment="1">
      <alignment horizontal="center" vertical="center"/>
    </xf>
    <xf numFmtId="2" fontId="1" fillId="0" borderId="18" xfId="0" applyNumberFormat="1" applyFont="1" applyBorder="1" applyAlignment="1">
      <alignment horizontal="center" vertical="center"/>
    </xf>
    <xf numFmtId="164" fontId="1" fillId="0" borderId="18" xfId="0" applyNumberFormat="1" applyFont="1" applyBorder="1" applyAlignment="1">
      <alignment horizontal="center" vertical="center"/>
    </xf>
    <xf numFmtId="164" fontId="1" fillId="0" borderId="19" xfId="0" applyNumberFormat="1" applyFont="1" applyBorder="1" applyAlignment="1">
      <alignment horizontal="center" vertical="center"/>
    </xf>
    <xf numFmtId="164" fontId="6" fillId="0" borderId="10" xfId="0" applyNumberFormat="1" applyFont="1" applyBorder="1" applyAlignment="1">
      <alignment horizontal="center" vertical="center"/>
    </xf>
    <xf numFmtId="0" fontId="1" fillId="0" borderId="7" xfId="0" applyFont="1" applyBorder="1" applyAlignment="1">
      <alignment horizontal="center"/>
    </xf>
    <xf numFmtId="1" fontId="1" fillId="0" borderId="9" xfId="0" applyNumberFormat="1" applyFont="1" applyBorder="1" applyAlignment="1">
      <alignment horizontal="center" vertical="center"/>
    </xf>
    <xf numFmtId="2" fontId="0" fillId="0" borderId="1" xfId="0" applyNumberFormat="1"/>
    <xf numFmtId="2" fontId="1" fillId="0" borderId="1" xfId="0" applyNumberFormat="1" applyFont="1"/>
    <xf numFmtId="164" fontId="0" fillId="0" borderId="1" xfId="0" applyNumberFormat="1"/>
    <xf numFmtId="0" fontId="1" fillId="0" borderId="16" xfId="0" applyFont="1" applyBorder="1"/>
    <xf numFmtId="165" fontId="1" fillId="0" borderId="1" xfId="0" applyNumberFormat="1" applyFont="1" applyAlignment="1">
      <alignment horizontal="center" vertical="center"/>
    </xf>
    <xf numFmtId="167" fontId="1" fillId="0" borderId="1" xfId="0" applyNumberFormat="1" applyFont="1"/>
    <xf numFmtId="0" fontId="1" fillId="0" borderId="1" xfId="0" applyFont="1" applyAlignment="1">
      <alignment horizontal="center" vertical="center"/>
    </xf>
    <xf numFmtId="0" fontId="6" fillId="0" borderId="1" xfId="0" applyFont="1" applyAlignment="1">
      <alignment horizontal="left"/>
    </xf>
    <xf numFmtId="166" fontId="6" fillId="0" borderId="1" xfId="0" applyNumberFormat="1" applyFont="1" applyAlignment="1">
      <alignment horizontal="center" vertical="center"/>
    </xf>
    <xf numFmtId="0" fontId="6" fillId="0" borderId="20" xfId="0" applyFont="1" applyBorder="1" applyAlignment="1">
      <alignment horizontal="center" vertical="center"/>
    </xf>
    <xf numFmtId="0" fontId="2" fillId="0" borderId="1" xfId="0" applyFont="1" applyAlignment="1">
      <alignment horizontal="left" vertical="center"/>
    </xf>
    <xf numFmtId="0" fontId="6" fillId="0" borderId="21" xfId="0" applyFont="1" applyBorder="1" applyAlignment="1">
      <alignment horizontal="left"/>
    </xf>
    <xf numFmtId="0" fontId="2" fillId="0" borderId="1" xfId="0" applyFont="1" applyAlignment="1">
      <alignment vertical="center"/>
    </xf>
    <xf numFmtId="0" fontId="6" fillId="0" borderId="1" xfId="0" applyFont="1" applyAlignment="1">
      <alignment horizontal="center"/>
    </xf>
    <xf numFmtId="168" fontId="0" fillId="0" borderId="1" xfId="0" applyNumberFormat="1"/>
    <xf numFmtId="9" fontId="2" fillId="0" borderId="1" xfId="0" applyNumberFormat="1" applyFont="1" applyAlignment="1">
      <alignment horizontal="center"/>
    </xf>
    <xf numFmtId="168" fontId="1" fillId="0" borderId="1" xfId="0" applyNumberFormat="1" applyFont="1"/>
    <xf numFmtId="0" fontId="1" fillId="0" borderId="1" xfId="0" applyFont="1" applyAlignment="1">
      <alignment horizontal="center"/>
    </xf>
    <xf numFmtId="2" fontId="1" fillId="0" borderId="1" xfId="0" applyNumberFormat="1" applyFont="1" applyAlignment="1">
      <alignment horizontal="center"/>
    </xf>
    <xf numFmtId="2" fontId="2" fillId="0" borderId="1" xfId="0" applyNumberFormat="1" applyFont="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1" fontId="1" fillId="0" borderId="1" xfId="0" applyNumberFormat="1" applyFont="1" applyAlignment="1">
      <alignment horizontal="center"/>
    </xf>
    <xf numFmtId="164" fontId="2" fillId="0" borderId="1" xfId="0" applyNumberFormat="1" applyFont="1" applyAlignment="1">
      <alignment horizontal="center"/>
    </xf>
    <xf numFmtId="167" fontId="2" fillId="0" borderId="1" xfId="0" applyNumberFormat="1" applyFont="1" applyAlignment="1">
      <alignment horizontal="center"/>
    </xf>
    <xf numFmtId="0" fontId="6" fillId="0" borderId="1" xfId="0" applyFont="1" applyAlignment="1">
      <alignment horizontal="center" vertical="center"/>
    </xf>
    <xf numFmtId="0" fontId="2" fillId="0" borderId="1" xfId="0" applyFont="1" applyAlignment="1">
      <alignment horizontal="center" vertical="center"/>
    </xf>
    <xf numFmtId="168" fontId="2" fillId="0" borderId="1" xfId="0" applyNumberFormat="1" applyFont="1" applyAlignment="1">
      <alignment horizontal="center"/>
    </xf>
    <xf numFmtId="0" fontId="4" fillId="0" borderId="1" xfId="0" applyFont="1" applyAlignment="1">
      <alignment horizontal="center" vertical="center"/>
    </xf>
    <xf numFmtId="0" fontId="4" fillId="0" borderId="1" xfId="0" applyFont="1" applyAlignment="1">
      <alignment horizontal="center"/>
    </xf>
    <xf numFmtId="0" fontId="7" fillId="0" borderId="1" xfId="0" applyFont="1" applyAlignment="1">
      <alignment horizontal="center" vertical="center"/>
    </xf>
    <xf numFmtId="0" fontId="7" fillId="0" borderId="1" xfId="0" applyFont="1" applyAlignment="1">
      <alignment horizontal="center"/>
    </xf>
    <xf numFmtId="168" fontId="1" fillId="0" borderId="1" xfId="0" applyNumberFormat="1" applyFont="1" applyAlignment="1">
      <alignment horizontal="center"/>
    </xf>
    <xf numFmtId="167" fontId="1" fillId="0" borderId="1" xfId="0" applyNumberFormat="1" applyFont="1" applyAlignment="1">
      <alignment horizontal="center"/>
    </xf>
    <xf numFmtId="0" fontId="2" fillId="0" borderId="1" xfId="0" applyFont="1"/>
    <xf numFmtId="0" fontId="1" fillId="0" borderId="1" xfId="0" applyFont="1" applyAlignment="1">
      <alignment horizontal="right"/>
    </xf>
    <xf numFmtId="169" fontId="1" fillId="0" borderId="1" xfId="0" applyNumberFormat="1" applyFont="1" applyAlignment="1">
      <alignment horizontal="right"/>
    </xf>
    <xf numFmtId="9" fontId="1" fillId="0" borderId="1" xfId="0" applyNumberFormat="1" applyFont="1" applyAlignment="1">
      <alignment horizontal="center"/>
    </xf>
    <xf numFmtId="9" fontId="1" fillId="0" borderId="1" xfId="0" applyNumberFormat="1" applyFont="1"/>
    <xf numFmtId="0" fontId="1" fillId="0" borderId="29" xfId="0" applyFont="1" applyBorder="1"/>
    <xf numFmtId="0" fontId="1" fillId="0" borderId="30" xfId="0" applyFont="1" applyBorder="1"/>
    <xf numFmtId="0" fontId="1" fillId="0" borderId="31" xfId="0" applyFont="1" applyBorder="1"/>
    <xf numFmtId="0" fontId="1" fillId="0" borderId="22" xfId="0" applyFont="1" applyBorder="1"/>
    <xf numFmtId="0" fontId="1" fillId="0" borderId="23" xfId="0" applyFont="1" applyBorder="1"/>
    <xf numFmtId="0" fontId="1" fillId="0" borderId="23" xfId="0" applyFont="1" applyBorder="1" applyAlignment="1">
      <alignment horizontal="center"/>
    </xf>
    <xf numFmtId="0" fontId="1" fillId="0" borderId="24" xfId="0" applyFont="1" applyBorder="1"/>
    <xf numFmtId="0" fontId="1" fillId="0" borderId="32" xfId="0" applyFont="1" applyBorder="1" applyAlignment="1">
      <alignment horizontal="center"/>
    </xf>
    <xf numFmtId="0" fontId="1" fillId="0" borderId="30" xfId="0" applyFont="1" applyBorder="1" applyAlignment="1">
      <alignment horizontal="center"/>
    </xf>
    <xf numFmtId="0" fontId="1" fillId="0" borderId="26" xfId="0" applyFont="1" applyBorder="1"/>
    <xf numFmtId="0" fontId="1" fillId="0" borderId="28" xfId="0" applyFont="1" applyBorder="1"/>
    <xf numFmtId="0" fontId="1" fillId="0" borderId="32" xfId="0" applyFont="1" applyBorder="1"/>
    <xf numFmtId="1" fontId="1" fillId="0" borderId="32" xfId="0" applyNumberFormat="1" applyFont="1" applyBorder="1"/>
    <xf numFmtId="0" fontId="1" fillId="0" borderId="20" xfId="0" applyFont="1" applyBorder="1"/>
    <xf numFmtId="0" fontId="1" fillId="0" borderId="21" xfId="0" applyFont="1" applyBorder="1"/>
    <xf numFmtId="1" fontId="1" fillId="0" borderId="24" xfId="0" applyNumberFormat="1" applyFont="1" applyBorder="1"/>
    <xf numFmtId="0" fontId="1" fillId="0" borderId="26" xfId="0" applyFont="1" applyBorder="1" applyAlignment="1">
      <alignment horizontal="center"/>
    </xf>
    <xf numFmtId="0" fontId="1" fillId="0" borderId="25" xfId="0" applyFont="1" applyBorder="1"/>
    <xf numFmtId="0" fontId="1" fillId="0" borderId="33" xfId="0" applyFont="1" applyBorder="1" applyAlignment="1">
      <alignment horizontal="center"/>
    </xf>
    <xf numFmtId="0" fontId="1" fillId="0" borderId="33" xfId="0" applyFont="1" applyBorder="1"/>
    <xf numFmtId="1" fontId="1" fillId="0" borderId="31" xfId="0" applyNumberFormat="1" applyFont="1" applyBorder="1"/>
    <xf numFmtId="1" fontId="1" fillId="0" borderId="30" xfId="0" applyNumberFormat="1" applyFont="1" applyBorder="1"/>
    <xf numFmtId="1" fontId="1" fillId="0" borderId="23" xfId="0" applyNumberFormat="1" applyFont="1" applyBorder="1"/>
    <xf numFmtId="2" fontId="1" fillId="0" borderId="32" xfId="0" applyNumberFormat="1" applyFont="1" applyBorder="1"/>
    <xf numFmtId="0" fontId="1" fillId="0" borderId="16" xfId="0" applyFont="1" applyBorder="1" applyAlignment="1">
      <alignment horizontal="center"/>
    </xf>
    <xf numFmtId="170" fontId="1" fillId="0" borderId="32" xfId="0" applyNumberFormat="1" applyFont="1" applyBorder="1"/>
    <xf numFmtId="1" fontId="1" fillId="0" borderId="16" xfId="0" applyNumberFormat="1" applyFont="1" applyBorder="1"/>
    <xf numFmtId="170" fontId="1" fillId="0" borderId="23" xfId="0" applyNumberFormat="1" applyFont="1" applyBorder="1"/>
    <xf numFmtId="171" fontId="1" fillId="0" borderId="32" xfId="0" applyNumberFormat="1" applyFont="1" applyBorder="1"/>
    <xf numFmtId="0" fontId="2" fillId="0" borderId="21" xfId="0" applyFont="1" applyBorder="1"/>
    <xf numFmtId="164" fontId="1" fillId="0" borderId="24" xfId="0" applyNumberFormat="1" applyFont="1" applyBorder="1"/>
    <xf numFmtId="164" fontId="1" fillId="0" borderId="21" xfId="0" applyNumberFormat="1" applyFont="1" applyBorder="1"/>
    <xf numFmtId="172" fontId="1" fillId="0" borderId="32" xfId="0" applyNumberFormat="1" applyFont="1" applyBorder="1"/>
    <xf numFmtId="167" fontId="1" fillId="0" borderId="23" xfId="0" applyNumberFormat="1" applyFont="1" applyBorder="1"/>
    <xf numFmtId="1" fontId="9" fillId="0" borderId="32" xfId="0" applyNumberFormat="1" applyFont="1" applyBorder="1"/>
    <xf numFmtId="170" fontId="1" fillId="0" borderId="23" xfId="0" applyNumberFormat="1" applyFont="1" applyBorder="1" applyAlignment="1">
      <alignment horizontal="center"/>
    </xf>
    <xf numFmtId="1" fontId="1" fillId="0" borderId="23" xfId="0" applyNumberFormat="1" applyFont="1" applyBorder="1" applyAlignment="1">
      <alignment horizontal="center"/>
    </xf>
    <xf numFmtId="0" fontId="1" fillId="0" borderId="20" xfId="0" applyFont="1" applyBorder="1" applyAlignment="1">
      <alignment horizontal="center"/>
    </xf>
    <xf numFmtId="2" fontId="1" fillId="0" borderId="23" xfId="0" applyNumberFormat="1" applyFont="1" applyBorder="1" applyAlignment="1">
      <alignment horizontal="center"/>
    </xf>
    <xf numFmtId="44" fontId="1" fillId="0" borderId="31" xfId="1" applyFont="1" applyBorder="1"/>
    <xf numFmtId="174" fontId="1" fillId="0" borderId="31" xfId="1" applyNumberFormat="1" applyFont="1" applyBorder="1"/>
    <xf numFmtId="2" fontId="1" fillId="0" borderId="23" xfId="0" applyNumberFormat="1" applyFont="1" applyBorder="1"/>
    <xf numFmtId="0" fontId="9" fillId="0" borderId="32" xfId="0" applyFont="1" applyBorder="1"/>
    <xf numFmtId="0" fontId="1" fillId="0" borderId="25" xfId="0" applyFont="1" applyBorder="1" applyAlignment="1">
      <alignment horizontal="center"/>
    </xf>
    <xf numFmtId="177" fontId="12" fillId="9" borderId="46" xfId="0" applyNumberFormat="1" applyFont="1" applyFill="1" applyBorder="1" applyAlignment="1">
      <alignment horizontal="center" vertical="center"/>
    </xf>
    <xf numFmtId="0" fontId="17" fillId="7" borderId="47" xfId="0" applyFont="1" applyFill="1" applyBorder="1" applyAlignment="1">
      <alignment horizontal="left" vertical="center"/>
    </xf>
    <xf numFmtId="0" fontId="17" fillId="7" borderId="47" xfId="0" applyFont="1" applyFill="1" applyBorder="1" applyAlignment="1">
      <alignment horizontal="right" vertical="center"/>
    </xf>
    <xf numFmtId="0" fontId="18" fillId="0" borderId="48" xfId="0" applyFont="1" applyBorder="1" applyAlignment="1">
      <alignment horizontal="left" vertical="center"/>
    </xf>
    <xf numFmtId="177" fontId="18" fillId="0" borderId="48" xfId="0" applyNumberFormat="1" applyFont="1" applyBorder="1" applyAlignment="1">
      <alignment horizontal="right" vertical="center"/>
    </xf>
    <xf numFmtId="10" fontId="18" fillId="0" borderId="48" xfId="0" applyNumberFormat="1" applyFont="1" applyBorder="1" applyAlignment="1">
      <alignment horizontal="right" vertical="center"/>
    </xf>
    <xf numFmtId="0" fontId="13" fillId="10" borderId="49" xfId="0" applyFont="1" applyFill="1" applyBorder="1" applyAlignment="1">
      <alignment horizontal="left" vertical="center"/>
    </xf>
    <xf numFmtId="177" fontId="13" fillId="10" borderId="49" xfId="0" applyNumberFormat="1" applyFont="1" applyFill="1" applyBorder="1" applyAlignment="1">
      <alignment horizontal="right" vertical="center"/>
    </xf>
    <xf numFmtId="10" fontId="13" fillId="10" borderId="49" xfId="0" applyNumberFormat="1" applyFont="1" applyFill="1" applyBorder="1" applyAlignment="1">
      <alignment horizontal="right" vertical="center"/>
    </xf>
    <xf numFmtId="0" fontId="18" fillId="11" borderId="45" xfId="0" applyFont="1" applyFill="1" applyBorder="1" applyAlignment="1">
      <alignment horizontal="left" vertical="center"/>
    </xf>
    <xf numFmtId="177" fontId="18" fillId="11" borderId="45" xfId="0" applyNumberFormat="1" applyFont="1" applyFill="1" applyBorder="1" applyAlignment="1">
      <alignment horizontal="right" vertical="center"/>
    </xf>
    <xf numFmtId="10" fontId="18" fillId="11" borderId="45" xfId="0" applyNumberFormat="1" applyFont="1" applyFill="1" applyBorder="1" applyAlignment="1">
      <alignment horizontal="right" vertical="center"/>
    </xf>
    <xf numFmtId="0" fontId="19" fillId="10" borderId="50" xfId="0" applyFont="1" applyFill="1" applyBorder="1" applyAlignment="1">
      <alignment horizontal="left" vertical="center"/>
    </xf>
    <xf numFmtId="177" fontId="19" fillId="10" borderId="50" xfId="0" applyNumberFormat="1" applyFont="1" applyFill="1" applyBorder="1" applyAlignment="1">
      <alignment horizontal="right" vertical="center"/>
    </xf>
    <xf numFmtId="10" fontId="19" fillId="10" borderId="50" xfId="0" applyNumberFormat="1" applyFont="1" applyFill="1" applyBorder="1" applyAlignment="1">
      <alignment horizontal="right" vertical="center"/>
    </xf>
    <xf numFmtId="0" fontId="24" fillId="13" borderId="51" xfId="0" applyFont="1" applyFill="1" applyBorder="1" applyAlignment="1">
      <alignment horizontal="center" vertical="center"/>
    </xf>
    <xf numFmtId="3" fontId="24" fillId="13" borderId="51" xfId="0" applyNumberFormat="1" applyFont="1" applyFill="1" applyBorder="1" applyAlignment="1">
      <alignment horizontal="center" vertical="center"/>
    </xf>
    <xf numFmtId="0" fontId="1" fillId="0" borderId="9" xfId="0" applyFont="1" applyBorder="1" applyAlignment="1">
      <alignment vertical="center" wrapText="1"/>
    </xf>
    <xf numFmtId="0" fontId="21" fillId="0" borderId="1" xfId="0" applyFont="1"/>
    <xf numFmtId="44" fontId="1" fillId="0" borderId="1" xfId="1" applyFont="1" applyAlignment="1">
      <alignment horizontal="center"/>
    </xf>
    <xf numFmtId="0" fontId="2" fillId="0" borderId="52" xfId="0" applyFont="1" applyBorder="1" applyAlignment="1">
      <alignment vertical="center"/>
    </xf>
    <xf numFmtId="0" fontId="2" fillId="0" borderId="52" xfId="0" applyFont="1" applyBorder="1" applyAlignment="1">
      <alignment horizontal="center"/>
    </xf>
    <xf numFmtId="2" fontId="2" fillId="0" borderId="52" xfId="0" applyNumberFormat="1" applyFont="1" applyBorder="1" applyAlignment="1">
      <alignment horizontal="center"/>
    </xf>
    <xf numFmtId="0" fontId="2" fillId="0" borderId="52" xfId="0" applyFont="1" applyBorder="1" applyAlignment="1">
      <alignment horizontal="left" vertical="center"/>
    </xf>
    <xf numFmtId="9" fontId="2" fillId="0" borderId="52" xfId="0" applyNumberFormat="1" applyFont="1" applyBorder="1" applyAlignment="1">
      <alignment horizontal="center"/>
    </xf>
    <xf numFmtId="0" fontId="1" fillId="0" borderId="52" xfId="0" applyFont="1" applyBorder="1" applyAlignment="1">
      <alignment vertical="center"/>
    </xf>
    <xf numFmtId="0" fontId="1" fillId="0" borderId="52" xfId="0" applyFont="1" applyBorder="1" applyAlignment="1">
      <alignment horizontal="center"/>
    </xf>
    <xf numFmtId="2" fontId="1" fillId="0" borderId="52" xfId="0" applyNumberFormat="1" applyFont="1" applyBorder="1" applyAlignment="1">
      <alignment horizontal="center"/>
    </xf>
    <xf numFmtId="1" fontId="2" fillId="0" borderId="52" xfId="0" applyNumberFormat="1" applyFont="1" applyBorder="1" applyAlignment="1">
      <alignment horizontal="center"/>
    </xf>
    <xf numFmtId="0" fontId="2" fillId="0" borderId="53" xfId="0" applyFont="1" applyBorder="1" applyAlignment="1">
      <alignment horizontal="center" vertical="center"/>
    </xf>
    <xf numFmtId="0" fontId="2" fillId="0" borderId="54" xfId="0" applyFont="1" applyBorder="1" applyAlignment="1">
      <alignment vertical="center"/>
    </xf>
    <xf numFmtId="0" fontId="2" fillId="0" borderId="54" xfId="0" applyFont="1" applyBorder="1" applyAlignment="1">
      <alignment horizontal="center"/>
    </xf>
    <xf numFmtId="0" fontId="6" fillId="0" borderId="54" xfId="0" applyFont="1" applyBorder="1" applyAlignment="1">
      <alignment horizontal="center"/>
    </xf>
    <xf numFmtId="168" fontId="2" fillId="0" borderId="55" xfId="0" applyNumberFormat="1" applyFont="1" applyBorder="1" applyAlignment="1">
      <alignment horizontal="center"/>
    </xf>
    <xf numFmtId="0" fontId="2" fillId="0" borderId="56" xfId="0" applyFont="1" applyBorder="1" applyAlignment="1">
      <alignment horizontal="center" vertical="center"/>
    </xf>
    <xf numFmtId="178" fontId="2" fillId="0" borderId="57" xfId="0" applyNumberFormat="1" applyFont="1" applyBorder="1" applyAlignment="1">
      <alignment horizontal="center"/>
    </xf>
    <xf numFmtId="168" fontId="2" fillId="0" borderId="57" xfId="0" applyNumberFormat="1" applyFont="1" applyBorder="1" applyAlignment="1">
      <alignment horizontal="center"/>
    </xf>
    <xf numFmtId="164" fontId="2" fillId="0" borderId="57" xfId="0" applyNumberFormat="1" applyFont="1" applyBorder="1" applyAlignment="1">
      <alignment horizontal="center"/>
    </xf>
    <xf numFmtId="0" fontId="6" fillId="0" borderId="56" xfId="0" applyFont="1" applyBorder="1" applyAlignment="1">
      <alignment horizontal="center" vertical="center"/>
    </xf>
    <xf numFmtId="0" fontId="1" fillId="0" borderId="56" xfId="0" applyFont="1" applyBorder="1" applyAlignment="1">
      <alignment horizontal="center" vertical="center"/>
    </xf>
    <xf numFmtId="1" fontId="1" fillId="0" borderId="57" xfId="0" applyNumberFormat="1" applyFont="1" applyBorder="1" applyAlignment="1">
      <alignment horizontal="center"/>
    </xf>
    <xf numFmtId="1" fontId="2" fillId="0" borderId="57" xfId="0" applyNumberFormat="1" applyFont="1" applyBorder="1" applyAlignment="1">
      <alignment horizontal="center"/>
    </xf>
    <xf numFmtId="0" fontId="1" fillId="0" borderId="57" xfId="0" applyFont="1" applyBorder="1" applyAlignment="1">
      <alignment horizontal="center"/>
    </xf>
    <xf numFmtId="0" fontId="2" fillId="0" borderId="57" xfId="0" applyFont="1" applyBorder="1" applyAlignment="1">
      <alignment horizontal="center"/>
    </xf>
    <xf numFmtId="0" fontId="1" fillId="0" borderId="58" xfId="0" applyFont="1" applyBorder="1" applyAlignment="1">
      <alignment horizontal="center" vertical="center"/>
    </xf>
    <xf numFmtId="0" fontId="2" fillId="0" borderId="59" xfId="0" applyFont="1" applyBorder="1" applyAlignment="1">
      <alignment vertical="center"/>
    </xf>
    <xf numFmtId="0" fontId="1" fillId="0" borderId="59" xfId="0" applyFont="1" applyBorder="1" applyAlignment="1">
      <alignment horizontal="center"/>
    </xf>
    <xf numFmtId="2" fontId="1" fillId="0" borderId="59" xfId="0" applyNumberFormat="1" applyFont="1" applyBorder="1" applyAlignment="1">
      <alignment horizontal="center"/>
    </xf>
    <xf numFmtId="1" fontId="1" fillId="0" borderId="59" xfId="0" applyNumberFormat="1" applyFont="1" applyBorder="1" applyAlignment="1">
      <alignment horizontal="center"/>
    </xf>
    <xf numFmtId="44" fontId="0" fillId="0" borderId="1" xfId="1" applyFont="1"/>
    <xf numFmtId="170" fontId="0" fillId="14" borderId="1" xfId="0" applyNumberFormat="1" applyFill="1"/>
    <xf numFmtId="164" fontId="1" fillId="0" borderId="1" xfId="0" applyNumberFormat="1" applyFont="1" applyAlignment="1">
      <alignment horizontal="center"/>
    </xf>
    <xf numFmtId="0" fontId="0" fillId="0" borderId="52" xfId="0" applyBorder="1"/>
    <xf numFmtId="0" fontId="20" fillId="15" borderId="52" xfId="0" applyFont="1" applyFill="1" applyBorder="1" applyAlignment="1">
      <alignment horizontal="center" vertical="center"/>
    </xf>
    <xf numFmtId="49" fontId="14" fillId="0" borderId="52" xfId="0" applyNumberFormat="1" applyFont="1" applyBorder="1" applyAlignment="1">
      <alignment vertical="center"/>
    </xf>
    <xf numFmtId="49" fontId="14" fillId="0" borderId="52" xfId="0" applyNumberFormat="1" applyFont="1" applyBorder="1" applyAlignment="1">
      <alignment horizontal="center" vertical="center"/>
    </xf>
    <xf numFmtId="176" fontId="14" fillId="0" borderId="52" xfId="0" applyNumberFormat="1" applyFont="1" applyBorder="1" applyAlignment="1">
      <alignment horizontal="right" vertical="center"/>
    </xf>
    <xf numFmtId="10" fontId="14" fillId="0" borderId="52" xfId="0" applyNumberFormat="1" applyFont="1" applyBorder="1" applyAlignment="1">
      <alignment horizontal="center" vertical="center"/>
    </xf>
    <xf numFmtId="176" fontId="13" fillId="0" borderId="52" xfId="0" applyNumberFormat="1" applyFont="1" applyBorder="1" applyAlignment="1">
      <alignment horizontal="right" vertical="center"/>
    </xf>
    <xf numFmtId="49" fontId="14" fillId="8" borderId="52" xfId="0" applyNumberFormat="1" applyFont="1" applyFill="1" applyBorder="1" applyAlignment="1">
      <alignment vertical="center"/>
    </xf>
    <xf numFmtId="49" fontId="14" fillId="8" borderId="52" xfId="0" applyNumberFormat="1" applyFont="1" applyFill="1" applyBorder="1" applyAlignment="1">
      <alignment horizontal="center" vertical="center"/>
    </xf>
    <xf numFmtId="176" fontId="14" fillId="8" borderId="52" xfId="0" applyNumberFormat="1" applyFont="1" applyFill="1" applyBorder="1" applyAlignment="1">
      <alignment horizontal="right" vertical="center"/>
    </xf>
    <xf numFmtId="10" fontId="14" fillId="8" borderId="52" xfId="0" applyNumberFormat="1" applyFont="1" applyFill="1" applyBorder="1" applyAlignment="1">
      <alignment horizontal="center" vertical="center"/>
    </xf>
    <xf numFmtId="176" fontId="13" fillId="8" borderId="52" xfId="0" applyNumberFormat="1" applyFont="1" applyFill="1" applyBorder="1" applyAlignment="1">
      <alignment horizontal="right" vertical="center"/>
    </xf>
    <xf numFmtId="10" fontId="14" fillId="8" borderId="52" xfId="0" applyNumberFormat="1" applyFont="1" applyFill="1" applyBorder="1" applyAlignment="1">
      <alignment horizontal="right" vertical="center"/>
    </xf>
    <xf numFmtId="10" fontId="13" fillId="8" borderId="52" xfId="0" applyNumberFormat="1" applyFont="1" applyFill="1" applyBorder="1" applyAlignment="1">
      <alignment horizontal="right" vertical="center"/>
    </xf>
    <xf numFmtId="0" fontId="0" fillId="0" borderId="56" xfId="0" applyBorder="1"/>
    <xf numFmtId="0" fontId="0" fillId="0" borderId="57" xfId="0" applyBorder="1"/>
    <xf numFmtId="0" fontId="20" fillId="15" borderId="56" xfId="0" applyFont="1" applyFill="1" applyBorder="1" applyAlignment="1">
      <alignment horizontal="center" vertical="center"/>
    </xf>
    <xf numFmtId="0" fontId="20" fillId="15" borderId="57" xfId="0" applyFont="1" applyFill="1" applyBorder="1" applyAlignment="1">
      <alignment horizontal="center" vertical="center"/>
    </xf>
    <xf numFmtId="49" fontId="13" fillId="0" borderId="56" xfId="0" applyNumberFormat="1" applyFont="1" applyBorder="1" applyAlignment="1">
      <alignment horizontal="center" vertical="center"/>
    </xf>
    <xf numFmtId="49" fontId="14" fillId="0" borderId="57" xfId="0" applyNumberFormat="1" applyFont="1" applyBorder="1" applyAlignment="1">
      <alignment vertical="center"/>
    </xf>
    <xf numFmtId="49" fontId="13" fillId="8" borderId="56" xfId="0" applyNumberFormat="1" applyFont="1" applyFill="1" applyBorder="1" applyAlignment="1">
      <alignment horizontal="center" vertical="center"/>
    </xf>
    <xf numFmtId="49" fontId="14" fillId="8" borderId="57" xfId="0" applyNumberFormat="1" applyFont="1" applyFill="1" applyBorder="1" applyAlignment="1">
      <alignment vertical="center"/>
    </xf>
    <xf numFmtId="49" fontId="13" fillId="8" borderId="58" xfId="0" applyNumberFormat="1" applyFont="1" applyFill="1" applyBorder="1" applyAlignment="1">
      <alignment horizontal="center" vertical="center"/>
    </xf>
    <xf numFmtId="49" fontId="14" fillId="8" borderId="59" xfId="0" applyNumberFormat="1" applyFont="1" applyFill="1" applyBorder="1" applyAlignment="1">
      <alignment vertical="center"/>
    </xf>
    <xf numFmtId="49" fontId="14" fillId="8" borderId="59" xfId="0" applyNumberFormat="1" applyFont="1" applyFill="1" applyBorder="1" applyAlignment="1">
      <alignment horizontal="center" vertical="center"/>
    </xf>
    <xf numFmtId="176" fontId="14" fillId="8" borderId="59" xfId="0" applyNumberFormat="1" applyFont="1" applyFill="1" applyBorder="1" applyAlignment="1">
      <alignment horizontal="right" vertical="center"/>
    </xf>
    <xf numFmtId="10" fontId="14" fillId="8" borderId="59" xfId="0" applyNumberFormat="1" applyFont="1" applyFill="1" applyBorder="1" applyAlignment="1">
      <alignment horizontal="center" vertical="center"/>
    </xf>
    <xf numFmtId="176" fontId="13" fillId="8" borderId="59" xfId="0" applyNumberFormat="1" applyFont="1" applyFill="1" applyBorder="1" applyAlignment="1">
      <alignment horizontal="right" vertical="center"/>
    </xf>
    <xf numFmtId="49" fontId="14" fillId="8" borderId="60" xfId="0" applyNumberFormat="1" applyFont="1" applyFill="1" applyBorder="1" applyAlignment="1">
      <alignment vertical="center"/>
    </xf>
    <xf numFmtId="0" fontId="1" fillId="0" borderId="9" xfId="0" applyFont="1" applyBorder="1" applyAlignment="1">
      <alignment horizontal="left" vertical="center" wrapText="1"/>
    </xf>
    <xf numFmtId="44" fontId="1" fillId="0" borderId="23" xfId="1" applyFont="1" applyBorder="1"/>
    <xf numFmtId="0" fontId="1" fillId="0" borderId="16" xfId="0" applyFont="1" applyBorder="1" applyAlignment="1">
      <alignment horizontal="left" wrapText="1"/>
    </xf>
    <xf numFmtId="0" fontId="1" fillId="0" borderId="12" xfId="0" applyFont="1" applyBorder="1" applyAlignment="1">
      <alignment horizontal="left" vertical="center" wrapText="1"/>
    </xf>
    <xf numFmtId="44" fontId="1" fillId="15" borderId="1" xfId="0" applyNumberFormat="1" applyFont="1" applyFill="1" applyAlignment="1">
      <alignment horizontal="center"/>
    </xf>
    <xf numFmtId="44" fontId="2" fillId="0" borderId="1" xfId="0" applyNumberFormat="1" applyFont="1" applyAlignment="1">
      <alignment horizontal="center"/>
    </xf>
    <xf numFmtId="44" fontId="2" fillId="0" borderId="1" xfId="1" applyFont="1" applyAlignment="1">
      <alignment horizontal="center" vertical="center"/>
    </xf>
    <xf numFmtId="0" fontId="0" fillId="0" borderId="61" xfId="0" applyBorder="1"/>
    <xf numFmtId="0" fontId="0" fillId="0" borderId="62" xfId="0" applyBorder="1"/>
    <xf numFmtId="0" fontId="15" fillId="5" borderId="61" xfId="0" applyFont="1" applyFill="1" applyBorder="1" applyAlignment="1">
      <alignment horizontal="center" vertical="center"/>
    </xf>
    <xf numFmtId="0" fontId="15" fillId="5" borderId="1" xfId="0" applyFont="1" applyFill="1" applyAlignment="1">
      <alignment horizontal="center" vertical="center"/>
    </xf>
    <xf numFmtId="0" fontId="15" fillId="5" borderId="62" xfId="0" applyFont="1" applyFill="1" applyBorder="1" applyAlignment="1">
      <alignment horizontal="center" vertical="center"/>
    </xf>
    <xf numFmtId="177" fontId="12" fillId="9" borderId="63" xfId="0" applyNumberFormat="1" applyFont="1" applyFill="1" applyBorder="1" applyAlignment="1">
      <alignment horizontal="center" vertical="center"/>
    </xf>
    <xf numFmtId="177" fontId="12" fillId="9" borderId="64" xfId="0" applyNumberFormat="1" applyFont="1" applyFill="1" applyBorder="1" applyAlignment="1">
      <alignment horizontal="center" vertical="center"/>
    </xf>
    <xf numFmtId="0" fontId="17" fillId="7" borderId="65" xfId="0" applyFont="1" applyFill="1" applyBorder="1" applyAlignment="1">
      <alignment horizontal="center" vertical="center"/>
    </xf>
    <xf numFmtId="0" fontId="17" fillId="7" borderId="66" xfId="0" applyFont="1" applyFill="1" applyBorder="1" applyAlignment="1">
      <alignment horizontal="center" vertical="center"/>
    </xf>
    <xf numFmtId="49" fontId="18" fillId="0" borderId="67" xfId="0" applyNumberFormat="1" applyFont="1" applyBorder="1" applyAlignment="1">
      <alignment horizontal="center" vertical="center"/>
    </xf>
    <xf numFmtId="0" fontId="18" fillId="0" borderId="68" xfId="0" applyFont="1" applyBorder="1" applyAlignment="1">
      <alignment horizontal="left" vertical="center"/>
    </xf>
    <xf numFmtId="0" fontId="13" fillId="10" borderId="69" xfId="0" applyFont="1" applyFill="1" applyBorder="1" applyAlignment="1">
      <alignment horizontal="center" vertical="center"/>
    </xf>
    <xf numFmtId="0" fontId="13" fillId="10" borderId="70" xfId="0" applyFont="1" applyFill="1" applyBorder="1" applyAlignment="1">
      <alignment horizontal="right" vertical="center"/>
    </xf>
    <xf numFmtId="49" fontId="18" fillId="11" borderId="71" xfId="0" applyNumberFormat="1" applyFont="1" applyFill="1" applyBorder="1" applyAlignment="1">
      <alignment horizontal="center" vertical="center"/>
    </xf>
    <xf numFmtId="0" fontId="18" fillId="11" borderId="72" xfId="0" applyFont="1" applyFill="1" applyBorder="1" applyAlignment="1">
      <alignment horizontal="left" vertical="center"/>
    </xf>
    <xf numFmtId="49" fontId="19" fillId="10" borderId="73" xfId="0" applyNumberFormat="1" applyFont="1" applyFill="1" applyBorder="1" applyAlignment="1">
      <alignment horizontal="center" vertical="center"/>
    </xf>
    <xf numFmtId="0" fontId="19" fillId="10" borderId="74" xfId="0" applyFont="1" applyFill="1" applyBorder="1" applyAlignment="1">
      <alignment horizontal="left" vertical="center"/>
    </xf>
    <xf numFmtId="49" fontId="20" fillId="7" borderId="75" xfId="0" applyNumberFormat="1" applyFont="1" applyFill="1" applyBorder="1" applyAlignment="1">
      <alignment horizontal="center" vertical="center"/>
    </xf>
    <xf numFmtId="0" fontId="20" fillId="7" borderId="76" xfId="0" applyFont="1" applyFill="1" applyBorder="1" applyAlignment="1">
      <alignment horizontal="left" vertical="center"/>
    </xf>
    <xf numFmtId="177" fontId="20" fillId="7" borderId="76" xfId="0" applyNumberFormat="1" applyFont="1" applyFill="1" applyBorder="1" applyAlignment="1">
      <alignment horizontal="right" vertical="center"/>
    </xf>
    <xf numFmtId="10" fontId="20" fillId="7" borderId="76" xfId="0" applyNumberFormat="1" applyFont="1" applyFill="1" applyBorder="1" applyAlignment="1">
      <alignment horizontal="right" vertical="center"/>
    </xf>
    <xf numFmtId="0" fontId="20" fillId="7" borderId="77" xfId="0" applyFont="1" applyFill="1" applyBorder="1" applyAlignment="1">
      <alignment horizontal="left" vertical="center"/>
    </xf>
    <xf numFmtId="175" fontId="0" fillId="0" borderId="1" xfId="1" applyNumberFormat="1" applyFont="1"/>
    <xf numFmtId="175" fontId="0" fillId="0" borderId="1" xfId="0" applyNumberFormat="1"/>
    <xf numFmtId="4" fontId="30" fillId="0" borderId="1" xfId="0" applyNumberFormat="1" applyFont="1"/>
    <xf numFmtId="2" fontId="6" fillId="0" borderId="1" xfId="0" applyNumberFormat="1" applyFont="1" applyAlignment="1">
      <alignment vertical="center"/>
    </xf>
    <xf numFmtId="179" fontId="2" fillId="0" borderId="1" xfId="0" applyNumberFormat="1" applyFont="1" applyAlignment="1">
      <alignment vertical="center"/>
    </xf>
    <xf numFmtId="175" fontId="6" fillId="0" borderId="1" xfId="1" applyNumberFormat="1" applyFont="1" applyAlignment="1">
      <alignment vertical="center"/>
    </xf>
    <xf numFmtId="164" fontId="2" fillId="0" borderId="60" xfId="0" applyNumberFormat="1" applyFont="1" applyBorder="1" applyAlignment="1">
      <alignment horizontal="center"/>
    </xf>
    <xf numFmtId="1" fontId="0" fillId="0" borderId="1" xfId="0" applyNumberFormat="1"/>
    <xf numFmtId="0" fontId="1" fillId="0" borderId="80" xfId="0" applyFont="1" applyBorder="1" applyAlignment="1">
      <alignment horizontal="left" vertical="center" wrapText="1"/>
    </xf>
    <xf numFmtId="0" fontId="1" fillId="0" borderId="79" xfId="0" applyFont="1" applyBorder="1" applyAlignment="1">
      <alignment horizontal="center" vertical="center"/>
    </xf>
    <xf numFmtId="2" fontId="1" fillId="0" borderId="79" xfId="0" applyNumberFormat="1" applyFont="1" applyBorder="1" applyAlignment="1">
      <alignment horizontal="center" vertical="center"/>
    </xf>
    <xf numFmtId="164" fontId="1" fillId="0" borderId="81" xfId="0" applyNumberFormat="1" applyFont="1" applyBorder="1" applyAlignment="1">
      <alignment horizontal="center" vertical="center"/>
    </xf>
    <xf numFmtId="166" fontId="6" fillId="0" borderId="13" xfId="0" applyNumberFormat="1" applyFont="1" applyBorder="1" applyAlignment="1">
      <alignment horizontal="center" vertical="center"/>
    </xf>
    <xf numFmtId="0" fontId="1" fillId="0" borderId="12" xfId="0" applyFont="1" applyBorder="1" applyAlignment="1">
      <alignment horizontal="left" vertical="center"/>
    </xf>
    <xf numFmtId="0" fontId="1" fillId="0" borderId="6" xfId="0" applyFont="1" applyBorder="1" applyAlignment="1">
      <alignment vertical="center"/>
    </xf>
    <xf numFmtId="2" fontId="1" fillId="0" borderId="6" xfId="0" applyNumberFormat="1" applyFont="1" applyBorder="1" applyAlignment="1">
      <alignment horizontal="center" vertical="center"/>
    </xf>
    <xf numFmtId="173" fontId="1" fillId="0" borderId="9" xfId="0" applyNumberFormat="1" applyFont="1" applyBorder="1" applyAlignment="1">
      <alignment horizontal="center" vertical="center"/>
    </xf>
    <xf numFmtId="173" fontId="1" fillId="0" borderId="10" xfId="0" applyNumberFormat="1" applyFont="1" applyBorder="1" applyAlignment="1">
      <alignment horizontal="center" vertical="center"/>
    </xf>
    <xf numFmtId="2" fontId="5" fillId="0" borderId="9" xfId="0" applyNumberFormat="1" applyFont="1" applyBorder="1" applyAlignment="1">
      <alignment horizontal="center" vertical="center"/>
    </xf>
    <xf numFmtId="0" fontId="1" fillId="0" borderId="78" xfId="0" applyFont="1" applyBorder="1" applyAlignment="1">
      <alignment horizontal="center" vertical="center"/>
    </xf>
    <xf numFmtId="0" fontId="1" fillId="0" borderId="79" xfId="0" applyFont="1" applyBorder="1" applyAlignment="1">
      <alignment vertical="center"/>
    </xf>
    <xf numFmtId="168" fontId="6" fillId="0" borderId="13" xfId="0" applyNumberFormat="1" applyFont="1" applyBorder="1" applyAlignment="1">
      <alignment horizontal="center" vertical="center"/>
    </xf>
    <xf numFmtId="2" fontId="1" fillId="16" borderId="9" xfId="0" applyNumberFormat="1" applyFont="1" applyFill="1" applyBorder="1" applyAlignment="1">
      <alignment horizontal="center" vertical="center"/>
    </xf>
    <xf numFmtId="0" fontId="0" fillId="19" borderId="52" xfId="0" applyFill="1" applyBorder="1" applyAlignment="1">
      <alignment horizontal="center" vertical="center"/>
    </xf>
    <xf numFmtId="0" fontId="0" fillId="21" borderId="52" xfId="0" applyFill="1" applyBorder="1" applyAlignment="1">
      <alignment horizontal="center" vertical="center"/>
    </xf>
    <xf numFmtId="172" fontId="0" fillId="0" borderId="52" xfId="0" applyNumberFormat="1" applyBorder="1" applyAlignment="1">
      <alignment horizontal="center" vertical="center"/>
    </xf>
    <xf numFmtId="0" fontId="0" fillId="0" borderId="52" xfId="0" applyBorder="1" applyAlignment="1">
      <alignment horizontal="center" vertical="center"/>
    </xf>
    <xf numFmtId="0" fontId="0" fillId="0" borderId="52" xfId="0" applyBorder="1" applyAlignment="1">
      <alignment horizontal="center" vertical="center" wrapText="1"/>
    </xf>
    <xf numFmtId="0" fontId="0" fillId="0" borderId="56" xfId="0" applyBorder="1" applyAlignment="1">
      <alignment horizontal="left" vertical="center"/>
    </xf>
    <xf numFmtId="0" fontId="0" fillId="0" borderId="58" xfId="0" applyBorder="1"/>
    <xf numFmtId="172" fontId="0" fillId="0" borderId="59" xfId="0" applyNumberFormat="1" applyBorder="1" applyAlignment="1">
      <alignment horizontal="center" vertical="center"/>
    </xf>
    <xf numFmtId="0" fontId="31" fillId="23" borderId="53" xfId="0" applyFont="1" applyFill="1" applyBorder="1" applyAlignment="1">
      <alignment horizontal="left" vertical="center"/>
    </xf>
    <xf numFmtId="0" fontId="31" fillId="23" borderId="54" xfId="0" applyFont="1" applyFill="1" applyBorder="1" applyAlignment="1">
      <alignment horizontal="left" vertical="center"/>
    </xf>
    <xf numFmtId="0" fontId="0" fillId="0" borderId="54" xfId="0" applyBorder="1" applyAlignment="1">
      <alignment horizontal="left" vertical="center"/>
    </xf>
    <xf numFmtId="0" fontId="0" fillId="0" borderId="55" xfId="0" applyBorder="1" applyAlignment="1">
      <alignment horizontal="left" vertical="center"/>
    </xf>
    <xf numFmtId="1" fontId="0" fillId="0" borderId="57" xfId="0" applyNumberFormat="1" applyBorder="1" applyAlignment="1">
      <alignment horizontal="center" vertical="center"/>
    </xf>
    <xf numFmtId="1" fontId="0" fillId="0" borderId="60" xfId="0" applyNumberFormat="1" applyBorder="1" applyAlignment="1">
      <alignment horizontal="center" vertical="center"/>
    </xf>
    <xf numFmtId="0" fontId="0" fillId="0" borderId="59" xfId="0" applyBorder="1" applyAlignment="1">
      <alignment horizontal="center" vertical="center"/>
    </xf>
    <xf numFmtId="1" fontId="0" fillId="21" borderId="52" xfId="0" applyNumberFormat="1" applyFill="1" applyBorder="1" applyAlignment="1">
      <alignment horizontal="center" vertical="center"/>
    </xf>
    <xf numFmtId="1" fontId="0" fillId="21" borderId="59" xfId="0" applyNumberFormat="1" applyFill="1" applyBorder="1" applyAlignment="1">
      <alignment horizontal="center" vertical="center"/>
    </xf>
    <xf numFmtId="1" fontId="10" fillId="0" borderId="1" xfId="0" applyNumberFormat="1" applyFont="1"/>
    <xf numFmtId="0" fontId="10" fillId="0" borderId="1" xfId="0" applyFont="1"/>
    <xf numFmtId="170" fontId="10" fillId="0" borderId="82" xfId="0" applyNumberFormat="1" applyFont="1" applyBorder="1" applyAlignment="1">
      <alignment horizontal="center" vertical="center"/>
    </xf>
    <xf numFmtId="0" fontId="0" fillId="17" borderId="52" xfId="0" applyFill="1" applyBorder="1" applyAlignment="1">
      <alignment horizontal="center" vertical="center"/>
    </xf>
    <xf numFmtId="2" fontId="0" fillId="17" borderId="52" xfId="0" applyNumberFormat="1" applyFill="1" applyBorder="1" applyAlignment="1">
      <alignment horizontal="center" vertical="center"/>
    </xf>
    <xf numFmtId="0" fontId="0" fillId="18" borderId="52" xfId="0" applyFill="1" applyBorder="1" applyAlignment="1">
      <alignment horizontal="center" vertical="center"/>
    </xf>
    <xf numFmtId="0" fontId="0" fillId="20" borderId="52" xfId="0" applyFill="1" applyBorder="1" applyAlignment="1">
      <alignment horizontal="center" vertical="center"/>
    </xf>
    <xf numFmtId="1" fontId="31" fillId="0" borderId="52" xfId="0" applyNumberFormat="1" applyFont="1" applyBorder="1" applyAlignment="1">
      <alignment horizontal="center" vertical="center"/>
    </xf>
    <xf numFmtId="0" fontId="10" fillId="22" borderId="52" xfId="0" applyFont="1" applyFill="1" applyBorder="1" applyAlignment="1">
      <alignment horizontal="center" vertical="center" wrapText="1"/>
    </xf>
    <xf numFmtId="175" fontId="1" fillId="0" borderId="1" xfId="1" applyNumberFormat="1" applyFont="1" applyAlignment="1">
      <alignment horizontal="center"/>
    </xf>
    <xf numFmtId="175" fontId="2" fillId="14" borderId="1" xfId="0" applyNumberFormat="1" applyFont="1" applyFill="1" applyAlignment="1">
      <alignment horizontal="center"/>
    </xf>
    <xf numFmtId="0" fontId="0" fillId="0" borderId="92" xfId="0" applyBorder="1" applyAlignment="1">
      <alignment horizontal="center" vertical="center"/>
    </xf>
    <xf numFmtId="1" fontId="0" fillId="0" borderId="82" xfId="0" applyNumberFormat="1" applyBorder="1" applyAlignment="1">
      <alignment horizontal="center" vertical="center"/>
    </xf>
    <xf numFmtId="0" fontId="21" fillId="0" borderId="52" xfId="0" applyFont="1" applyBorder="1" applyAlignment="1">
      <alignment horizontal="center" vertical="center"/>
    </xf>
    <xf numFmtId="1" fontId="21" fillId="21" borderId="52" xfId="0" applyNumberFormat="1" applyFont="1" applyFill="1" applyBorder="1" applyAlignment="1">
      <alignment horizontal="center" vertical="center"/>
    </xf>
    <xf numFmtId="0" fontId="21" fillId="0" borderId="52" xfId="0" applyFont="1" applyBorder="1" applyAlignment="1">
      <alignment horizontal="center" vertical="center" wrapText="1"/>
    </xf>
    <xf numFmtId="170" fontId="0" fillId="0" borderId="52" xfId="0" applyNumberFormat="1" applyBorder="1" applyAlignment="1">
      <alignment horizontal="center" vertical="center"/>
    </xf>
    <xf numFmtId="2" fontId="10" fillId="0" borderId="82" xfId="0" applyNumberFormat="1" applyFont="1" applyBorder="1" applyAlignment="1">
      <alignment horizontal="center" vertical="center"/>
    </xf>
    <xf numFmtId="170" fontId="0" fillId="0" borderId="1" xfId="0" applyNumberFormat="1" applyBorder="1" applyAlignment="1">
      <alignment horizontal="center" vertical="center"/>
    </xf>
    <xf numFmtId="0" fontId="0" fillId="0" borderId="1" xfId="0" applyBorder="1" applyAlignment="1">
      <alignment horizontal="center" vertical="center"/>
    </xf>
    <xf numFmtId="1" fontId="0" fillId="0" borderId="62" xfId="0" applyNumberFormat="1" applyBorder="1" applyAlignment="1">
      <alignment horizontal="center" vertical="center"/>
    </xf>
    <xf numFmtId="0" fontId="0" fillId="0" borderId="1" xfId="0" applyBorder="1"/>
    <xf numFmtId="170" fontId="10" fillId="0" borderId="88" xfId="0" applyNumberFormat="1" applyFont="1" applyBorder="1" applyAlignment="1">
      <alignment horizontal="center" vertical="center" wrapText="1"/>
    </xf>
    <xf numFmtId="170" fontId="10" fillId="0" borderId="88" xfId="0" applyNumberFormat="1" applyFont="1" applyBorder="1" applyAlignment="1">
      <alignment horizontal="centerContinuous" vertical="center" wrapText="1"/>
    </xf>
    <xf numFmtId="170" fontId="10" fillId="0" borderId="91" xfId="0" applyNumberFormat="1" applyFont="1" applyBorder="1" applyAlignment="1">
      <alignment horizontal="centerContinuous" vertical="center" wrapText="1"/>
    </xf>
    <xf numFmtId="170" fontId="10" fillId="0" borderId="84" xfId="0" applyNumberFormat="1" applyFont="1" applyBorder="1" applyAlignment="1">
      <alignment horizontal="centerContinuous" vertical="center" wrapText="1"/>
    </xf>
    <xf numFmtId="2" fontId="1" fillId="0" borderId="9" xfId="0" applyNumberFormat="1" applyFont="1" applyFill="1" applyBorder="1" applyAlignment="1">
      <alignment horizontal="center" vertical="center"/>
    </xf>
    <xf numFmtId="0" fontId="0" fillId="0" borderId="52" xfId="0" applyFill="1" applyBorder="1" applyAlignment="1">
      <alignment horizontal="center" vertical="center"/>
    </xf>
    <xf numFmtId="2" fontId="0" fillId="0" borderId="52" xfId="0" applyNumberFormat="1" applyFill="1" applyBorder="1" applyAlignment="1">
      <alignment horizontal="center" vertical="center"/>
    </xf>
    <xf numFmtId="172" fontId="10" fillId="0" borderId="91" xfId="0" applyNumberFormat="1" applyFont="1" applyBorder="1" applyAlignment="1">
      <alignment horizontal="center" vertical="center" wrapText="1"/>
    </xf>
    <xf numFmtId="180" fontId="10" fillId="0" borderId="84" xfId="0" applyNumberFormat="1" applyFont="1" applyBorder="1" applyAlignment="1">
      <alignment horizontal="centerContinuous" vertical="center" wrapText="1"/>
    </xf>
    <xf numFmtId="0" fontId="0" fillId="0" borderId="89" xfId="0" applyFill="1" applyBorder="1" applyAlignment="1">
      <alignment horizontal="center" vertical="center"/>
    </xf>
    <xf numFmtId="2" fontId="0" fillId="0" borderId="89" xfId="0" applyNumberFormat="1" applyFill="1" applyBorder="1" applyAlignment="1">
      <alignment horizontal="center" vertical="center"/>
    </xf>
    <xf numFmtId="180" fontId="10" fillId="0" borderId="1" xfId="0" applyNumberFormat="1" applyFont="1" applyBorder="1" applyAlignment="1">
      <alignment horizontal="centerContinuous" vertical="center" wrapText="1"/>
    </xf>
    <xf numFmtId="0" fontId="21" fillId="0" borderId="89" xfId="0" applyFont="1" applyFill="1" applyBorder="1" applyAlignment="1">
      <alignment horizontal="center" vertical="center"/>
    </xf>
    <xf numFmtId="2" fontId="21" fillId="0" borderId="89" xfId="0" applyNumberFormat="1" applyFont="1" applyFill="1" applyBorder="1" applyAlignment="1">
      <alignment horizontal="center" vertical="center"/>
    </xf>
    <xf numFmtId="2" fontId="10" fillId="0" borderId="52" xfId="0" applyNumberFormat="1" applyFont="1" applyBorder="1" applyAlignment="1">
      <alignment horizontal="center" vertical="center" wrapText="1"/>
    </xf>
    <xf numFmtId="180" fontId="10" fillId="0" borderId="1" xfId="0" applyNumberFormat="1" applyFont="1" applyBorder="1" applyAlignment="1">
      <alignment horizontal="center" vertical="center" wrapText="1"/>
    </xf>
    <xf numFmtId="2" fontId="10" fillId="0" borderId="88" xfId="0" applyNumberFormat="1" applyFont="1" applyBorder="1" applyAlignment="1">
      <alignment horizontal="centerContinuous" vertical="center" wrapText="1"/>
    </xf>
    <xf numFmtId="0" fontId="10" fillId="22" borderId="52" xfId="0" applyFont="1" applyFill="1" applyBorder="1" applyAlignment="1">
      <alignment vertical="center"/>
    </xf>
    <xf numFmtId="2" fontId="10" fillId="0" borderId="88" xfId="0" applyNumberFormat="1" applyFont="1" applyBorder="1" applyAlignment="1">
      <alignment horizontal="center" vertical="center" wrapText="1"/>
    </xf>
    <xf numFmtId="2" fontId="10" fillId="0" borderId="1" xfId="0" applyNumberFormat="1" applyFont="1" applyBorder="1" applyAlignment="1">
      <alignment horizontal="center" vertical="center" wrapText="1"/>
    </xf>
    <xf numFmtId="2" fontId="10" fillId="0" borderId="89" xfId="0" applyNumberFormat="1" applyFont="1" applyBorder="1" applyAlignment="1">
      <alignment horizontal="center" vertical="center" wrapText="1"/>
    </xf>
    <xf numFmtId="0" fontId="21" fillId="0" borderId="53" xfId="0" applyFont="1" applyFill="1" applyBorder="1"/>
    <xf numFmtId="0" fontId="21" fillId="0" borderId="95" xfId="0" applyFont="1" applyFill="1" applyBorder="1" applyAlignment="1">
      <alignment horizontal="center" vertical="center"/>
    </xf>
    <xf numFmtId="2" fontId="21" fillId="0" borderId="95" xfId="0" applyNumberFormat="1" applyFont="1" applyFill="1" applyBorder="1" applyAlignment="1">
      <alignment horizontal="center" vertical="center"/>
    </xf>
    <xf numFmtId="0" fontId="10" fillId="22" borderId="54" xfId="0" applyFont="1" applyFill="1" applyBorder="1" applyAlignment="1">
      <alignment vertical="center"/>
    </xf>
    <xf numFmtId="0" fontId="10" fillId="22" borderId="55" xfId="0" applyFont="1" applyFill="1" applyBorder="1" applyAlignment="1">
      <alignment vertical="center"/>
    </xf>
    <xf numFmtId="0" fontId="21" fillId="0" borderId="56" xfId="0" applyFont="1" applyFill="1" applyBorder="1"/>
    <xf numFmtId="170" fontId="10" fillId="0" borderId="98" xfId="0" applyNumberFormat="1" applyFont="1" applyBorder="1" applyAlignment="1">
      <alignment horizontal="centerContinuous" vertical="center" wrapText="1"/>
    </xf>
    <xf numFmtId="170" fontId="10" fillId="0" borderId="62" xfId="0" applyNumberFormat="1" applyFont="1" applyBorder="1" applyAlignment="1">
      <alignment horizontal="centerContinuous" vertical="center" wrapText="1"/>
    </xf>
    <xf numFmtId="0" fontId="21" fillId="0" borderId="58" xfId="0" applyFont="1" applyFill="1" applyBorder="1"/>
    <xf numFmtId="0" fontId="0" fillId="0" borderId="59" xfId="0" applyFill="1" applyBorder="1" applyAlignment="1">
      <alignment horizontal="center" vertical="center"/>
    </xf>
    <xf numFmtId="2" fontId="0" fillId="0" borderId="59" xfId="0" applyNumberFormat="1" applyFill="1" applyBorder="1" applyAlignment="1">
      <alignment horizontal="center" vertical="center"/>
    </xf>
    <xf numFmtId="2" fontId="10" fillId="0" borderId="82" xfId="0" applyNumberFormat="1" applyFont="1" applyBorder="1" applyAlignment="1">
      <alignment horizontal="centerContinuous" vertical="center" wrapText="1"/>
    </xf>
    <xf numFmtId="0" fontId="0" fillId="0" borderId="54" xfId="0" applyFill="1" applyBorder="1" applyAlignment="1">
      <alignment horizontal="center" vertical="center"/>
    </xf>
    <xf numFmtId="2" fontId="0" fillId="0" borderId="54" xfId="0" applyNumberFormat="1" applyFill="1" applyBorder="1" applyAlignment="1">
      <alignment horizontal="center" vertical="center"/>
    </xf>
    <xf numFmtId="170" fontId="10" fillId="0" borderId="96" xfId="0" applyNumberFormat="1" applyFont="1" applyBorder="1" applyAlignment="1">
      <alignment horizontal="centerContinuous" vertical="center" wrapText="1"/>
    </xf>
    <xf numFmtId="2" fontId="10" fillId="24" borderId="82" xfId="0" applyNumberFormat="1" applyFont="1" applyFill="1" applyBorder="1" applyAlignment="1">
      <alignment horizontal="centerContinuous" vertical="center" wrapText="1"/>
    </xf>
    <xf numFmtId="0" fontId="0" fillId="0" borderId="1" xfId="0" applyFill="1" applyBorder="1" applyAlignment="1">
      <alignment horizontal="center" vertical="center"/>
    </xf>
    <xf numFmtId="2" fontId="0" fillId="0" borderId="1" xfId="0" applyNumberFormat="1" applyFill="1" applyBorder="1" applyAlignment="1">
      <alignment horizontal="center" vertical="center"/>
    </xf>
    <xf numFmtId="2" fontId="10" fillId="0" borderId="91" xfId="0" applyNumberFormat="1" applyFont="1" applyBorder="1" applyAlignment="1">
      <alignment horizontal="center" vertical="center" wrapText="1"/>
    </xf>
    <xf numFmtId="2" fontId="10" fillId="0" borderId="99" xfId="0" applyNumberFormat="1" applyFont="1" applyBorder="1" applyAlignment="1">
      <alignment horizontal="center" vertical="center" wrapText="1"/>
    </xf>
    <xf numFmtId="2" fontId="10" fillId="0" borderId="91" xfId="0" applyNumberFormat="1" applyFont="1" applyBorder="1" applyAlignment="1">
      <alignment vertical="center" wrapText="1"/>
    </xf>
    <xf numFmtId="2" fontId="10" fillId="0" borderId="99" xfId="0" applyNumberFormat="1" applyFont="1" applyBorder="1" applyAlignment="1">
      <alignment vertical="center" wrapText="1"/>
    </xf>
    <xf numFmtId="0" fontId="10" fillId="22" borderId="53" xfId="0" applyFont="1" applyFill="1" applyBorder="1" applyAlignment="1">
      <alignment horizontal="center" vertical="center" wrapText="1"/>
    </xf>
    <xf numFmtId="0" fontId="10" fillId="22" borderId="54" xfId="0" applyFont="1" applyFill="1" applyBorder="1" applyAlignment="1">
      <alignment horizontal="center" vertical="center" wrapText="1"/>
    </xf>
    <xf numFmtId="172" fontId="10" fillId="0" borderId="62" xfId="0" applyNumberFormat="1" applyFont="1" applyBorder="1" applyAlignment="1">
      <alignment horizontal="centerContinuous" vertical="center" wrapText="1"/>
    </xf>
    <xf numFmtId="180" fontId="10" fillId="0" borderId="101" xfId="0" applyNumberFormat="1" applyFont="1" applyBorder="1" applyAlignment="1">
      <alignment horizontal="centerContinuous" vertical="center" wrapText="1"/>
    </xf>
    <xf numFmtId="0" fontId="21" fillId="0" borderId="93" xfId="0" applyFont="1" applyFill="1" applyBorder="1"/>
    <xf numFmtId="180" fontId="10" fillId="0" borderId="62" xfId="0" applyNumberFormat="1" applyFont="1" applyBorder="1" applyAlignment="1">
      <alignment horizontal="centerContinuous" vertical="center" wrapText="1"/>
    </xf>
    <xf numFmtId="0" fontId="21" fillId="0" borderId="61" xfId="0" applyFont="1" applyFill="1" applyBorder="1"/>
    <xf numFmtId="2" fontId="10" fillId="0" borderId="62" xfId="0" applyNumberFormat="1" applyFont="1" applyFill="1" applyBorder="1" applyAlignment="1">
      <alignment horizontal="centerContinuous" vertical="center" wrapText="1"/>
    </xf>
    <xf numFmtId="170" fontId="10" fillId="0" borderId="102" xfId="0" applyNumberFormat="1" applyFont="1" applyBorder="1" applyAlignment="1">
      <alignment horizontal="centerContinuous" vertical="center" wrapText="1"/>
    </xf>
    <xf numFmtId="170" fontId="10" fillId="0" borderId="98" xfId="0" applyNumberFormat="1" applyFont="1" applyBorder="1" applyAlignment="1">
      <alignment horizontal="center" vertical="center" wrapText="1"/>
    </xf>
    <xf numFmtId="170" fontId="10" fillId="0" borderId="62" xfId="0" applyNumberFormat="1" applyFont="1" applyBorder="1" applyAlignment="1">
      <alignment horizontal="center" vertical="center" wrapText="1"/>
    </xf>
    <xf numFmtId="2" fontId="10" fillId="0" borderId="82" xfId="0" applyNumberFormat="1" applyFont="1" applyBorder="1" applyAlignment="1">
      <alignment horizontal="center" vertical="center" wrapText="1"/>
    </xf>
    <xf numFmtId="170" fontId="10" fillId="0" borderId="102" xfId="0" applyNumberFormat="1" applyFont="1" applyBorder="1" applyAlignment="1">
      <alignment horizontal="center" vertical="center" wrapText="1"/>
    </xf>
    <xf numFmtId="172" fontId="10" fillId="0" borderId="62" xfId="0" applyNumberFormat="1" applyFont="1" applyBorder="1" applyAlignment="1">
      <alignment horizontal="center" vertical="center" wrapText="1"/>
    </xf>
    <xf numFmtId="180" fontId="10" fillId="0" borderId="99" xfId="0" applyNumberFormat="1" applyFont="1" applyBorder="1" applyAlignment="1">
      <alignment horizontal="center" vertical="center" wrapText="1"/>
    </xf>
    <xf numFmtId="180" fontId="10" fillId="0" borderId="82" xfId="0" applyNumberFormat="1" applyFont="1" applyBorder="1" applyAlignment="1">
      <alignment horizontal="center" vertical="center" wrapText="1"/>
    </xf>
    <xf numFmtId="0" fontId="21" fillId="0" borderId="89" xfId="0" applyFont="1" applyFill="1" applyBorder="1" applyAlignment="1">
      <alignment horizontal="center" vertical="center" wrapText="1"/>
    </xf>
    <xf numFmtId="2" fontId="21" fillId="0" borderId="89" xfId="0" applyNumberFormat="1" applyFont="1" applyFill="1" applyBorder="1" applyAlignment="1">
      <alignment horizontal="center" vertical="center" wrapText="1"/>
    </xf>
    <xf numFmtId="1" fontId="0" fillId="0" borderId="52" xfId="0" applyNumberFormat="1" applyFill="1" applyBorder="1" applyAlignment="1">
      <alignment horizontal="center" vertical="center"/>
    </xf>
    <xf numFmtId="1" fontId="0" fillId="0" borderId="89" xfId="0" applyNumberFormat="1" applyFill="1" applyBorder="1" applyAlignment="1">
      <alignment horizontal="center" vertical="center"/>
    </xf>
    <xf numFmtId="2" fontId="21" fillId="0" borderId="98" xfId="0" applyNumberFormat="1" applyFont="1" applyFill="1" applyBorder="1" applyAlignment="1">
      <alignment horizontal="center" vertical="center" wrapText="1"/>
    </xf>
    <xf numFmtId="2" fontId="10" fillId="0" borderId="57" xfId="0" applyNumberFormat="1" applyFont="1" applyBorder="1" applyAlignment="1">
      <alignment horizontal="centerContinuous" vertical="center" wrapText="1"/>
    </xf>
    <xf numFmtId="170" fontId="10" fillId="0" borderId="57" xfId="0" applyNumberFormat="1" applyFont="1" applyBorder="1" applyAlignment="1">
      <alignment horizontal="centerContinuous" vertical="center" wrapText="1"/>
    </xf>
    <xf numFmtId="170" fontId="10" fillId="0" borderId="105" xfId="0" applyNumberFormat="1" applyFont="1" applyBorder="1" applyAlignment="1">
      <alignment horizontal="centerContinuous" vertical="center" wrapText="1"/>
    </xf>
    <xf numFmtId="0" fontId="0" fillId="0" borderId="1" xfId="0" applyBorder="1" applyAlignment="1"/>
    <xf numFmtId="170" fontId="10" fillId="0" borderId="92" xfId="0" applyNumberFormat="1" applyFont="1" applyBorder="1" applyAlignment="1">
      <alignment horizontal="centerContinuous" vertical="center" wrapText="1"/>
    </xf>
    <xf numFmtId="170" fontId="10" fillId="0" borderId="82" xfId="0" applyNumberFormat="1" applyFont="1" applyBorder="1" applyAlignment="1">
      <alignment horizontal="centerContinuous" vertical="center" wrapText="1"/>
    </xf>
    <xf numFmtId="0" fontId="10" fillId="22" borderId="56" xfId="0" applyFont="1" applyFill="1" applyBorder="1" applyAlignment="1">
      <alignment horizontal="center" vertical="center" wrapText="1"/>
    </xf>
    <xf numFmtId="2" fontId="10" fillId="0" borderId="101" xfId="0" applyNumberFormat="1" applyFont="1" applyBorder="1" applyAlignment="1">
      <alignment horizontal="centerContinuous" vertical="center" wrapText="1"/>
    </xf>
    <xf numFmtId="0" fontId="10" fillId="22" borderId="57" xfId="0" applyFont="1" applyFill="1" applyBorder="1" applyAlignment="1">
      <alignment vertical="center"/>
    </xf>
    <xf numFmtId="2" fontId="10" fillId="24" borderId="101" xfId="0" applyNumberFormat="1" applyFont="1" applyFill="1" applyBorder="1" applyAlignment="1">
      <alignment horizontal="centerContinuous" vertical="center" wrapText="1"/>
    </xf>
    <xf numFmtId="0" fontId="0" fillId="0" borderId="61" xfId="0" applyBorder="1" applyAlignment="1"/>
    <xf numFmtId="0" fontId="0" fillId="0" borderId="62" xfId="0" applyBorder="1" applyAlignment="1"/>
    <xf numFmtId="170" fontId="10" fillId="0" borderId="101" xfId="0" applyNumberFormat="1" applyFont="1" applyBorder="1" applyAlignment="1">
      <alignment horizontal="centerContinuous" vertical="center" wrapText="1"/>
    </xf>
    <xf numFmtId="0" fontId="10" fillId="22" borderId="57" xfId="0" applyFont="1" applyFill="1" applyBorder="1" applyAlignment="1">
      <alignment horizontal="center" vertical="center" wrapText="1"/>
    </xf>
    <xf numFmtId="180" fontId="10" fillId="0" borderId="57" xfId="0" applyNumberFormat="1" applyFont="1" applyBorder="1" applyAlignment="1">
      <alignment horizontal="centerContinuous" vertical="center" wrapText="1"/>
    </xf>
    <xf numFmtId="0" fontId="0" fillId="17" borderId="56" xfId="0" applyFill="1" applyBorder="1"/>
    <xf numFmtId="0" fontId="0" fillId="18" borderId="56" xfId="0" applyFill="1" applyBorder="1"/>
    <xf numFmtId="0" fontId="0" fillId="19" borderId="56" xfId="0" applyFill="1" applyBorder="1"/>
    <xf numFmtId="0" fontId="0" fillId="20" borderId="56" xfId="0" applyFill="1" applyBorder="1"/>
    <xf numFmtId="0" fontId="0" fillId="21" borderId="56" xfId="0" applyFill="1" applyBorder="1"/>
    <xf numFmtId="0" fontId="10" fillId="22" borderId="56" xfId="0" applyFont="1" applyFill="1" applyBorder="1" applyAlignment="1">
      <alignment horizontal="left" vertical="center" wrapText="1"/>
    </xf>
    <xf numFmtId="164" fontId="6" fillId="0" borderId="1" xfId="0" applyNumberFormat="1" applyFont="1" applyAlignment="1">
      <alignment horizontal="center"/>
    </xf>
    <xf numFmtId="0" fontId="1" fillId="0" borderId="52" xfId="0" applyFont="1" applyBorder="1"/>
    <xf numFmtId="0" fontId="1" fillId="0" borderId="52" xfId="0" applyFont="1" applyBorder="1" applyAlignment="1">
      <alignment horizontal="right"/>
    </xf>
    <xf numFmtId="1" fontId="1" fillId="0" borderId="52" xfId="0" applyNumberFormat="1" applyFont="1" applyBorder="1"/>
    <xf numFmtId="0" fontId="1" fillId="0" borderId="53" xfId="0" applyFont="1" applyBorder="1"/>
    <xf numFmtId="0" fontId="1" fillId="0" borderId="54" xfId="0" applyFont="1" applyBorder="1"/>
    <xf numFmtId="0" fontId="1" fillId="0" borderId="56" xfId="0" applyFont="1" applyBorder="1"/>
    <xf numFmtId="0" fontId="1" fillId="0" borderId="57" xfId="0" applyFont="1" applyBorder="1"/>
    <xf numFmtId="0" fontId="1" fillId="0" borderId="56" xfId="0" applyFont="1" applyBorder="1" applyAlignment="1">
      <alignment horizontal="center"/>
    </xf>
    <xf numFmtId="1" fontId="1" fillId="0" borderId="57" xfId="0" applyNumberFormat="1" applyFont="1" applyBorder="1"/>
    <xf numFmtId="0" fontId="1" fillId="0" borderId="56" xfId="0" applyFont="1" applyBorder="1" applyAlignment="1">
      <alignment horizontal="left"/>
    </xf>
    <xf numFmtId="0" fontId="1" fillId="0" borderId="58" xfId="0" applyFont="1" applyBorder="1"/>
    <xf numFmtId="0" fontId="1" fillId="0" borderId="59" xfId="0" applyFont="1" applyBorder="1"/>
    <xf numFmtId="1" fontId="1" fillId="0" borderId="60" xfId="0" applyNumberFormat="1" applyFont="1" applyBorder="1"/>
    <xf numFmtId="44" fontId="2" fillId="0" borderId="1" xfId="1" applyFont="1"/>
    <xf numFmtId="44" fontId="1" fillId="0" borderId="1" xfId="1" applyFont="1" applyAlignment="1">
      <alignment horizontal="right"/>
    </xf>
    <xf numFmtId="44" fontId="1" fillId="0" borderId="55" xfId="1" applyFont="1" applyBorder="1"/>
    <xf numFmtId="44" fontId="1" fillId="0" borderId="57" xfId="1" applyFont="1" applyBorder="1"/>
    <xf numFmtId="44" fontId="1" fillId="0" borderId="60" xfId="1" applyFont="1" applyBorder="1"/>
    <xf numFmtId="44" fontId="1" fillId="0" borderId="24" xfId="1" applyFont="1" applyBorder="1"/>
    <xf numFmtId="44" fontId="1" fillId="0" borderId="1" xfId="1" applyFont="1"/>
    <xf numFmtId="44" fontId="1" fillId="0" borderId="28" xfId="1" applyFont="1" applyBorder="1"/>
    <xf numFmtId="44" fontId="1" fillId="0" borderId="21" xfId="1" applyFont="1" applyBorder="1"/>
    <xf numFmtId="44" fontId="1" fillId="0" borderId="33" xfId="1" applyFont="1" applyBorder="1"/>
    <xf numFmtId="44" fontId="1" fillId="0" borderId="16" xfId="1" applyFont="1" applyBorder="1"/>
    <xf numFmtId="44" fontId="1" fillId="0" borderId="25" xfId="1" applyFont="1" applyBorder="1"/>
    <xf numFmtId="0" fontId="2" fillId="0" borderId="52" xfId="0" applyFont="1" applyBorder="1"/>
    <xf numFmtId="2" fontId="1" fillId="0" borderId="52" xfId="0" applyNumberFormat="1" applyFont="1" applyBorder="1"/>
    <xf numFmtId="0" fontId="2" fillId="0" borderId="54" xfId="0" applyFont="1" applyBorder="1"/>
    <xf numFmtId="44" fontId="2" fillId="0" borderId="55" xfId="1" applyFont="1" applyBorder="1"/>
    <xf numFmtId="44" fontId="1" fillId="0" borderId="57" xfId="1" applyFont="1" applyBorder="1" applyAlignment="1">
      <alignment horizontal="right"/>
    </xf>
    <xf numFmtId="44" fontId="2" fillId="0" borderId="57" xfId="1" applyFont="1" applyBorder="1"/>
    <xf numFmtId="170" fontId="1" fillId="0" borderId="52" xfId="0" applyNumberFormat="1" applyFont="1" applyBorder="1"/>
    <xf numFmtId="0" fontId="2" fillId="0" borderId="56" xfId="0" applyFont="1" applyBorder="1"/>
    <xf numFmtId="171" fontId="1" fillId="0" borderId="52" xfId="0" applyNumberFormat="1" applyFont="1" applyBorder="1"/>
    <xf numFmtId="172" fontId="1" fillId="0" borderId="52" xfId="0" applyNumberFormat="1" applyFont="1" applyBorder="1"/>
    <xf numFmtId="0" fontId="2" fillId="0" borderId="55" xfId="0" applyFont="1" applyBorder="1"/>
    <xf numFmtId="169" fontId="1" fillId="0" borderId="57" xfId="0" applyNumberFormat="1" applyFont="1" applyBorder="1" applyAlignment="1">
      <alignment horizontal="right"/>
    </xf>
    <xf numFmtId="168" fontId="1" fillId="0" borderId="57" xfId="0" applyNumberFormat="1" applyFont="1" applyBorder="1"/>
    <xf numFmtId="170" fontId="1" fillId="0" borderId="52" xfId="0" applyNumberFormat="1" applyFont="1" applyBorder="1" applyAlignment="1">
      <alignment horizontal="center"/>
    </xf>
    <xf numFmtId="44" fontId="6" fillId="0" borderId="1" xfId="1" applyFont="1" applyAlignment="1">
      <alignment horizontal="center"/>
    </xf>
    <xf numFmtId="0" fontId="1" fillId="0" borderId="52" xfId="0" applyFont="1" applyBorder="1" applyAlignment="1">
      <alignment horizontal="center" vertical="center"/>
    </xf>
    <xf numFmtId="1" fontId="9" fillId="0" borderId="52" xfId="0" applyNumberFormat="1" applyFont="1" applyBorder="1" applyAlignment="1">
      <alignment horizontal="center" vertical="center"/>
    </xf>
    <xf numFmtId="1" fontId="1" fillId="0" borderId="52" xfId="0" applyNumberFormat="1" applyFont="1" applyBorder="1" applyAlignment="1">
      <alignment horizontal="center" vertical="center"/>
    </xf>
    <xf numFmtId="1" fontId="9" fillId="0" borderId="52" xfId="0" applyNumberFormat="1" applyFont="1" applyBorder="1"/>
    <xf numFmtId="0" fontId="1" fillId="12" borderId="56" xfId="0" applyFont="1" applyFill="1" applyBorder="1"/>
    <xf numFmtId="0" fontId="1" fillId="0" borderId="56" xfId="0" applyFont="1" applyBorder="1" applyAlignment="1">
      <alignment horizontal="center" vertical="center" wrapText="1"/>
    </xf>
    <xf numFmtId="44" fontId="1" fillId="3" borderId="57" xfId="1" applyFont="1" applyFill="1" applyBorder="1"/>
    <xf numFmtId="1" fontId="1" fillId="14" borderId="52" xfId="0" applyNumberFormat="1" applyFont="1" applyFill="1" applyBorder="1"/>
    <xf numFmtId="0" fontId="6" fillId="0" borderId="53" xfId="0" applyFont="1" applyBorder="1" applyAlignment="1">
      <alignment horizontal="center"/>
    </xf>
    <xf numFmtId="44" fontId="6" fillId="0" borderId="55" xfId="1" applyFont="1" applyBorder="1" applyAlignment="1">
      <alignment horizontal="center"/>
    </xf>
    <xf numFmtId="1" fontId="1" fillId="0" borderId="52" xfId="0" applyNumberFormat="1" applyFont="1" applyBorder="1" applyAlignment="1">
      <alignment vertical="center"/>
    </xf>
    <xf numFmtId="0" fontId="1" fillId="0" borderId="56" xfId="0" applyFont="1" applyBorder="1" applyAlignment="1">
      <alignment vertical="top" wrapText="1"/>
    </xf>
    <xf numFmtId="0" fontId="6" fillId="0" borderId="34" xfId="0" applyFont="1" applyBorder="1" applyAlignment="1">
      <alignment horizontal="left"/>
    </xf>
    <xf numFmtId="0" fontId="11" fillId="0" borderId="35" xfId="0" applyFont="1" applyBorder="1"/>
    <xf numFmtId="0" fontId="11" fillId="0" borderId="36" xfId="0" applyFont="1" applyBorder="1"/>
    <xf numFmtId="0" fontId="2" fillId="0" borderId="1" xfId="0" applyFont="1" applyAlignment="1">
      <alignment horizontal="left"/>
    </xf>
    <xf numFmtId="0" fontId="0" fillId="0" borderId="1" xfId="0"/>
    <xf numFmtId="0" fontId="2" fillId="4" borderId="1" xfId="0" applyFont="1" applyFill="1" applyAlignment="1">
      <alignment horizontal="center"/>
    </xf>
    <xf numFmtId="0" fontId="11" fillId="0" borderId="1" xfId="0" applyFont="1"/>
    <xf numFmtId="0" fontId="2" fillId="0" borderId="1" xfId="0" applyFont="1" applyAlignment="1">
      <alignment horizontal="center"/>
    </xf>
    <xf numFmtId="0" fontId="6" fillId="0" borderId="37" xfId="0" applyFont="1" applyBorder="1" applyAlignment="1">
      <alignment horizontal="left" vertical="center"/>
    </xf>
    <xf numFmtId="0" fontId="6" fillId="0" borderId="38" xfId="0" applyFont="1" applyBorder="1" applyAlignment="1">
      <alignment horizontal="left" vertical="center"/>
    </xf>
    <xf numFmtId="0" fontId="11" fillId="0" borderId="39" xfId="0" applyFont="1" applyBorder="1"/>
    <xf numFmtId="0" fontId="11" fillId="0" borderId="40" xfId="0" applyFont="1" applyBorder="1"/>
    <xf numFmtId="0" fontId="6" fillId="0" borderId="41" xfId="0" applyFont="1" applyBorder="1" applyAlignment="1">
      <alignment horizontal="left" vertical="center"/>
    </xf>
    <xf numFmtId="0" fontId="11" fillId="0" borderId="42" xfId="0" applyFont="1" applyBorder="1"/>
    <xf numFmtId="0" fontId="11" fillId="0" borderId="43" xfId="0" applyFont="1" applyBorder="1"/>
    <xf numFmtId="0" fontId="6" fillId="0" borderId="1" xfId="0" applyFont="1" applyAlignment="1">
      <alignment horizontal="center"/>
    </xf>
    <xf numFmtId="0" fontId="1" fillId="0" borderId="59" xfId="0" applyFont="1" applyBorder="1" applyAlignment="1">
      <alignment horizontal="center"/>
    </xf>
    <xf numFmtId="0" fontId="0" fillId="0" borderId="59" xfId="0" applyBorder="1"/>
    <xf numFmtId="0" fontId="1" fillId="0" borderId="52" xfId="0" applyFont="1" applyBorder="1" applyAlignment="1">
      <alignment horizontal="center"/>
    </xf>
    <xf numFmtId="0" fontId="0" fillId="0" borderId="52" xfId="0" applyBorder="1"/>
    <xf numFmtId="0" fontId="1" fillId="0" borderId="1" xfId="0" applyFont="1" applyAlignment="1">
      <alignment horizontal="center"/>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0" fontId="10" fillId="21" borderId="94" xfId="0" applyFont="1" applyFill="1" applyBorder="1" applyAlignment="1">
      <alignment horizontal="center"/>
    </xf>
    <xf numFmtId="0" fontId="10" fillId="21" borderId="95" xfId="0" applyFont="1" applyFill="1" applyBorder="1" applyAlignment="1">
      <alignment horizontal="center"/>
    </xf>
    <xf numFmtId="0" fontId="10" fillId="21" borderId="96" xfId="0" applyFont="1" applyFill="1" applyBorder="1" applyAlignment="1">
      <alignment horizontal="center"/>
    </xf>
    <xf numFmtId="0" fontId="10" fillId="22" borderId="54" xfId="0" applyFont="1" applyFill="1" applyBorder="1" applyAlignment="1">
      <alignment horizontal="center" vertical="center"/>
    </xf>
    <xf numFmtId="0" fontId="10" fillId="22" borderId="55" xfId="0" applyFont="1" applyFill="1" applyBorder="1" applyAlignment="1">
      <alignment horizontal="center" vertical="center"/>
    </xf>
    <xf numFmtId="2" fontId="10" fillId="0" borderId="88" xfId="0" applyNumberFormat="1" applyFont="1" applyBorder="1" applyAlignment="1">
      <alignment horizontal="center" vertical="center" wrapText="1"/>
    </xf>
    <xf numFmtId="2" fontId="10" fillId="0" borderId="91" xfId="0" applyNumberFormat="1" applyFont="1" applyBorder="1" applyAlignment="1">
      <alignment horizontal="center" vertical="center" wrapText="1"/>
    </xf>
    <xf numFmtId="2" fontId="10" fillId="0" borderId="99" xfId="0" applyNumberFormat="1" applyFont="1" applyBorder="1" applyAlignment="1">
      <alignment horizontal="center" vertical="center" wrapText="1"/>
    </xf>
    <xf numFmtId="2" fontId="10" fillId="0" borderId="100" xfId="0" applyNumberFormat="1" applyFont="1" applyBorder="1" applyAlignment="1">
      <alignment horizontal="center" vertical="center" wrapText="1"/>
    </xf>
    <xf numFmtId="0" fontId="10" fillId="22" borderId="52" xfId="0" applyFont="1" applyFill="1" applyBorder="1" applyAlignment="1">
      <alignment horizontal="center" vertical="center"/>
    </xf>
    <xf numFmtId="0" fontId="10" fillId="22" borderId="57" xfId="0" applyFont="1" applyFill="1" applyBorder="1" applyAlignment="1">
      <alignment horizontal="center" vertical="center"/>
    </xf>
    <xf numFmtId="0" fontId="0" fillId="0" borderId="93" xfId="0" applyBorder="1" applyAlignment="1">
      <alignment horizontal="center"/>
    </xf>
    <xf numFmtId="0" fontId="0" fillId="0" borderId="89" xfId="0" applyBorder="1" applyAlignment="1">
      <alignment horizontal="center"/>
    </xf>
    <xf numFmtId="0" fontId="0" fillId="0" borderId="98" xfId="0" applyBorder="1" applyAlignment="1">
      <alignment horizontal="center"/>
    </xf>
    <xf numFmtId="0" fontId="0" fillId="0" borderId="61" xfId="0" applyBorder="1" applyAlignment="1">
      <alignment horizontal="center"/>
    </xf>
    <xf numFmtId="0" fontId="0" fillId="0" borderId="1" xfId="0" applyBorder="1" applyAlignment="1">
      <alignment horizontal="center"/>
    </xf>
    <xf numFmtId="0" fontId="0" fillId="0" borderId="62" xfId="0" applyBorder="1" applyAlignment="1">
      <alignment horizontal="center"/>
    </xf>
    <xf numFmtId="0" fontId="0" fillId="0" borderId="108" xfId="0" applyBorder="1" applyAlignment="1">
      <alignment horizontal="center"/>
    </xf>
    <xf numFmtId="0" fontId="0" fillId="0" borderId="85" xfId="0" applyBorder="1" applyAlignment="1">
      <alignment horizontal="center"/>
    </xf>
    <xf numFmtId="0" fontId="0" fillId="0" borderId="101" xfId="0" applyBorder="1" applyAlignment="1">
      <alignment horizontal="center"/>
    </xf>
    <xf numFmtId="2" fontId="10" fillId="0" borderId="84" xfId="0" applyNumberFormat="1" applyFont="1" applyBorder="1" applyAlignment="1">
      <alignment horizontal="center" vertical="center" wrapText="1"/>
    </xf>
    <xf numFmtId="0" fontId="0" fillId="0" borderId="91" xfId="0" applyBorder="1" applyAlignment="1">
      <alignment horizontal="center"/>
    </xf>
    <xf numFmtId="0" fontId="10" fillId="0" borderId="86" xfId="0" applyFont="1" applyBorder="1" applyAlignment="1">
      <alignment horizontal="right"/>
    </xf>
    <xf numFmtId="0" fontId="10" fillId="0" borderId="87" xfId="0" applyFont="1" applyBorder="1" applyAlignment="1">
      <alignment horizontal="right"/>
    </xf>
    <xf numFmtId="0" fontId="10" fillId="22" borderId="83" xfId="0" applyFont="1" applyFill="1" applyBorder="1" applyAlignment="1">
      <alignment horizontal="center" vertical="center"/>
    </xf>
    <xf numFmtId="0" fontId="10" fillId="22" borderId="109" xfId="0" applyFont="1" applyFill="1" applyBorder="1" applyAlignment="1">
      <alignment horizontal="center" vertical="center"/>
    </xf>
    <xf numFmtId="0" fontId="21" fillId="0" borderId="93" xfId="0" applyFont="1" applyBorder="1" applyAlignment="1">
      <alignment horizontal="center" vertical="center"/>
    </xf>
    <xf numFmtId="0" fontId="0" fillId="0" borderId="90" xfId="0" applyBorder="1" applyAlignment="1">
      <alignment horizontal="center" vertical="center"/>
    </xf>
    <xf numFmtId="0" fontId="0" fillId="0" borderId="94" xfId="0" applyBorder="1" applyAlignment="1">
      <alignment horizontal="center"/>
    </xf>
    <xf numFmtId="0" fontId="0" fillId="0" borderId="95" xfId="0" applyBorder="1"/>
    <xf numFmtId="0" fontId="0" fillId="0" borderId="96" xfId="0" applyBorder="1"/>
    <xf numFmtId="0" fontId="0" fillId="0" borderId="61" xfId="0" applyBorder="1"/>
    <xf numFmtId="0" fontId="0" fillId="0" borderId="1" xfId="0" applyBorder="1"/>
    <xf numFmtId="0" fontId="0" fillId="0" borderId="62" xfId="0" applyBorder="1"/>
    <xf numFmtId="0" fontId="0" fillId="0" borderId="97" xfId="0" applyBorder="1"/>
    <xf numFmtId="0" fontId="0" fillId="0" borderId="92" xfId="0" applyBorder="1"/>
    <xf numFmtId="0" fontId="0" fillId="0" borderId="82" xfId="0" applyBorder="1"/>
    <xf numFmtId="0" fontId="21" fillId="0" borderId="86" xfId="0" applyFont="1" applyFill="1" applyBorder="1" applyAlignment="1">
      <alignment horizontal="center"/>
    </xf>
    <xf numFmtId="0" fontId="21" fillId="0" borderId="87" xfId="0" applyFont="1" applyFill="1" applyBorder="1" applyAlignment="1">
      <alignment horizontal="center"/>
    </xf>
    <xf numFmtId="0" fontId="10" fillId="25" borderId="103" xfId="0" applyFont="1" applyFill="1" applyBorder="1" applyAlignment="1">
      <alignment horizontal="center"/>
    </xf>
    <xf numFmtId="0" fontId="10" fillId="25" borderId="104" xfId="0" applyFont="1" applyFill="1" applyBorder="1" applyAlignment="1">
      <alignment horizontal="center"/>
    </xf>
    <xf numFmtId="0" fontId="10" fillId="22" borderId="106" xfId="0" applyFont="1" applyFill="1" applyBorder="1" applyAlignment="1">
      <alignment horizontal="center" vertical="center"/>
    </xf>
    <xf numFmtId="0" fontId="10" fillId="22" borderId="107" xfId="0" applyFont="1" applyFill="1" applyBorder="1" applyAlignment="1">
      <alignment horizontal="center" vertical="center"/>
    </xf>
    <xf numFmtId="0" fontId="21" fillId="0" borderId="52" xfId="0" applyFont="1" applyBorder="1" applyAlignment="1">
      <alignment horizontal="center" wrapText="1"/>
    </xf>
    <xf numFmtId="0" fontId="0" fillId="0" borderId="57" xfId="0" applyBorder="1" applyAlignment="1">
      <alignment horizontal="center" wrapText="1"/>
    </xf>
    <xf numFmtId="0" fontId="0" fillId="0" borderId="83" xfId="0" applyBorder="1" applyAlignment="1">
      <alignment horizontal="center"/>
    </xf>
    <xf numFmtId="0" fontId="0" fillId="0" borderId="109" xfId="0" applyBorder="1" applyAlignment="1">
      <alignment horizontal="center"/>
    </xf>
    <xf numFmtId="0" fontId="31" fillId="0" borderId="56" xfId="0" applyFont="1" applyBorder="1" applyAlignment="1">
      <alignment horizontal="center"/>
    </xf>
    <xf numFmtId="0" fontId="31" fillId="0" borderId="52" xfId="0" applyFont="1" applyBorder="1" applyAlignment="1">
      <alignment horizontal="center"/>
    </xf>
    <xf numFmtId="0" fontId="1" fillId="0" borderId="30" xfId="0" applyFont="1" applyBorder="1" applyAlignment="1">
      <alignment horizontal="left"/>
    </xf>
    <xf numFmtId="0" fontId="11" fillId="0" borderId="30" xfId="0" applyFont="1" applyBorder="1"/>
    <xf numFmtId="0" fontId="11" fillId="0" borderId="31" xfId="0" applyFont="1" applyBorder="1"/>
    <xf numFmtId="0" fontId="1" fillId="0" borderId="33" xfId="0" applyFont="1" applyBorder="1" applyAlignment="1">
      <alignment horizontal="left"/>
    </xf>
    <xf numFmtId="0" fontId="11" fillId="0" borderId="16" xfId="0" applyFont="1" applyBorder="1"/>
    <xf numFmtId="0" fontId="11" fillId="0" borderId="25" xfId="0" applyFont="1" applyBorder="1"/>
    <xf numFmtId="0" fontId="7" fillId="0" borderId="1" xfId="0" applyFont="1" applyAlignment="1">
      <alignment horizontal="center"/>
    </xf>
    <xf numFmtId="0" fontId="7" fillId="0" borderId="20" xfId="0" applyFont="1" applyBorder="1" applyAlignment="1">
      <alignment horizontal="center"/>
    </xf>
    <xf numFmtId="0" fontId="11" fillId="0" borderId="21" xfId="0" applyFont="1" applyBorder="1"/>
    <xf numFmtId="0" fontId="6" fillId="0" borderId="20" xfId="0" applyFont="1" applyBorder="1" applyAlignment="1">
      <alignment horizontal="center"/>
    </xf>
    <xf numFmtId="0" fontId="1" fillId="0" borderId="44" xfId="0" applyFont="1" applyBorder="1" applyAlignment="1">
      <alignment horizontal="left"/>
    </xf>
    <xf numFmtId="0" fontId="1" fillId="0" borderId="44" xfId="0" applyFont="1" applyBorder="1" applyAlignment="1">
      <alignment horizontal="left" vertical="center"/>
    </xf>
    <xf numFmtId="0" fontId="27" fillId="15" borderId="56" xfId="0" applyFont="1" applyFill="1" applyBorder="1" applyAlignment="1">
      <alignment vertical="center"/>
    </xf>
    <xf numFmtId="0" fontId="26" fillId="15" borderId="52" xfId="0" applyFont="1" applyFill="1" applyBorder="1"/>
    <xf numFmtId="0" fontId="26" fillId="15" borderId="57" xfId="0" applyFont="1" applyFill="1" applyBorder="1"/>
    <xf numFmtId="0" fontId="25" fillId="15" borderId="53" xfId="0" applyFont="1" applyFill="1" applyBorder="1" applyAlignment="1">
      <alignment horizontal="center" vertical="center"/>
    </xf>
    <xf numFmtId="0" fontId="26" fillId="15" borderId="54" xfId="0" applyFont="1" applyFill="1" applyBorder="1"/>
    <xf numFmtId="0" fontId="26" fillId="15" borderId="55" xfId="0" applyFont="1" applyFill="1" applyBorder="1"/>
    <xf numFmtId="0" fontId="11" fillId="15" borderId="56" xfId="0" applyFont="1" applyFill="1" applyBorder="1" applyAlignment="1">
      <alignment horizontal="center" vertical="center"/>
    </xf>
    <xf numFmtId="0" fontId="27" fillId="15" borderId="0" xfId="0" applyFont="1" applyFill="1" applyBorder="1" applyAlignment="1">
      <alignment vertical="center"/>
    </xf>
    <xf numFmtId="0" fontId="26" fillId="15" borderId="1" xfId="0" applyFont="1" applyFill="1"/>
    <xf numFmtId="0" fontId="16" fillId="6" borderId="61" xfId="0" applyFont="1" applyFill="1" applyBorder="1" applyAlignment="1">
      <alignment horizontal="left" vertical="center" indent="1"/>
    </xf>
    <xf numFmtId="0" fontId="28" fillId="15" borderId="53" xfId="0" applyFont="1" applyFill="1" applyBorder="1" applyAlignment="1">
      <alignment horizontal="center" vertical="center"/>
    </xf>
    <xf numFmtId="0" fontId="27" fillId="15" borderId="56" xfId="0" applyFont="1" applyFill="1" applyBorder="1" applyAlignment="1">
      <alignment horizontal="center" vertical="center"/>
    </xf>
    <xf numFmtId="0" fontId="29" fillId="15" borderId="56" xfId="0" applyFont="1" applyFill="1" applyBorder="1" applyAlignment="1">
      <alignment horizontal="center" vertical="center"/>
    </xf>
    <xf numFmtId="0" fontId="15" fillId="5" borderId="1" xfId="0" applyFont="1" applyFill="1" applyAlignment="1">
      <alignment horizontal="center" vertical="center"/>
    </xf>
    <xf numFmtId="177" fontId="12" fillId="9" borderId="46" xfId="0" applyNumberFormat="1" applyFont="1" applyFill="1" applyBorder="1" applyAlignment="1">
      <alignment horizontal="center" vertical="center"/>
    </xf>
    <xf numFmtId="0" fontId="12" fillId="9" borderId="46" xfId="0" applyFont="1" applyFill="1" applyBorder="1" applyAlignment="1">
      <alignment horizontal="center" vertical="center"/>
    </xf>
  </cellXfs>
  <cellStyles count="2">
    <cellStyle name="Moneda" xfId="1"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50" b="0">
                <a:solidFill>
                  <a:srgbClr val="333333"/>
                </a:solidFill>
                <a:latin typeface="Arial"/>
              </a:defRPr>
            </a:pPr>
            <a:r>
              <a:rPr lang="es-CO" sz="1050" b="0">
                <a:solidFill>
                  <a:srgbClr val="333333"/>
                </a:solidFill>
                <a:latin typeface="Arial"/>
              </a:rPr>
              <a:t>Distribución de Costos Directos por Componente de Obra</a:t>
            </a:r>
            <a:endParaRPr lang="es-CO"/>
          </a:p>
        </c:rich>
      </c:tx>
      <c:overlay val="0"/>
      <c:spPr>
        <a:noFill/>
        <a:ln>
          <a:noFill/>
        </a:ln>
      </c:spPr>
    </c:title>
    <c:autoTitleDeleted val="0"/>
    <c:plotArea>
      <c:layout/>
      <c:barChart>
        <c:barDir val="bar"/>
        <c:grouping val="clustered"/>
        <c:varyColors val="0"/>
        <c:ser>
          <c:idx val="0"/>
          <c:order val="0"/>
          <c:tx>
            <c:strRef>
              <c:f>Resumen_Licitacion!$C$9</c:f>
              <c:strCache>
                <c:ptCount val="1"/>
                <c:pt idx="0">
                  <c:v>Costo Directo (COP)</c:v>
                </c:pt>
              </c:strCache>
            </c:strRef>
          </c:tx>
          <c:spPr>
            <a:solidFill>
              <a:schemeClr val="accent1"/>
            </a:solidFill>
          </c:spPr>
          <c:invertIfNegative val="0"/>
          <c:dLbls>
            <c:spPr>
              <a:noFill/>
              <a:ln>
                <a:noFill/>
              </a:ln>
            </c:spPr>
            <c:dLblPos val="outEnd"/>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Resumen_Licitacion!$B$10:$B$13</c:f>
              <c:strCache>
                <c:ptCount val="4"/>
                <c:pt idx="0">
                  <c:v>Bocatoma y Obras de Captación</c:v>
                </c:pt>
                <c:pt idx="1">
                  <c:v>Tanque Desarenador y Prefiltro</c:v>
                </c:pt>
                <c:pt idx="2">
                  <c:v>Tanque de Almacenamiento y Cloración</c:v>
                </c:pt>
                <c:pt idx="3">
                  <c:v>Aducción, Conducción y Red de Distribución</c:v>
                </c:pt>
              </c:strCache>
            </c:strRef>
          </c:cat>
          <c:val>
            <c:numRef>
              <c:f>Resumen_Licitacion!$C$10:$C$13</c:f>
              <c:numCache>
                <c:formatCode>\$#,##0.00</c:formatCode>
                <c:ptCount val="4"/>
                <c:pt idx="0">
                  <c:v>14126744.775100958</c:v>
                </c:pt>
                <c:pt idx="1">
                  <c:v>950958.00000892289</c:v>
                </c:pt>
                <c:pt idx="2">
                  <c:v>63635387.563905977</c:v>
                </c:pt>
                <c:pt idx="3">
                  <c:v>227232131.66098416</c:v>
                </c:pt>
              </c:numCache>
            </c:numRef>
          </c:val>
          <c:extLst>
            <c:ext xmlns:c16="http://schemas.microsoft.com/office/drawing/2014/chart" uri="{C3380CC4-5D6E-409C-BE32-E72D297353CC}">
              <c16:uniqueId val="{00000000-18D7-4E22-9B70-9AC8842F8894}"/>
            </c:ext>
          </c:extLst>
        </c:ser>
        <c:dLbls>
          <c:showLegendKey val="0"/>
          <c:showVal val="0"/>
          <c:showCatName val="0"/>
          <c:showSerName val="0"/>
          <c:showPercent val="0"/>
          <c:showBubbleSize val="0"/>
        </c:dLbls>
        <c:gapWidth val="182"/>
        <c:axId val="67238423"/>
        <c:axId val="69973727"/>
      </c:barChart>
      <c:catAx>
        <c:axId val="67238423"/>
        <c:scaling>
          <c:orientation val="minMax"/>
        </c:scaling>
        <c:delete val="0"/>
        <c:axPos val="l"/>
        <c:numFmt formatCode="General" sourceLinked="1"/>
        <c:majorTickMark val="none"/>
        <c:minorTickMark val="none"/>
        <c:tickLblPos val="nextTo"/>
        <c:spPr>
          <a:ln>
            <a:solidFill>
              <a:schemeClr val="tx1">
                <a:lumMod val="15000"/>
                <a:lumOff val="85000"/>
              </a:schemeClr>
            </a:solidFill>
          </a:ln>
        </c:spPr>
        <c:txPr>
          <a:bodyPr/>
          <a:lstStyle/>
          <a:p>
            <a:pPr>
              <a:defRPr sz="900" b="0">
                <a:solidFill>
                  <a:schemeClr val="tx1">
                    <a:lumMod val="65000"/>
                    <a:lumOff val="35000"/>
                  </a:schemeClr>
                </a:solidFill>
                <a:latin typeface="+mn-lt"/>
              </a:defRPr>
            </a:pPr>
            <a:endParaRPr lang="es-CO"/>
          </a:p>
        </c:txPr>
        <c:crossAx val="69973727"/>
        <c:crosses val="autoZero"/>
        <c:auto val="1"/>
        <c:lblAlgn val="ctr"/>
        <c:lblOffset val="0"/>
        <c:tickMarkSkip val="1"/>
        <c:noMultiLvlLbl val="1"/>
      </c:catAx>
      <c:valAx>
        <c:axId val="69973727"/>
        <c:scaling>
          <c:orientation val="minMax"/>
        </c:scaling>
        <c:delete val="0"/>
        <c:axPos val="b"/>
        <c:majorGridlines>
          <c:spPr>
            <a:ln w="9525">
              <a:solidFill>
                <a:srgbClr val="D9D9D9"/>
              </a:solidFill>
            </a:ln>
          </c:spPr>
        </c:majorGridlines>
        <c:numFmt formatCode="\$#,##0.00" sourceLinked="1"/>
        <c:majorTickMark val="none"/>
        <c:minorTickMark val="none"/>
        <c:tickLblPos val="nextTo"/>
        <c:spPr>
          <a:ln>
            <a:solidFill>
              <a:schemeClr val="tx1">
                <a:lumMod val="15000"/>
                <a:lumOff val="85000"/>
              </a:schemeClr>
            </a:solidFill>
          </a:ln>
        </c:spPr>
        <c:txPr>
          <a:bodyPr/>
          <a:lstStyle/>
          <a:p>
            <a:pPr>
              <a:defRPr sz="900" b="0">
                <a:solidFill>
                  <a:schemeClr val="tx1">
                    <a:lumMod val="65000"/>
                    <a:lumOff val="35000"/>
                  </a:schemeClr>
                </a:solidFill>
                <a:latin typeface="+mn-lt"/>
              </a:defRPr>
            </a:pPr>
            <a:endParaRPr lang="es-CO"/>
          </a:p>
        </c:txPr>
        <c:crossAx val="67238423"/>
        <c:crosses val="autoZero"/>
        <c:crossBetween val="between"/>
      </c:valAx>
      <c:spPr>
        <a:noFill/>
        <a:ln>
          <a:noFill/>
        </a:ln>
      </c:spPr>
    </c:plotArea>
    <c:legend>
      <c:legendPos val="r"/>
      <c:overlay val="0"/>
      <c:spPr>
        <a:noFill/>
      </c:spPr>
      <c:txPr>
        <a:bodyPr/>
        <a:lstStyle/>
        <a:p>
          <a:pPr>
            <a:defRPr sz="750" b="0">
              <a:solidFill>
                <a:schemeClr val="tx1">
                  <a:lumMod val="65000"/>
                  <a:lumOff val="35000"/>
                </a:schemeClr>
              </a:solidFill>
              <a:latin typeface="Arial"/>
            </a:defRPr>
          </a:pPr>
          <a:endParaRPr lang="es-CO"/>
        </a:p>
      </c:txPr>
    </c:legend>
    <c:plotVisOnly val="1"/>
    <c:dispBlanksAs val="gap"/>
    <c:showDLblsOverMax val="0"/>
    <c:extLst/>
  </c:chart>
  <c:spPr>
    <a:solidFill>
      <a:schemeClr val="bg1"/>
    </a:solidFill>
    <a:ln w="9525">
      <a:solidFill>
        <a:schemeClr val="tx1">
          <a:lumMod val="15000"/>
          <a:lumOff val="85000"/>
        </a:schemeClr>
      </a:solidFill>
    </a:ln>
  </c:spPr>
  <c:txPr>
    <a:bodyPr/>
    <a:lstStyle/>
    <a:p>
      <a:pPr>
        <a:defRPr b="0">
          <a:solidFill>
            <a:schemeClr val="tx1">
              <a:lumMod val="65000"/>
              <a:lumOff val="35000"/>
            </a:schemeClr>
          </a:solidFill>
          <a:latin typeface="+mn-lt"/>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754379</xdr:colOff>
      <xdr:row>26</xdr:row>
      <xdr:rowOff>31052</xdr:rowOff>
    </xdr:from>
    <xdr:to>
      <xdr:col>4</xdr:col>
      <xdr:colOff>614130</xdr:colOff>
      <xdr:row>36</xdr:row>
      <xdr:rowOff>106680</xdr:rowOff>
    </xdr:to>
    <xdr:pic>
      <xdr:nvPicPr>
        <xdr:cNvPr id="2" name="Imagen 1">
          <a:extLst>
            <a:ext uri="{FF2B5EF4-FFF2-40B4-BE49-F238E27FC236}">
              <a16:creationId xmlns:a16="http://schemas.microsoft.com/office/drawing/2014/main" id="{77925C3B-6282-679F-35EA-BB7D2217F835}"/>
            </a:ext>
          </a:extLst>
        </xdr:cNvPr>
        <xdr:cNvPicPr>
          <a:picLocks noChangeAspect="1"/>
        </xdr:cNvPicPr>
      </xdr:nvPicPr>
      <xdr:blipFill>
        <a:blip xmlns:r="http://schemas.openxmlformats.org/officeDocument/2006/relationships" r:embed="rId1"/>
        <a:stretch>
          <a:fillRect/>
        </a:stretch>
      </xdr:blipFill>
      <xdr:spPr>
        <a:xfrm>
          <a:off x="922019" y="4222052"/>
          <a:ext cx="4553671" cy="1752028"/>
        </a:xfrm>
        <a:prstGeom prst="rect">
          <a:avLst/>
        </a:prstGeom>
      </xdr:spPr>
    </xdr:pic>
    <xdr:clientData/>
  </xdr:twoCellAnchor>
  <xdr:twoCellAnchor editAs="oneCell">
    <xdr:from>
      <xdr:col>1</xdr:col>
      <xdr:colOff>739140</xdr:colOff>
      <xdr:row>59</xdr:row>
      <xdr:rowOff>53340</xdr:rowOff>
    </xdr:from>
    <xdr:to>
      <xdr:col>4</xdr:col>
      <xdr:colOff>598891</xdr:colOff>
      <xdr:row>69</xdr:row>
      <xdr:rowOff>128968</xdr:rowOff>
    </xdr:to>
    <xdr:pic>
      <xdr:nvPicPr>
        <xdr:cNvPr id="3" name="Imagen 2">
          <a:extLst>
            <a:ext uri="{FF2B5EF4-FFF2-40B4-BE49-F238E27FC236}">
              <a16:creationId xmlns:a16="http://schemas.microsoft.com/office/drawing/2014/main" id="{BB7083C5-1254-43FC-9336-5210F4C216D0}"/>
            </a:ext>
          </a:extLst>
        </xdr:cNvPr>
        <xdr:cNvPicPr>
          <a:picLocks noChangeAspect="1"/>
        </xdr:cNvPicPr>
      </xdr:nvPicPr>
      <xdr:blipFill>
        <a:blip xmlns:r="http://schemas.openxmlformats.org/officeDocument/2006/relationships" r:embed="rId1"/>
        <a:stretch>
          <a:fillRect/>
        </a:stretch>
      </xdr:blipFill>
      <xdr:spPr>
        <a:xfrm>
          <a:off x="906780" y="9837420"/>
          <a:ext cx="4553671" cy="1752028"/>
        </a:xfrm>
        <a:prstGeom prst="rect">
          <a:avLst/>
        </a:prstGeom>
      </xdr:spPr>
    </xdr:pic>
    <xdr:clientData/>
  </xdr:twoCellAnchor>
  <xdr:twoCellAnchor editAs="oneCell">
    <xdr:from>
      <xdr:col>1</xdr:col>
      <xdr:colOff>800100</xdr:colOff>
      <xdr:row>90</xdr:row>
      <xdr:rowOff>68580</xdr:rowOff>
    </xdr:from>
    <xdr:to>
      <xdr:col>4</xdr:col>
      <xdr:colOff>659851</xdr:colOff>
      <xdr:row>100</xdr:row>
      <xdr:rowOff>144208</xdr:rowOff>
    </xdr:to>
    <xdr:pic>
      <xdr:nvPicPr>
        <xdr:cNvPr id="4" name="Imagen 3">
          <a:extLst>
            <a:ext uri="{FF2B5EF4-FFF2-40B4-BE49-F238E27FC236}">
              <a16:creationId xmlns:a16="http://schemas.microsoft.com/office/drawing/2014/main" id="{A4E54E5D-3CDB-4371-B7E6-C70DCEB23B83}"/>
            </a:ext>
          </a:extLst>
        </xdr:cNvPr>
        <xdr:cNvPicPr>
          <a:picLocks noChangeAspect="1"/>
        </xdr:cNvPicPr>
      </xdr:nvPicPr>
      <xdr:blipFill>
        <a:blip xmlns:r="http://schemas.openxmlformats.org/officeDocument/2006/relationships" r:embed="rId1"/>
        <a:stretch>
          <a:fillRect/>
        </a:stretch>
      </xdr:blipFill>
      <xdr:spPr>
        <a:xfrm>
          <a:off x="967740" y="15582900"/>
          <a:ext cx="4553671" cy="1752028"/>
        </a:xfrm>
        <a:prstGeom prst="rect">
          <a:avLst/>
        </a:prstGeom>
      </xdr:spPr>
    </xdr:pic>
    <xdr:clientData/>
  </xdr:twoCellAnchor>
  <xdr:twoCellAnchor editAs="oneCell">
    <xdr:from>
      <xdr:col>1</xdr:col>
      <xdr:colOff>83819</xdr:colOff>
      <xdr:row>111</xdr:row>
      <xdr:rowOff>25671</xdr:rowOff>
    </xdr:from>
    <xdr:to>
      <xdr:col>2</xdr:col>
      <xdr:colOff>990600</xdr:colOff>
      <xdr:row>119</xdr:row>
      <xdr:rowOff>80652</xdr:rowOff>
    </xdr:to>
    <xdr:pic>
      <xdr:nvPicPr>
        <xdr:cNvPr id="5" name="Imagen 4">
          <a:extLst>
            <a:ext uri="{FF2B5EF4-FFF2-40B4-BE49-F238E27FC236}">
              <a16:creationId xmlns:a16="http://schemas.microsoft.com/office/drawing/2014/main" id="{989D6BC9-E8A8-0630-D0EC-98DDB0B483D7}"/>
            </a:ext>
          </a:extLst>
        </xdr:cNvPr>
        <xdr:cNvPicPr>
          <a:picLocks noChangeAspect="1"/>
        </xdr:cNvPicPr>
      </xdr:nvPicPr>
      <xdr:blipFill rotWithShape="1">
        <a:blip xmlns:r="http://schemas.openxmlformats.org/officeDocument/2006/relationships" r:embed="rId2"/>
        <a:srcRect l="4604" r="3095" b="50280"/>
        <a:stretch>
          <a:fillRect/>
        </a:stretch>
      </xdr:blipFill>
      <xdr:spPr>
        <a:xfrm>
          <a:off x="251459" y="19563351"/>
          <a:ext cx="3063241" cy="1396101"/>
        </a:xfrm>
        <a:prstGeom prst="rect">
          <a:avLst/>
        </a:prstGeom>
      </xdr:spPr>
    </xdr:pic>
    <xdr:clientData/>
  </xdr:twoCellAnchor>
  <xdr:twoCellAnchor editAs="oneCell">
    <xdr:from>
      <xdr:col>2</xdr:col>
      <xdr:colOff>685800</xdr:colOff>
      <xdr:row>111</xdr:row>
      <xdr:rowOff>70945</xdr:rowOff>
    </xdr:from>
    <xdr:to>
      <xdr:col>5</xdr:col>
      <xdr:colOff>723900</xdr:colOff>
      <xdr:row>120</xdr:row>
      <xdr:rowOff>53903</xdr:rowOff>
    </xdr:to>
    <xdr:pic>
      <xdr:nvPicPr>
        <xdr:cNvPr id="6" name="Imagen 5">
          <a:extLst>
            <a:ext uri="{FF2B5EF4-FFF2-40B4-BE49-F238E27FC236}">
              <a16:creationId xmlns:a16="http://schemas.microsoft.com/office/drawing/2014/main" id="{8E18F1B7-E3D1-4B2F-9CF0-5DEA73952F54}"/>
            </a:ext>
          </a:extLst>
        </xdr:cNvPr>
        <xdr:cNvPicPr>
          <a:picLocks noChangeAspect="1"/>
        </xdr:cNvPicPr>
      </xdr:nvPicPr>
      <xdr:blipFill rotWithShape="1">
        <a:blip xmlns:r="http://schemas.openxmlformats.org/officeDocument/2006/relationships" r:embed="rId2"/>
        <a:srcRect l="462" t="49538" r="2922"/>
        <a:stretch>
          <a:fillRect/>
        </a:stretch>
      </xdr:blipFill>
      <xdr:spPr>
        <a:xfrm>
          <a:off x="3009900" y="19608625"/>
          <a:ext cx="3375660" cy="1491718"/>
        </a:xfrm>
        <a:prstGeom prst="rect">
          <a:avLst/>
        </a:prstGeom>
      </xdr:spPr>
    </xdr:pic>
    <xdr:clientData/>
  </xdr:twoCellAnchor>
  <xdr:twoCellAnchor editAs="oneCell">
    <xdr:from>
      <xdr:col>1</xdr:col>
      <xdr:colOff>1943100</xdr:colOff>
      <xdr:row>126</xdr:row>
      <xdr:rowOff>37547</xdr:rowOff>
    </xdr:from>
    <xdr:to>
      <xdr:col>3</xdr:col>
      <xdr:colOff>350520</xdr:colOff>
      <xdr:row>136</xdr:row>
      <xdr:rowOff>137690</xdr:rowOff>
    </xdr:to>
    <xdr:pic>
      <xdr:nvPicPr>
        <xdr:cNvPr id="7" name="Imagen 6">
          <a:extLst>
            <a:ext uri="{FF2B5EF4-FFF2-40B4-BE49-F238E27FC236}">
              <a16:creationId xmlns:a16="http://schemas.microsoft.com/office/drawing/2014/main" id="{EBC856BA-E389-61B4-C9E4-282C6020F4D0}"/>
            </a:ext>
          </a:extLst>
        </xdr:cNvPr>
        <xdr:cNvPicPr>
          <a:picLocks noChangeAspect="1"/>
        </xdr:cNvPicPr>
      </xdr:nvPicPr>
      <xdr:blipFill>
        <a:blip xmlns:r="http://schemas.openxmlformats.org/officeDocument/2006/relationships" r:embed="rId3"/>
        <a:stretch>
          <a:fillRect/>
        </a:stretch>
      </xdr:blipFill>
      <xdr:spPr>
        <a:xfrm>
          <a:off x="2110740" y="22257467"/>
          <a:ext cx="2019300" cy="1776543"/>
        </a:xfrm>
        <a:prstGeom prst="rect">
          <a:avLst/>
        </a:prstGeom>
      </xdr:spPr>
    </xdr:pic>
    <xdr:clientData/>
  </xdr:twoCellAnchor>
  <xdr:twoCellAnchor editAs="oneCell">
    <xdr:from>
      <xdr:col>1</xdr:col>
      <xdr:colOff>320040</xdr:colOff>
      <xdr:row>146</xdr:row>
      <xdr:rowOff>38100</xdr:rowOff>
    </xdr:from>
    <xdr:to>
      <xdr:col>2</xdr:col>
      <xdr:colOff>182880</xdr:colOff>
      <xdr:row>156</xdr:row>
      <xdr:rowOff>138243</xdr:rowOff>
    </xdr:to>
    <xdr:pic>
      <xdr:nvPicPr>
        <xdr:cNvPr id="8" name="Imagen 7">
          <a:extLst>
            <a:ext uri="{FF2B5EF4-FFF2-40B4-BE49-F238E27FC236}">
              <a16:creationId xmlns:a16="http://schemas.microsoft.com/office/drawing/2014/main" id="{9A64A28D-32D0-4CF5-9589-1368E0E34EE4}"/>
            </a:ext>
          </a:extLst>
        </xdr:cNvPr>
        <xdr:cNvPicPr>
          <a:picLocks noChangeAspect="1"/>
        </xdr:cNvPicPr>
      </xdr:nvPicPr>
      <xdr:blipFill>
        <a:blip xmlns:r="http://schemas.openxmlformats.org/officeDocument/2006/relationships" r:embed="rId3"/>
        <a:stretch>
          <a:fillRect/>
        </a:stretch>
      </xdr:blipFill>
      <xdr:spPr>
        <a:xfrm>
          <a:off x="487680" y="25778460"/>
          <a:ext cx="2019300" cy="1776543"/>
        </a:xfrm>
        <a:prstGeom prst="rect">
          <a:avLst/>
        </a:prstGeom>
      </xdr:spPr>
    </xdr:pic>
    <xdr:clientData/>
  </xdr:twoCellAnchor>
  <xdr:twoCellAnchor editAs="oneCell">
    <xdr:from>
      <xdr:col>2</xdr:col>
      <xdr:colOff>335280</xdr:colOff>
      <xdr:row>147</xdr:row>
      <xdr:rowOff>45720</xdr:rowOff>
    </xdr:from>
    <xdr:to>
      <xdr:col>5</xdr:col>
      <xdr:colOff>528572</xdr:colOff>
      <xdr:row>156</xdr:row>
      <xdr:rowOff>97258</xdr:rowOff>
    </xdr:to>
    <xdr:pic>
      <xdr:nvPicPr>
        <xdr:cNvPr id="9" name="Imagen 8">
          <a:extLst>
            <a:ext uri="{FF2B5EF4-FFF2-40B4-BE49-F238E27FC236}">
              <a16:creationId xmlns:a16="http://schemas.microsoft.com/office/drawing/2014/main" id="{21322BC6-16F2-49F1-BE41-5A47695D6652}"/>
            </a:ext>
          </a:extLst>
        </xdr:cNvPr>
        <xdr:cNvPicPr>
          <a:picLocks noChangeAspect="1"/>
        </xdr:cNvPicPr>
      </xdr:nvPicPr>
      <xdr:blipFill rotWithShape="1">
        <a:blip xmlns:r="http://schemas.openxmlformats.org/officeDocument/2006/relationships" r:embed="rId2"/>
        <a:srcRect l="462" t="49538" r="2922"/>
        <a:stretch>
          <a:fillRect/>
        </a:stretch>
      </xdr:blipFill>
      <xdr:spPr>
        <a:xfrm>
          <a:off x="2659380" y="25953720"/>
          <a:ext cx="3530852" cy="1560298"/>
        </a:xfrm>
        <a:prstGeom prst="rect">
          <a:avLst/>
        </a:prstGeom>
      </xdr:spPr>
    </xdr:pic>
    <xdr:clientData/>
  </xdr:twoCellAnchor>
  <xdr:twoCellAnchor editAs="oneCell">
    <xdr:from>
      <xdr:col>1</xdr:col>
      <xdr:colOff>449580</xdr:colOff>
      <xdr:row>162</xdr:row>
      <xdr:rowOff>38100</xdr:rowOff>
    </xdr:from>
    <xdr:to>
      <xdr:col>2</xdr:col>
      <xdr:colOff>312420</xdr:colOff>
      <xdr:row>172</xdr:row>
      <xdr:rowOff>138243</xdr:rowOff>
    </xdr:to>
    <xdr:pic>
      <xdr:nvPicPr>
        <xdr:cNvPr id="10" name="Imagen 9">
          <a:extLst>
            <a:ext uri="{FF2B5EF4-FFF2-40B4-BE49-F238E27FC236}">
              <a16:creationId xmlns:a16="http://schemas.microsoft.com/office/drawing/2014/main" id="{A9DE430B-0D95-4B8C-9209-B62CC2072875}"/>
            </a:ext>
          </a:extLst>
        </xdr:cNvPr>
        <xdr:cNvPicPr>
          <a:picLocks noChangeAspect="1"/>
        </xdr:cNvPicPr>
      </xdr:nvPicPr>
      <xdr:blipFill>
        <a:blip xmlns:r="http://schemas.openxmlformats.org/officeDocument/2006/relationships" r:embed="rId3"/>
        <a:stretch>
          <a:fillRect/>
        </a:stretch>
      </xdr:blipFill>
      <xdr:spPr>
        <a:xfrm>
          <a:off x="617220" y="28460700"/>
          <a:ext cx="2019300" cy="1776543"/>
        </a:xfrm>
        <a:prstGeom prst="rect">
          <a:avLst/>
        </a:prstGeom>
      </xdr:spPr>
    </xdr:pic>
    <xdr:clientData/>
  </xdr:twoCellAnchor>
  <xdr:twoCellAnchor editAs="oneCell">
    <xdr:from>
      <xdr:col>2</xdr:col>
      <xdr:colOff>464820</xdr:colOff>
      <xdr:row>163</xdr:row>
      <xdr:rowOff>45720</xdr:rowOff>
    </xdr:from>
    <xdr:to>
      <xdr:col>5</xdr:col>
      <xdr:colOff>658112</xdr:colOff>
      <xdr:row>172</xdr:row>
      <xdr:rowOff>97258</xdr:rowOff>
    </xdr:to>
    <xdr:pic>
      <xdr:nvPicPr>
        <xdr:cNvPr id="11" name="Imagen 10">
          <a:extLst>
            <a:ext uri="{FF2B5EF4-FFF2-40B4-BE49-F238E27FC236}">
              <a16:creationId xmlns:a16="http://schemas.microsoft.com/office/drawing/2014/main" id="{1A604D19-5AE0-4279-A54B-41740B3284AE}"/>
            </a:ext>
          </a:extLst>
        </xdr:cNvPr>
        <xdr:cNvPicPr>
          <a:picLocks noChangeAspect="1"/>
        </xdr:cNvPicPr>
      </xdr:nvPicPr>
      <xdr:blipFill rotWithShape="1">
        <a:blip xmlns:r="http://schemas.openxmlformats.org/officeDocument/2006/relationships" r:embed="rId2"/>
        <a:srcRect l="462" t="49538" r="2922"/>
        <a:stretch>
          <a:fillRect/>
        </a:stretch>
      </xdr:blipFill>
      <xdr:spPr>
        <a:xfrm>
          <a:off x="2788920" y="28635960"/>
          <a:ext cx="3530852" cy="1560298"/>
        </a:xfrm>
        <a:prstGeom prst="rect">
          <a:avLst/>
        </a:prstGeom>
      </xdr:spPr>
    </xdr:pic>
    <xdr:clientData/>
  </xdr:twoCellAnchor>
  <xdr:twoCellAnchor editAs="oneCell">
    <xdr:from>
      <xdr:col>1</xdr:col>
      <xdr:colOff>1821181</xdr:colOff>
      <xdr:row>181</xdr:row>
      <xdr:rowOff>38854</xdr:rowOff>
    </xdr:from>
    <xdr:to>
      <xdr:col>3</xdr:col>
      <xdr:colOff>482403</xdr:colOff>
      <xdr:row>191</xdr:row>
      <xdr:rowOff>101399</xdr:rowOff>
    </xdr:to>
    <xdr:pic>
      <xdr:nvPicPr>
        <xdr:cNvPr id="12" name="Imagen 11">
          <a:extLst>
            <a:ext uri="{FF2B5EF4-FFF2-40B4-BE49-F238E27FC236}">
              <a16:creationId xmlns:a16="http://schemas.microsoft.com/office/drawing/2014/main" id="{98845682-4893-423D-BF47-BB1BE74C8A84}"/>
            </a:ext>
          </a:extLst>
        </xdr:cNvPr>
        <xdr:cNvPicPr>
          <a:picLocks noChangeAspect="1"/>
        </xdr:cNvPicPr>
      </xdr:nvPicPr>
      <xdr:blipFill>
        <a:blip xmlns:r="http://schemas.openxmlformats.org/officeDocument/2006/relationships" r:embed="rId4"/>
        <a:stretch>
          <a:fillRect/>
        </a:stretch>
      </xdr:blipFill>
      <xdr:spPr>
        <a:xfrm rot="16200000">
          <a:off x="2255899" y="31387156"/>
          <a:ext cx="1738945" cy="2273102"/>
        </a:xfrm>
        <a:prstGeom prst="rect">
          <a:avLst/>
        </a:prstGeom>
      </xdr:spPr>
    </xdr:pic>
    <xdr:clientData/>
  </xdr:twoCellAnchor>
  <xdr:twoCellAnchor editAs="oneCell">
    <xdr:from>
      <xdr:col>1</xdr:col>
      <xdr:colOff>1981201</xdr:colOff>
      <xdr:row>200</xdr:row>
      <xdr:rowOff>79513</xdr:rowOff>
    </xdr:from>
    <xdr:to>
      <xdr:col>3</xdr:col>
      <xdr:colOff>642423</xdr:colOff>
      <xdr:row>210</xdr:row>
      <xdr:rowOff>142058</xdr:rowOff>
    </xdr:to>
    <xdr:pic>
      <xdr:nvPicPr>
        <xdr:cNvPr id="13" name="Imagen 12">
          <a:extLst>
            <a:ext uri="{FF2B5EF4-FFF2-40B4-BE49-F238E27FC236}">
              <a16:creationId xmlns:a16="http://schemas.microsoft.com/office/drawing/2014/main" id="{0057CA7A-DCA0-4582-A363-B731F654CDDE}"/>
            </a:ext>
          </a:extLst>
        </xdr:cNvPr>
        <xdr:cNvPicPr>
          <a:picLocks noChangeAspect="1"/>
        </xdr:cNvPicPr>
      </xdr:nvPicPr>
      <xdr:blipFill>
        <a:blip xmlns:r="http://schemas.openxmlformats.org/officeDocument/2006/relationships" r:embed="rId4"/>
        <a:stretch>
          <a:fillRect/>
        </a:stretch>
      </xdr:blipFill>
      <xdr:spPr>
        <a:xfrm rot="16200000">
          <a:off x="2423539" y="34536775"/>
          <a:ext cx="1719067" cy="2272440"/>
        </a:xfrm>
        <a:prstGeom prst="rect">
          <a:avLst/>
        </a:prstGeom>
      </xdr:spPr>
    </xdr:pic>
    <xdr:clientData/>
  </xdr:twoCellAnchor>
  <xdr:twoCellAnchor editAs="oneCell">
    <xdr:from>
      <xdr:col>1</xdr:col>
      <xdr:colOff>1948074</xdr:colOff>
      <xdr:row>222</xdr:row>
      <xdr:rowOff>23903</xdr:rowOff>
    </xdr:from>
    <xdr:to>
      <xdr:col>3</xdr:col>
      <xdr:colOff>463828</xdr:colOff>
      <xdr:row>231</xdr:row>
      <xdr:rowOff>142057</xdr:rowOff>
    </xdr:to>
    <xdr:pic>
      <xdr:nvPicPr>
        <xdr:cNvPr id="14" name="Imagen 13">
          <a:extLst>
            <a:ext uri="{FF2B5EF4-FFF2-40B4-BE49-F238E27FC236}">
              <a16:creationId xmlns:a16="http://schemas.microsoft.com/office/drawing/2014/main" id="{BBF850A9-96A0-4DFE-A94F-A80A51993E30}"/>
            </a:ext>
          </a:extLst>
        </xdr:cNvPr>
        <xdr:cNvPicPr>
          <a:picLocks noChangeAspect="1"/>
        </xdr:cNvPicPr>
      </xdr:nvPicPr>
      <xdr:blipFill>
        <a:blip xmlns:r="http://schemas.openxmlformats.org/officeDocument/2006/relationships" r:embed="rId4"/>
        <a:stretch>
          <a:fillRect/>
        </a:stretch>
      </xdr:blipFill>
      <xdr:spPr>
        <a:xfrm rot="16200000">
          <a:off x="2372700" y="38375138"/>
          <a:ext cx="1609023" cy="21269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24</xdr:row>
      <xdr:rowOff>76200</xdr:rowOff>
    </xdr:from>
    <xdr:to>
      <xdr:col>2</xdr:col>
      <xdr:colOff>666750</xdr:colOff>
      <xdr:row>38</xdr:row>
      <xdr:rowOff>152400</xdr:rowOff>
    </xdr:to>
    <xdr:graphicFrame macro="">
      <xdr:nvGraphicFramePr>
        <xdr:cNvPr id="2" name="Chart_Costos_Componentes">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Sheets">
  <a:themeElements>
    <a:clrScheme name="Sheets">
      <a:dk1>
        <a:sysClr val="windowText" lastClr="000000"/>
      </a:dk1>
      <a:lt1>
        <a:sysClr val="window" lastClr="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
      </a:majorFont>
      <a:minorFont>
        <a:latin typeface="Arial"/>
        <a:ea typeface="Arial"/>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44198-79B8-0EA8-C779-9620CAA48EB8}">
  <dimension ref="A1:Z1021"/>
  <sheetViews>
    <sheetView view="pageBreakPreview" zoomScale="85" zoomScaleNormal="85" zoomScaleSheetLayoutView="85" workbookViewId="0">
      <selection activeCell="E11" sqref="E11"/>
    </sheetView>
  </sheetViews>
  <sheetFormatPr baseColWidth="10" defaultColWidth="12.6640625" defaultRowHeight="15" customHeight="1"/>
  <cols>
    <col min="1" max="1" width="6.33203125" customWidth="1"/>
    <col min="2" max="2" width="48.6640625" customWidth="1"/>
    <col min="3" max="3" width="7.109375" customWidth="1"/>
    <col min="4" max="4" width="28.33203125" customWidth="1"/>
    <col min="5" max="5" width="15.33203125" customWidth="1"/>
    <col min="6" max="6" width="18.44140625" customWidth="1"/>
    <col min="7" max="7" width="1" customWidth="1"/>
    <col min="8" max="8" width="10" customWidth="1"/>
    <col min="9" max="9" width="15.44140625" hidden="1" customWidth="1"/>
    <col min="10" max="10" width="15.6640625" hidden="1" customWidth="1"/>
    <col min="11" max="11" width="18.44140625" hidden="1" customWidth="1"/>
    <col min="12" max="12" width="10" hidden="1" customWidth="1"/>
    <col min="13" max="13" width="35.33203125" hidden="1" customWidth="1"/>
    <col min="14" max="21" width="10" hidden="1" customWidth="1"/>
    <col min="22" max="22" width="14.33203125" hidden="1" customWidth="1"/>
    <col min="23" max="23" width="13" hidden="1" customWidth="1"/>
    <col min="24" max="24" width="10" hidden="1" customWidth="1"/>
    <col min="25" max="25" width="11.44140625" hidden="1" customWidth="1"/>
    <col min="26" max="26" width="11.6640625" hidden="1" customWidth="1"/>
    <col min="27" max="30" width="0" hidden="1" customWidth="1"/>
  </cols>
  <sheetData>
    <row r="1" spans="1:15" ht="12.75" customHeight="1">
      <c r="A1" s="458" t="s">
        <v>0</v>
      </c>
      <c r="B1" s="459"/>
      <c r="C1" s="459"/>
      <c r="D1" s="459"/>
      <c r="E1" s="459"/>
      <c r="F1" s="459"/>
      <c r="G1" s="1"/>
    </row>
    <row r="2" spans="1:15" ht="13.5" customHeight="1">
      <c r="A2" s="460" t="s">
        <v>1</v>
      </c>
      <c r="B2" s="457"/>
      <c r="C2" s="457"/>
      <c r="D2" s="457"/>
      <c r="E2" s="457"/>
      <c r="F2" s="457"/>
      <c r="G2" s="1"/>
      <c r="M2">
        <f>0.5*0.5*0.5*2</f>
        <v>0.25</v>
      </c>
    </row>
    <row r="3" spans="1:15" ht="13.5" customHeight="1">
      <c r="A3" s="3" t="s">
        <v>2</v>
      </c>
      <c r="B3" s="4" t="s">
        <v>3</v>
      </c>
      <c r="C3" s="5" t="s">
        <v>4</v>
      </c>
      <c r="D3" s="5" t="s">
        <v>5</v>
      </c>
      <c r="E3" s="5" t="s">
        <v>6</v>
      </c>
      <c r="F3" s="6" t="s">
        <v>7</v>
      </c>
      <c r="G3" s="1"/>
    </row>
    <row r="4" spans="1:15" ht="12.75" customHeight="1">
      <c r="A4" s="7" t="s">
        <v>8</v>
      </c>
      <c r="B4" s="8" t="s">
        <v>9</v>
      </c>
      <c r="C4" s="9"/>
      <c r="D4" s="9"/>
      <c r="E4" s="9"/>
      <c r="F4" s="10"/>
      <c r="G4" s="1"/>
    </row>
    <row r="5" spans="1:15" ht="13.5" customHeight="1">
      <c r="A5" s="11">
        <v>1</v>
      </c>
      <c r="B5" s="12" t="s">
        <v>10</v>
      </c>
      <c r="C5" s="13" t="s">
        <v>11</v>
      </c>
      <c r="D5" s="17">
        <f>+'Cantidades de obra '!E7</f>
        <v>5.7878999999999996</v>
      </c>
      <c r="E5" s="14">
        <f>+Bocatoma!G44</f>
        <v>6124.9999999999991</v>
      </c>
      <c r="F5" s="15">
        <f t="shared" ref="F5:F149" si="0">D5*E5</f>
        <v>35450.88749999999</v>
      </c>
      <c r="G5" s="1"/>
      <c r="I5">
        <f>2.36+1.65+4.4</f>
        <v>8.41</v>
      </c>
    </row>
    <row r="6" spans="1:15" ht="12.75" customHeight="1">
      <c r="A6" s="11">
        <v>2</v>
      </c>
      <c r="B6" s="12" t="s">
        <v>12</v>
      </c>
      <c r="C6" s="16" t="s">
        <v>13</v>
      </c>
      <c r="D6" s="17">
        <v>1</v>
      </c>
      <c r="E6" s="14">
        <f>+Bocatoma!G88</f>
        <v>818124.99999999988</v>
      </c>
      <c r="F6" s="15">
        <f t="shared" si="0"/>
        <v>818124.99999999988</v>
      </c>
      <c r="G6" s="1"/>
      <c r="I6">
        <f>+I5/3</f>
        <v>2.8033333333333332</v>
      </c>
      <c r="J6">
        <f>+I6*1.8*0.1</f>
        <v>0.50460000000000005</v>
      </c>
      <c r="M6">
        <f>+(1.65+2.36+4.4+1.88*2)/5</f>
        <v>2.4340000000000002</v>
      </c>
    </row>
    <row r="7" spans="1:15" ht="12.75" customHeight="1">
      <c r="A7" s="11">
        <v>3</v>
      </c>
      <c r="B7" s="18" t="s">
        <v>14</v>
      </c>
      <c r="C7" s="13"/>
      <c r="D7" s="271"/>
      <c r="E7" s="14"/>
      <c r="F7" s="15"/>
      <c r="G7" s="1"/>
      <c r="M7">
        <f>+M6*0.05</f>
        <v>0.12170000000000002</v>
      </c>
      <c r="N7">
        <f>1*1*1*2+0.5*0.5*0.5*2</f>
        <v>2.25</v>
      </c>
      <c r="O7">
        <f>0.4*0.4*0.4+2.9*0.4*0.4</f>
        <v>0.52800000000000002</v>
      </c>
    </row>
    <row r="8" spans="1:15" ht="13.5" customHeight="1">
      <c r="A8" s="11" t="s">
        <v>15</v>
      </c>
      <c r="B8" s="12" t="s">
        <v>16</v>
      </c>
      <c r="C8" s="13" t="s">
        <v>17</v>
      </c>
      <c r="D8" s="17">
        <f>+'Cantidades de obra '!E5</f>
        <v>0.28939500000000001</v>
      </c>
      <c r="E8" s="14">
        <f>+Bocatoma!G132</f>
        <v>122500.00078984434</v>
      </c>
      <c r="F8" s="15">
        <f t="shared" si="0"/>
        <v>35450.887728577007</v>
      </c>
      <c r="G8" s="1"/>
      <c r="M8" s="193">
        <f>+M7+N7+O7+M2</f>
        <v>3.1497000000000002</v>
      </c>
    </row>
    <row r="9" spans="1:15" ht="13.5" customHeight="1">
      <c r="A9" s="11" t="s">
        <v>18</v>
      </c>
      <c r="B9" s="12" t="s">
        <v>19</v>
      </c>
      <c r="C9" s="13" t="s">
        <v>17</v>
      </c>
      <c r="D9" s="17">
        <f>+'Cantidades de obra '!F26</f>
        <v>2.25</v>
      </c>
      <c r="E9" s="14">
        <f>+Bocatoma!G176</f>
        <v>339583.55550007359</v>
      </c>
      <c r="F9" s="15">
        <f t="shared" si="0"/>
        <v>764062.99987516552</v>
      </c>
      <c r="G9" s="1"/>
    </row>
    <row r="10" spans="1:15" ht="26.25" hidden="1" customHeight="1">
      <c r="A10" s="11">
        <v>4</v>
      </c>
      <c r="B10" s="18" t="s">
        <v>20</v>
      </c>
      <c r="C10" s="13" t="s">
        <v>17</v>
      </c>
      <c r="D10" s="17">
        <f>+(0.92+1.2+1.36)/3*1.8*0</f>
        <v>0</v>
      </c>
      <c r="E10" s="14">
        <f>Bocatoma!G216</f>
        <v>1567876.923076923</v>
      </c>
      <c r="F10" s="15">
        <f t="shared" si="0"/>
        <v>0</v>
      </c>
      <c r="G10" s="1"/>
    </row>
    <row r="11" spans="1:15" ht="27" customHeight="1">
      <c r="A11" s="11">
        <v>5</v>
      </c>
      <c r="B11" s="18" t="s">
        <v>21</v>
      </c>
      <c r="C11" s="13" t="s">
        <v>17</v>
      </c>
      <c r="D11" s="17">
        <f>+'Cantidades de obra '!F59</f>
        <v>3.0673949999999999</v>
      </c>
      <c r="E11" s="14">
        <f>+Bocatoma!G264</f>
        <v>1782312.3530547624</v>
      </c>
      <c r="F11" s="15">
        <f>D11*E11</f>
        <v>5467056.0001984127</v>
      </c>
      <c r="G11" s="1"/>
    </row>
    <row r="12" spans="1:15" ht="16.5" customHeight="1">
      <c r="A12" s="11">
        <v>6</v>
      </c>
      <c r="B12" s="12" t="s">
        <v>22</v>
      </c>
      <c r="C12" s="13"/>
      <c r="D12" s="17"/>
      <c r="E12" s="14"/>
      <c r="F12" s="15"/>
      <c r="G12" s="1"/>
      <c r="I12">
        <f>4.85*4</f>
        <v>19.399999999999999</v>
      </c>
    </row>
    <row r="13" spans="1:15" ht="16.5" customHeight="1">
      <c r="A13" s="11" t="s">
        <v>23</v>
      </c>
      <c r="B13" s="12" t="s">
        <v>857</v>
      </c>
      <c r="C13" s="13" t="s">
        <v>24</v>
      </c>
      <c r="D13" s="17">
        <f>+'Cantidades de obra '!F90</f>
        <v>88.890625000000014</v>
      </c>
      <c r="E13" s="14">
        <f>+Bocatoma!G308</f>
        <v>9989.557391457196</v>
      </c>
      <c r="F13" s="15">
        <f t="shared" si="0"/>
        <v>887978</v>
      </c>
      <c r="G13" s="1"/>
      <c r="I13">
        <f>4.375*4</f>
        <v>17.5</v>
      </c>
    </row>
    <row r="14" spans="1:15" ht="16.5" hidden="1" customHeight="1">
      <c r="A14" s="11" t="s">
        <v>25</v>
      </c>
      <c r="B14" s="12" t="s">
        <v>26</v>
      </c>
      <c r="C14" s="13" t="s">
        <v>24</v>
      </c>
      <c r="D14" s="17">
        <f>160*0</f>
        <v>0</v>
      </c>
      <c r="E14" s="14">
        <f>Bocatoma!G348</f>
        <v>11691.877097692308</v>
      </c>
      <c r="F14" s="15">
        <f t="shared" si="0"/>
        <v>0</v>
      </c>
      <c r="G14" s="1"/>
    </row>
    <row r="15" spans="1:15" ht="26.25" customHeight="1">
      <c r="A15" s="11">
        <v>7</v>
      </c>
      <c r="B15" s="18" t="s">
        <v>27</v>
      </c>
      <c r="C15" s="13" t="s">
        <v>28</v>
      </c>
      <c r="D15" s="17">
        <v>1</v>
      </c>
      <c r="E15" s="14">
        <f>+Bocatoma!G396</f>
        <v>1148344.999798805</v>
      </c>
      <c r="F15" s="15">
        <f t="shared" si="0"/>
        <v>1148344.999798805</v>
      </c>
      <c r="G15" s="1"/>
    </row>
    <row r="16" spans="1:15" ht="12.75" customHeight="1">
      <c r="A16" s="11">
        <v>8</v>
      </c>
      <c r="B16" s="12" t="s">
        <v>29</v>
      </c>
      <c r="C16" s="13" t="s">
        <v>28</v>
      </c>
      <c r="D16" s="17">
        <v>1</v>
      </c>
      <c r="E16" s="14">
        <f>+Bocatoma!G440</f>
        <v>368125</v>
      </c>
      <c r="F16" s="15">
        <f t="shared" si="0"/>
        <v>368125</v>
      </c>
      <c r="G16" s="1"/>
    </row>
    <row r="17" spans="1:26" ht="26.25" customHeight="1">
      <c r="A17" s="11">
        <v>9</v>
      </c>
      <c r="B17" s="18" t="s">
        <v>30</v>
      </c>
      <c r="C17" s="13" t="s">
        <v>28</v>
      </c>
      <c r="D17" s="17">
        <v>1</v>
      </c>
      <c r="E17" s="14">
        <f>+Bocatoma!G484</f>
        <v>425238</v>
      </c>
      <c r="F17" s="15">
        <f t="shared" si="0"/>
        <v>425238</v>
      </c>
      <c r="G17" s="1"/>
    </row>
    <row r="18" spans="1:26" ht="26.25" customHeight="1">
      <c r="A18" s="11">
        <v>10</v>
      </c>
      <c r="B18" s="18" t="s">
        <v>846</v>
      </c>
      <c r="C18" s="13" t="s">
        <v>28</v>
      </c>
      <c r="D18" s="17">
        <v>1</v>
      </c>
      <c r="E18" s="14">
        <f>+Bocatoma!G528</f>
        <v>598938</v>
      </c>
      <c r="F18" s="15">
        <f t="shared" si="0"/>
        <v>598938</v>
      </c>
      <c r="G18" s="1"/>
    </row>
    <row r="19" spans="1:26" ht="26.25" customHeight="1">
      <c r="A19" s="11">
        <v>11</v>
      </c>
      <c r="B19" s="18" t="s">
        <v>31</v>
      </c>
      <c r="C19" s="13" t="s">
        <v>28</v>
      </c>
      <c r="D19" s="17">
        <v>1</v>
      </c>
      <c r="E19" s="14">
        <f>+Bocatoma!G572</f>
        <v>2271438</v>
      </c>
      <c r="F19" s="15">
        <f t="shared" si="0"/>
        <v>2271438</v>
      </c>
      <c r="G19" s="1"/>
    </row>
    <row r="20" spans="1:26" ht="12.75" customHeight="1">
      <c r="A20" s="11">
        <v>12</v>
      </c>
      <c r="B20" s="12" t="s">
        <v>32</v>
      </c>
      <c r="C20" s="13" t="s">
        <v>28</v>
      </c>
      <c r="D20" s="17">
        <v>2</v>
      </c>
      <c r="E20" s="14">
        <f>+Bocatoma!G616</f>
        <v>89088.000000000015</v>
      </c>
      <c r="F20" s="15">
        <f t="shared" si="0"/>
        <v>178176.00000000003</v>
      </c>
      <c r="G20" s="19"/>
    </row>
    <row r="21" spans="1:26" ht="26.25" customHeight="1">
      <c r="A21" s="11">
        <v>13</v>
      </c>
      <c r="B21" s="18" t="s">
        <v>33</v>
      </c>
      <c r="C21" s="13" t="s">
        <v>28</v>
      </c>
      <c r="D21" s="17">
        <v>1</v>
      </c>
      <c r="E21" s="14">
        <f>+Bocatoma!G660</f>
        <v>227664</v>
      </c>
      <c r="F21" s="15">
        <f t="shared" si="0"/>
        <v>227664</v>
      </c>
      <c r="G21" s="19"/>
    </row>
    <row r="22" spans="1:26" ht="12.75" customHeight="1">
      <c r="A22" s="11">
        <v>14</v>
      </c>
      <c r="B22" s="12" t="s">
        <v>34</v>
      </c>
      <c r="C22" s="13" t="s">
        <v>35</v>
      </c>
      <c r="D22" s="17">
        <v>1</v>
      </c>
      <c r="E22" s="14">
        <f>+Bocatoma!G704</f>
        <v>88938</v>
      </c>
      <c r="F22" s="15">
        <f t="shared" si="0"/>
        <v>88938</v>
      </c>
      <c r="G22" s="1"/>
      <c r="J22" s="20">
        <f>+F25+F112</f>
        <v>77762132.339006931</v>
      </c>
    </row>
    <row r="23" spans="1:26" ht="13.5" customHeight="1">
      <c r="A23" s="11">
        <v>15</v>
      </c>
      <c r="B23" s="12" t="s">
        <v>36</v>
      </c>
      <c r="C23" s="13" t="s">
        <v>17</v>
      </c>
      <c r="D23" s="17">
        <v>0</v>
      </c>
      <c r="E23" s="14">
        <f>+Bocatoma!G748</f>
        <v>73500.000473910899</v>
      </c>
      <c r="F23" s="15">
        <f>D23*E23</f>
        <v>0</v>
      </c>
      <c r="G23" s="1"/>
    </row>
    <row r="24" spans="1:26" ht="13.5" customHeight="1">
      <c r="A24" s="272">
        <v>16</v>
      </c>
      <c r="B24" s="273" t="s">
        <v>861</v>
      </c>
      <c r="C24" s="262" t="s">
        <v>647</v>
      </c>
      <c r="D24" s="263">
        <f>16+17+2.5+4+1.25+0.35+0.4+0.45</f>
        <v>41.95</v>
      </c>
      <c r="E24" s="14">
        <f>+Bocatoma!G792</f>
        <v>19350.631704409985</v>
      </c>
      <c r="F24" s="56">
        <f>+D24*E24</f>
        <v>811758.99999999895</v>
      </c>
      <c r="G24" s="1"/>
    </row>
    <row r="25" spans="1:26" ht="25.5" customHeight="1" thickBot="1">
      <c r="A25" s="461" t="s">
        <v>37</v>
      </c>
      <c r="B25" s="454"/>
      <c r="C25" s="454"/>
      <c r="D25" s="454"/>
      <c r="E25" s="455"/>
      <c r="F25" s="274">
        <f>SUM(F5:F24)</f>
        <v>14126744.775100958</v>
      </c>
      <c r="G25" s="21"/>
      <c r="H25" s="22"/>
      <c r="I25" s="22"/>
      <c r="J25" s="22"/>
      <c r="K25" s="22"/>
      <c r="L25" s="22"/>
      <c r="M25" s="22"/>
      <c r="N25" s="22"/>
      <c r="O25" s="22"/>
      <c r="P25" s="22"/>
      <c r="Q25" s="22"/>
      <c r="R25" s="22"/>
      <c r="S25" s="22"/>
      <c r="T25" s="22"/>
      <c r="U25" s="22"/>
      <c r="V25" s="22"/>
      <c r="W25" s="22"/>
      <c r="X25" s="22"/>
      <c r="Y25" s="22"/>
      <c r="Z25" s="22"/>
    </row>
    <row r="26" spans="1:26" ht="13.5" customHeight="1">
      <c r="A26" s="3" t="s">
        <v>2</v>
      </c>
      <c r="B26" s="4" t="s">
        <v>3</v>
      </c>
      <c r="C26" s="5" t="s">
        <v>4</v>
      </c>
      <c r="D26" s="5" t="s">
        <v>5</v>
      </c>
      <c r="E26" s="5" t="s">
        <v>6</v>
      </c>
      <c r="F26" s="6" t="s">
        <v>7</v>
      </c>
    </row>
    <row r="27" spans="1:26" ht="12.75" customHeight="1">
      <c r="A27" s="7" t="s">
        <v>38</v>
      </c>
      <c r="B27" s="8" t="s">
        <v>39</v>
      </c>
      <c r="C27" s="9"/>
      <c r="D27" s="9"/>
      <c r="E27" s="9"/>
      <c r="F27" s="10"/>
    </row>
    <row r="28" spans="1:26" ht="12.75" hidden="1" customHeight="1">
      <c r="A28" s="11">
        <v>1</v>
      </c>
      <c r="B28" s="12" t="s">
        <v>40</v>
      </c>
      <c r="C28" s="13"/>
      <c r="D28" s="17"/>
      <c r="E28" s="13"/>
      <c r="F28" s="23"/>
    </row>
    <row r="29" spans="1:26" ht="13.5" hidden="1" customHeight="1">
      <c r="A29" s="11" t="s">
        <v>41</v>
      </c>
      <c r="B29" s="12" t="s">
        <v>42</v>
      </c>
      <c r="C29" s="13" t="s">
        <v>17</v>
      </c>
      <c r="D29" s="17">
        <v>4</v>
      </c>
      <c r="E29" s="14">
        <f>'Tanque Desarenador'!G40</f>
        <v>122500</v>
      </c>
      <c r="F29" s="15">
        <f t="shared" si="0"/>
        <v>490000</v>
      </c>
    </row>
    <row r="30" spans="1:26" ht="13.5" hidden="1" customHeight="1">
      <c r="A30" s="11" t="s">
        <v>43</v>
      </c>
      <c r="B30" s="12" t="s">
        <v>44</v>
      </c>
      <c r="C30" s="13" t="s">
        <v>17</v>
      </c>
      <c r="D30" s="17">
        <v>0.5</v>
      </c>
      <c r="E30" s="14">
        <f>+'Tanque Desarenador'!G85</f>
        <v>760169.49152542371</v>
      </c>
      <c r="F30" s="15">
        <f t="shared" si="0"/>
        <v>380084.74576271186</v>
      </c>
    </row>
    <row r="31" spans="1:26" ht="13.5" hidden="1" customHeight="1">
      <c r="A31" s="11">
        <v>2</v>
      </c>
      <c r="B31" s="12" t="s">
        <v>45</v>
      </c>
      <c r="C31" s="13" t="s">
        <v>11</v>
      </c>
      <c r="D31" s="17">
        <v>2</v>
      </c>
      <c r="E31" s="14">
        <f>'Tanque Desarenador'!G131</f>
        <v>154675</v>
      </c>
      <c r="F31" s="15">
        <f t="shared" si="0"/>
        <v>309350</v>
      </c>
    </row>
    <row r="32" spans="1:26" ht="26.25" customHeight="1">
      <c r="A32" s="11">
        <v>3</v>
      </c>
      <c r="B32" s="224" t="s">
        <v>852</v>
      </c>
      <c r="C32" s="13" t="s">
        <v>28</v>
      </c>
      <c r="D32" s="17">
        <v>1</v>
      </c>
      <c r="E32" s="14">
        <f>+'Tanque Desarenador'!G179</f>
        <v>950958.00000892289</v>
      </c>
      <c r="F32" s="15">
        <f t="shared" si="0"/>
        <v>950958.00000892289</v>
      </c>
    </row>
    <row r="33" spans="1:6" ht="26.25" hidden="1" customHeight="1">
      <c r="A33" s="11">
        <v>4</v>
      </c>
      <c r="B33" s="24" t="s">
        <v>46</v>
      </c>
      <c r="C33" s="13" t="s">
        <v>17</v>
      </c>
      <c r="D33" s="17">
        <v>1</v>
      </c>
      <c r="E33" s="14">
        <f>+'Tanque Desarenador'!G218</f>
        <v>6434750</v>
      </c>
      <c r="F33" s="15">
        <f t="shared" si="0"/>
        <v>6434750</v>
      </c>
    </row>
    <row r="34" spans="1:6" ht="26.25" hidden="1" customHeight="1">
      <c r="A34" s="11">
        <v>5</v>
      </c>
      <c r="B34" s="18" t="s">
        <v>47</v>
      </c>
      <c r="C34" s="13" t="s">
        <v>28</v>
      </c>
      <c r="D34" s="17">
        <v>1</v>
      </c>
      <c r="E34" s="14">
        <f>+'Tanque Desarenador'!G263</f>
        <v>854825</v>
      </c>
      <c r="F34" s="15">
        <f t="shared" si="0"/>
        <v>854825</v>
      </c>
    </row>
    <row r="35" spans="1:6" ht="13.5" hidden="1" customHeight="1">
      <c r="A35" s="25">
        <v>6</v>
      </c>
      <c r="B35" s="26" t="s">
        <v>48</v>
      </c>
      <c r="C35" s="27" t="s">
        <v>28</v>
      </c>
      <c r="D35" s="28">
        <v>4</v>
      </c>
      <c r="E35" s="29">
        <f>+'Tanque Desarenador'!G307</f>
        <v>296740.84999999998</v>
      </c>
      <c r="F35" s="30">
        <f t="shared" si="0"/>
        <v>1186963.3999999999</v>
      </c>
    </row>
    <row r="36" spans="1:6" ht="12.75" hidden="1" customHeight="1">
      <c r="A36" s="31">
        <v>7</v>
      </c>
      <c r="B36" s="32" t="s">
        <v>49</v>
      </c>
      <c r="C36" s="33" t="s">
        <v>28</v>
      </c>
      <c r="D36" s="34">
        <v>3</v>
      </c>
      <c r="E36" s="35">
        <f>+'Tanque Desarenador'!G350</f>
        <v>420435</v>
      </c>
      <c r="F36" s="36">
        <f t="shared" si="0"/>
        <v>1261305</v>
      </c>
    </row>
    <row r="37" spans="1:6" ht="12.75" hidden="1" customHeight="1">
      <c r="A37" s="11">
        <v>8</v>
      </c>
      <c r="B37" s="12" t="s">
        <v>50</v>
      </c>
      <c r="C37" s="13"/>
      <c r="D37" s="17"/>
      <c r="E37" s="14"/>
      <c r="F37" s="15"/>
    </row>
    <row r="38" spans="1:6" ht="12.75" hidden="1" customHeight="1">
      <c r="A38" s="11" t="s">
        <v>51</v>
      </c>
      <c r="B38" s="37" t="s">
        <v>52</v>
      </c>
      <c r="C38" s="13" t="s">
        <v>35</v>
      </c>
      <c r="D38" s="17">
        <v>6</v>
      </c>
      <c r="E38" s="14">
        <f>+'Tanque Desarenador'!G396</f>
        <v>44361.9</v>
      </c>
      <c r="F38" s="15">
        <f t="shared" si="0"/>
        <v>266171.40000000002</v>
      </c>
    </row>
    <row r="39" spans="1:6" ht="12.75" hidden="1" customHeight="1">
      <c r="A39" s="11" t="s">
        <v>53</v>
      </c>
      <c r="B39" s="12" t="s">
        <v>54</v>
      </c>
      <c r="C39" s="13" t="s">
        <v>35</v>
      </c>
      <c r="D39" s="17">
        <v>2.5</v>
      </c>
      <c r="E39" s="14">
        <f>'Tanque Desarenador'!G442</f>
        <v>60977.55</v>
      </c>
      <c r="F39" s="15">
        <f t="shared" si="0"/>
        <v>152443.875</v>
      </c>
    </row>
    <row r="40" spans="1:6" ht="12.75" hidden="1" customHeight="1">
      <c r="A40" s="11" t="s">
        <v>55</v>
      </c>
      <c r="B40" s="12" t="s">
        <v>56</v>
      </c>
      <c r="C40" s="13" t="s">
        <v>35</v>
      </c>
      <c r="D40" s="17">
        <v>6</v>
      </c>
      <c r="E40" s="14">
        <f>'Tanque Desarenador'!G488</f>
        <v>115609.692</v>
      </c>
      <c r="F40" s="15">
        <f t="shared" si="0"/>
        <v>693658.152</v>
      </c>
    </row>
    <row r="41" spans="1:6" ht="12.75" hidden="1" customHeight="1">
      <c r="A41" s="11">
        <v>9</v>
      </c>
      <c r="B41" s="12" t="s">
        <v>57</v>
      </c>
      <c r="C41" s="13"/>
      <c r="D41" s="17"/>
      <c r="E41" s="14"/>
      <c r="F41" s="15"/>
    </row>
    <row r="42" spans="1:6" ht="12.75" hidden="1" customHeight="1">
      <c r="A42" s="11" t="s">
        <v>58</v>
      </c>
      <c r="B42" s="12" t="s">
        <v>59</v>
      </c>
      <c r="C42" s="13" t="s">
        <v>28</v>
      </c>
      <c r="D42" s="17">
        <v>4</v>
      </c>
      <c r="E42" s="14">
        <f>'Tanque Desarenador'!G534</f>
        <v>90237.425000000003</v>
      </c>
      <c r="F42" s="15">
        <f t="shared" si="0"/>
        <v>360949.7</v>
      </c>
    </row>
    <row r="43" spans="1:6" ht="12.75" hidden="1" customHeight="1">
      <c r="A43" s="11" t="s">
        <v>58</v>
      </c>
      <c r="B43" s="12" t="s">
        <v>60</v>
      </c>
      <c r="C43" s="13" t="s">
        <v>28</v>
      </c>
      <c r="D43" s="17">
        <v>1</v>
      </c>
      <c r="E43" s="14">
        <f>'Tanque Desarenador'!G580</f>
        <v>262571.61</v>
      </c>
      <c r="F43" s="15">
        <f t="shared" si="0"/>
        <v>262571.61</v>
      </c>
    </row>
    <row r="44" spans="1:6" ht="12.75" hidden="1" customHeight="1">
      <c r="A44" s="11">
        <v>10</v>
      </c>
      <c r="B44" s="12" t="s">
        <v>61</v>
      </c>
      <c r="C44" s="13" t="s">
        <v>28</v>
      </c>
      <c r="D44" s="17">
        <v>3</v>
      </c>
      <c r="E44" s="14">
        <f>'Tanque Desarenador'!G626</f>
        <v>82342.875</v>
      </c>
      <c r="F44" s="15">
        <f t="shared" si="0"/>
        <v>247028.625</v>
      </c>
    </row>
    <row r="45" spans="1:6" ht="52.5" hidden="1" customHeight="1">
      <c r="A45" s="11">
        <v>11</v>
      </c>
      <c r="B45" s="18" t="s">
        <v>62</v>
      </c>
      <c r="C45" s="13" t="s">
        <v>28</v>
      </c>
      <c r="D45" s="17">
        <v>2</v>
      </c>
      <c r="E45" s="14">
        <f>+'Tanque Desarenador'!G670</f>
        <v>4488250</v>
      </c>
      <c r="F45" s="15">
        <f t="shared" si="0"/>
        <v>8976500</v>
      </c>
    </row>
    <row r="46" spans="1:6" ht="39" hidden="1" customHeight="1">
      <c r="A46" s="11">
        <v>12</v>
      </c>
      <c r="B46" s="24" t="s">
        <v>63</v>
      </c>
      <c r="C46" s="13" t="s">
        <v>13</v>
      </c>
      <c r="D46" s="17">
        <v>1</v>
      </c>
      <c r="E46" s="14">
        <f>+'Tanque Desarenador'!G714</f>
        <v>2591625</v>
      </c>
      <c r="F46" s="15">
        <f t="shared" si="0"/>
        <v>2591625</v>
      </c>
    </row>
    <row r="47" spans="1:6" ht="26.25" hidden="1" customHeight="1">
      <c r="A47" s="11">
        <v>13</v>
      </c>
      <c r="B47" s="24" t="s">
        <v>64</v>
      </c>
      <c r="C47" s="13" t="s">
        <v>17</v>
      </c>
      <c r="D47" s="17">
        <v>0.2</v>
      </c>
      <c r="E47" s="14">
        <f>+'Tanque Desarenador'!G758</f>
        <v>2256250</v>
      </c>
      <c r="F47" s="15">
        <f t="shared" si="0"/>
        <v>451250</v>
      </c>
    </row>
    <row r="48" spans="1:6" ht="12.75" hidden="1" customHeight="1">
      <c r="A48" s="11">
        <v>14</v>
      </c>
      <c r="B48" s="37" t="s">
        <v>65</v>
      </c>
      <c r="C48" s="13" t="s">
        <v>28</v>
      </c>
      <c r="D48" s="38">
        <v>4</v>
      </c>
      <c r="E48" s="14">
        <f>+'Tanque Desarenador'!G803</f>
        <v>526974.63049999997</v>
      </c>
      <c r="F48" s="15">
        <f t="shared" si="0"/>
        <v>2107898.5219999999</v>
      </c>
    </row>
    <row r="49" spans="1:26" ht="14.4" hidden="1" customHeight="1" thickBot="1">
      <c r="A49" s="25">
        <v>15</v>
      </c>
      <c r="B49" s="39" t="s">
        <v>66</v>
      </c>
      <c r="C49" s="40" t="s">
        <v>17</v>
      </c>
      <c r="D49" s="41">
        <v>3.5</v>
      </c>
      <c r="E49" s="29">
        <f>'Tanque Desarenador'!G849</f>
        <v>73500</v>
      </c>
      <c r="F49" s="30">
        <f t="shared" si="0"/>
        <v>257250</v>
      </c>
    </row>
    <row r="50" spans="1:26" ht="15.75" customHeight="1" thickBot="1">
      <c r="A50" s="42"/>
      <c r="B50" s="462" t="s">
        <v>67</v>
      </c>
      <c r="C50" s="463"/>
      <c r="D50" s="463"/>
      <c r="E50" s="464"/>
      <c r="F50" s="43">
        <f>+F32</f>
        <v>950958.00000892289</v>
      </c>
      <c r="G50" s="44"/>
      <c r="H50" s="44"/>
      <c r="I50" s="44"/>
      <c r="J50" s="44"/>
      <c r="K50" s="44"/>
      <c r="L50" s="44"/>
      <c r="M50" s="44"/>
      <c r="N50" s="44"/>
      <c r="O50" s="44"/>
      <c r="P50" s="44"/>
      <c r="Q50" s="44"/>
      <c r="R50" s="44"/>
      <c r="S50" s="44"/>
      <c r="T50" s="44"/>
      <c r="U50" s="44"/>
      <c r="V50" s="44"/>
      <c r="W50" s="44"/>
      <c r="X50" s="44"/>
      <c r="Y50" s="44"/>
      <c r="Z50" s="44"/>
    </row>
    <row r="51" spans="1:26" ht="13.5" customHeight="1" thickBot="1">
      <c r="A51" s="3" t="s">
        <v>2</v>
      </c>
      <c r="B51" s="4" t="s">
        <v>3</v>
      </c>
      <c r="C51" s="5" t="s">
        <v>4</v>
      </c>
      <c r="D51" s="5" t="s">
        <v>5</v>
      </c>
      <c r="E51" s="5" t="s">
        <v>6</v>
      </c>
      <c r="F51" s="6" t="s">
        <v>7</v>
      </c>
    </row>
    <row r="52" spans="1:26" ht="12.75" customHeight="1">
      <c r="A52" s="7" t="s">
        <v>68</v>
      </c>
      <c r="B52" s="8" t="s">
        <v>69</v>
      </c>
      <c r="C52" s="9"/>
      <c r="D52" s="9"/>
      <c r="E52" s="9"/>
      <c r="F52" s="10"/>
    </row>
    <row r="53" spans="1:26" ht="12.75" customHeight="1">
      <c r="A53" s="11"/>
      <c r="B53" s="45"/>
      <c r="C53" s="13"/>
      <c r="D53" s="13"/>
      <c r="E53" s="13"/>
      <c r="F53" s="23"/>
    </row>
    <row r="54" spans="1:26" ht="16.5" customHeight="1">
      <c r="A54" s="11">
        <v>1</v>
      </c>
      <c r="B54" s="12" t="s">
        <v>10</v>
      </c>
      <c r="C54" s="13" t="s">
        <v>11</v>
      </c>
      <c r="D54" s="13">
        <f>+'Cantidades de obra '!E104</f>
        <v>37.6</v>
      </c>
      <c r="E54" s="269">
        <f>+'Tanque almacenamiento'!G44</f>
        <v>7656.0005614722377</v>
      </c>
      <c r="F54" s="270">
        <f t="shared" si="0"/>
        <v>287865.62111135613</v>
      </c>
    </row>
    <row r="55" spans="1:26" ht="14.25" customHeight="1">
      <c r="A55" s="11">
        <v>2</v>
      </c>
      <c r="B55" s="12" t="s">
        <v>40</v>
      </c>
      <c r="C55" s="13"/>
      <c r="D55" s="17"/>
      <c r="E55" s="13"/>
      <c r="F55" s="23"/>
    </row>
    <row r="56" spans="1:26" ht="16.5" customHeight="1">
      <c r="A56" s="11" t="s">
        <v>70</v>
      </c>
      <c r="B56" s="12" t="s">
        <v>42</v>
      </c>
      <c r="C56" s="13" t="s">
        <v>17</v>
      </c>
      <c r="D56" s="319">
        <f>+'Cantidades de obra '!E108-D57</f>
        <v>18.047999999999998</v>
      </c>
      <c r="E56" s="14">
        <f>+'Tanque almacenamiento'!G88</f>
        <v>52500.000266688992</v>
      </c>
      <c r="F56" s="15">
        <f t="shared" si="0"/>
        <v>947520.00481320289</v>
      </c>
      <c r="V56">
        <f>37.06/2</f>
        <v>18.53</v>
      </c>
    </row>
    <row r="57" spans="1:26" ht="12.75" customHeight="1">
      <c r="A57" s="11" t="s">
        <v>71</v>
      </c>
      <c r="B57" s="12" t="s">
        <v>44</v>
      </c>
      <c r="C57" s="13" t="s">
        <v>17</v>
      </c>
      <c r="D57" s="319">
        <f>+'Cantidades de obra '!F110</f>
        <v>4.5119999999999996</v>
      </c>
      <c r="E57" s="14">
        <f>+'Tanque almacenamiento'!G132</f>
        <v>195850.00032882483</v>
      </c>
      <c r="F57" s="15">
        <f t="shared" si="0"/>
        <v>883675.20148365758</v>
      </c>
    </row>
    <row r="58" spans="1:26" ht="16.5" customHeight="1">
      <c r="A58" s="11">
        <v>3</v>
      </c>
      <c r="B58" s="12" t="s">
        <v>72</v>
      </c>
      <c r="C58" s="13" t="s">
        <v>11</v>
      </c>
      <c r="D58" s="17">
        <v>0</v>
      </c>
      <c r="E58" s="14">
        <f>+'Tanque almacenamiento'!G176</f>
        <v>143213</v>
      </c>
      <c r="F58" s="15">
        <f t="shared" si="0"/>
        <v>0</v>
      </c>
      <c r="J58">
        <v>3.5</v>
      </c>
      <c r="L58">
        <f t="shared" ref="L58:L59" si="1">+(J58-0.15)/0.2+1</f>
        <v>17.75</v>
      </c>
      <c r="M58" s="47">
        <f>18*J61</f>
        <v>105.3</v>
      </c>
      <c r="N58" s="47">
        <f t="shared" ref="N58:N59" si="2">25/16</f>
        <v>1.5625</v>
      </c>
      <c r="O58">
        <f t="shared" ref="O58:O59" si="3">+M58*N58</f>
        <v>164.53125</v>
      </c>
      <c r="P58">
        <f t="shared" ref="P58:P59" si="4">+M58*0.994</f>
        <v>104.6682</v>
      </c>
      <c r="W58">
        <f>0.1*3*1.2</f>
        <v>0.36000000000000004</v>
      </c>
    </row>
    <row r="59" spans="1:26" ht="16.5" customHeight="1">
      <c r="A59" s="11">
        <v>4</v>
      </c>
      <c r="B59" s="12" t="s">
        <v>73</v>
      </c>
      <c r="C59" s="13" t="s">
        <v>11</v>
      </c>
      <c r="D59" s="17">
        <f>+'Cantidades de obra '!E124</f>
        <v>1.6835000000000002</v>
      </c>
      <c r="E59" s="14">
        <f>+'Tanque almacenamiento'!G219</f>
        <v>153063</v>
      </c>
      <c r="F59" s="15">
        <f t="shared" si="0"/>
        <v>257681.56050000002</v>
      </c>
      <c r="J59">
        <v>6</v>
      </c>
      <c r="L59">
        <f t="shared" si="1"/>
        <v>30.249999999999996</v>
      </c>
      <c r="M59" s="47">
        <f t="shared" ref="M59:M60" si="5">30*J60</f>
        <v>100.5</v>
      </c>
      <c r="N59" s="47">
        <f t="shared" si="2"/>
        <v>1.5625</v>
      </c>
      <c r="O59">
        <f t="shared" si="3"/>
        <v>157.03125</v>
      </c>
      <c r="P59">
        <f t="shared" si="4"/>
        <v>99.897000000000006</v>
      </c>
    </row>
    <row r="60" spans="1:26" ht="27" customHeight="1">
      <c r="A60" s="25">
        <v>5</v>
      </c>
      <c r="B60" s="266" t="s">
        <v>74</v>
      </c>
      <c r="C60" s="40" t="s">
        <v>17</v>
      </c>
      <c r="D60" s="41">
        <f>+'Cantidades de obra '!E160</f>
        <v>6.7340000000000009</v>
      </c>
      <c r="E60" s="29">
        <f>+'Tanque almacenamiento'!G263</f>
        <v>1782313</v>
      </c>
      <c r="F60" s="30">
        <f t="shared" si="0"/>
        <v>12002095.742000002</v>
      </c>
      <c r="I60">
        <f>4*4*0.2</f>
        <v>3.2</v>
      </c>
      <c r="J60" s="48">
        <f>3.5-0.15</f>
        <v>3.35</v>
      </c>
      <c r="K60" s="48"/>
      <c r="L60" s="48">
        <f t="shared" ref="L60:L63" si="6">+J60/0.2+1</f>
        <v>17.75</v>
      </c>
      <c r="M60">
        <f t="shared" si="5"/>
        <v>175.5</v>
      </c>
      <c r="O60">
        <f t="shared" ref="O60:P60" si="7">SUM(O58:O59)</f>
        <v>321.5625</v>
      </c>
      <c r="P60">
        <f t="shared" si="7"/>
        <v>204.5652</v>
      </c>
      <c r="Q60">
        <f>SUM(O60:P60)</f>
        <v>526.1277</v>
      </c>
      <c r="U60">
        <v>1500000</v>
      </c>
      <c r="V60">
        <f>+U60*D60</f>
        <v>10101000.000000002</v>
      </c>
      <c r="W60" s="62">
        <f>+F60-V60</f>
        <v>1901095.7420000006</v>
      </c>
    </row>
    <row r="61" spans="1:26" ht="12.75" customHeight="1">
      <c r="A61" s="31">
        <v>6</v>
      </c>
      <c r="B61" s="267" t="s">
        <v>75</v>
      </c>
      <c r="C61" s="9" t="s">
        <v>24</v>
      </c>
      <c r="D61" s="268">
        <f>+'Cantidades de obra '!F146</f>
        <v>727.15719999999999</v>
      </c>
      <c r="E61" s="35">
        <f>+'Tanque almacenamiento'!G307</f>
        <v>9990</v>
      </c>
      <c r="F61" s="36">
        <f t="shared" si="0"/>
        <v>7264300.4280000003</v>
      </c>
      <c r="J61">
        <f>6-0.15</f>
        <v>5.85</v>
      </c>
      <c r="L61" s="48">
        <f t="shared" si="6"/>
        <v>30.249999999999996</v>
      </c>
      <c r="U61">
        <v>8000</v>
      </c>
      <c r="V61" s="253">
        <f>+D61*U61</f>
        <v>5817257.5999999996</v>
      </c>
      <c r="W61" s="254">
        <f>+F61-V61</f>
        <v>1447042.8280000007</v>
      </c>
    </row>
    <row r="62" spans="1:26" ht="76.2" hidden="1" customHeight="1">
      <c r="A62" s="11">
        <v>7</v>
      </c>
      <c r="B62" s="224" t="s">
        <v>76</v>
      </c>
      <c r="C62" s="13" t="s">
        <v>28</v>
      </c>
      <c r="D62" s="17">
        <v>0</v>
      </c>
      <c r="E62" s="14">
        <f>'Tanque almacenamiento'!G347</f>
        <v>9528029.2307663802</v>
      </c>
      <c r="F62" s="15">
        <f t="shared" si="0"/>
        <v>0</v>
      </c>
      <c r="L62" s="48">
        <f t="shared" si="6"/>
        <v>1</v>
      </c>
    </row>
    <row r="63" spans="1:26" ht="75.599999999999994" hidden="1" customHeight="1">
      <c r="A63" s="11">
        <v>8</v>
      </c>
      <c r="B63" s="224" t="s">
        <v>77</v>
      </c>
      <c r="C63" s="13" t="s">
        <v>28</v>
      </c>
      <c r="D63" s="17">
        <v>0</v>
      </c>
      <c r="E63" s="14">
        <f>+'Tanque almacenamiento'!G391</f>
        <v>8935038.4615384731</v>
      </c>
      <c r="F63" s="15">
        <f t="shared" si="0"/>
        <v>0</v>
      </c>
      <c r="L63" s="48">
        <f t="shared" si="6"/>
        <v>1</v>
      </c>
    </row>
    <row r="64" spans="1:26" ht="28.2" customHeight="1">
      <c r="A64" s="11">
        <v>9</v>
      </c>
      <c r="B64" s="224" t="s">
        <v>848</v>
      </c>
      <c r="C64" s="13" t="s">
        <v>28</v>
      </c>
      <c r="D64" s="17">
        <v>3</v>
      </c>
      <c r="E64" s="14">
        <f>+'Tanque almacenamiento'!G351</f>
        <v>12386437.999996293</v>
      </c>
      <c r="F64" s="15">
        <f t="shared" si="0"/>
        <v>37159313.999988884</v>
      </c>
      <c r="I64" s="49">
        <f>+E64/1.45</f>
        <v>8542371.0344802029</v>
      </c>
      <c r="W64" s="254">
        <f>+W60+W61</f>
        <v>3348138.5700000012</v>
      </c>
    </row>
    <row r="65" spans="1:13" ht="39" hidden="1" customHeight="1">
      <c r="A65" s="11">
        <v>10</v>
      </c>
      <c r="B65" s="50" t="s">
        <v>78</v>
      </c>
      <c r="C65" s="13" t="s">
        <v>28</v>
      </c>
      <c r="D65" s="17">
        <v>0</v>
      </c>
      <c r="E65" s="14">
        <f>+'Tanque almacenamiento'!G479</f>
        <v>8279850</v>
      </c>
      <c r="F65" s="15">
        <f t="shared" si="0"/>
        <v>0</v>
      </c>
    </row>
    <row r="66" spans="1:13" ht="12.75" hidden="1" customHeight="1">
      <c r="A66" s="11">
        <v>11</v>
      </c>
      <c r="B66" s="12" t="s">
        <v>50</v>
      </c>
      <c r="C66" s="13"/>
      <c r="D66" s="17"/>
      <c r="E66" s="14"/>
      <c r="F66" s="15"/>
    </row>
    <row r="67" spans="1:13" ht="12.75" hidden="1" customHeight="1">
      <c r="A67" s="11" t="s">
        <v>79</v>
      </c>
      <c r="B67" s="12" t="s">
        <v>52</v>
      </c>
      <c r="C67" s="13" t="s">
        <v>35</v>
      </c>
      <c r="D67" s="17">
        <v>0</v>
      </c>
      <c r="E67" s="14">
        <f>'Tanque almacenamiento'!G523</f>
        <v>46675.036</v>
      </c>
      <c r="F67" s="15">
        <f t="shared" si="0"/>
        <v>0</v>
      </c>
    </row>
    <row r="68" spans="1:13" ht="12.75" hidden="1" customHeight="1">
      <c r="A68" s="11" t="s">
        <v>80</v>
      </c>
      <c r="B68" s="12" t="s">
        <v>54</v>
      </c>
      <c r="C68" s="13" t="s">
        <v>35</v>
      </c>
      <c r="D68" s="17">
        <v>0</v>
      </c>
      <c r="E68" s="14">
        <f>'Tanque almacenamiento'!G567</f>
        <v>46906.15388320513</v>
      </c>
      <c r="F68" s="15">
        <f t="shared" si="0"/>
        <v>0</v>
      </c>
    </row>
    <row r="69" spans="1:13" ht="13.5" hidden="1" customHeight="1">
      <c r="A69" s="11">
        <v>12</v>
      </c>
      <c r="B69" s="12" t="s">
        <v>81</v>
      </c>
      <c r="C69" s="13" t="s">
        <v>28</v>
      </c>
      <c r="D69" s="17">
        <v>0</v>
      </c>
      <c r="E69" s="14">
        <f>+'Tanque almacenamiento'!G611</f>
        <v>64080.375</v>
      </c>
      <c r="F69" s="15">
        <f t="shared" si="0"/>
        <v>0</v>
      </c>
    </row>
    <row r="70" spans="1:13" ht="12.75" hidden="1" customHeight="1">
      <c r="A70" s="11">
        <v>13</v>
      </c>
      <c r="B70" s="12" t="s">
        <v>82</v>
      </c>
      <c r="C70" s="13" t="s">
        <v>28</v>
      </c>
      <c r="D70" s="17">
        <v>0</v>
      </c>
      <c r="E70" s="14">
        <f>+'Tanque almacenamiento'!G655</f>
        <v>53664.615384615397</v>
      </c>
      <c r="F70" s="15">
        <f t="shared" si="0"/>
        <v>0</v>
      </c>
    </row>
    <row r="71" spans="1:13" ht="12.75" hidden="1" customHeight="1">
      <c r="A71" s="11">
        <v>14</v>
      </c>
      <c r="B71" s="12" t="s">
        <v>83</v>
      </c>
      <c r="C71" s="13" t="s">
        <v>28</v>
      </c>
      <c r="D71" s="17">
        <v>0</v>
      </c>
      <c r="E71" s="14">
        <f>'Tanque almacenamiento'!G699</f>
        <v>65974.75</v>
      </c>
      <c r="F71" s="15">
        <f t="shared" si="0"/>
        <v>0</v>
      </c>
    </row>
    <row r="72" spans="1:13" ht="12.75" hidden="1" customHeight="1">
      <c r="A72" s="11">
        <v>15</v>
      </c>
      <c r="B72" s="12" t="s">
        <v>84</v>
      </c>
      <c r="C72" s="13" t="s">
        <v>28</v>
      </c>
      <c r="D72" s="17">
        <v>0</v>
      </c>
      <c r="E72" s="14">
        <f>'Tanque almacenamiento'!G743</f>
        <v>81108.3125</v>
      </c>
      <c r="F72" s="15">
        <f t="shared" si="0"/>
        <v>0</v>
      </c>
    </row>
    <row r="73" spans="1:13" ht="22.95" hidden="1" customHeight="1">
      <c r="A73" s="11">
        <v>16</v>
      </c>
      <c r="B73" s="50" t="s">
        <v>85</v>
      </c>
      <c r="C73" s="13" t="s">
        <v>28</v>
      </c>
      <c r="D73" s="17">
        <v>0</v>
      </c>
      <c r="E73" s="14">
        <f>+'Tanque almacenamiento'!G789</f>
        <v>803187.5</v>
      </c>
      <c r="F73" s="15">
        <f t="shared" si="0"/>
        <v>0</v>
      </c>
    </row>
    <row r="74" spans="1:13" ht="12.75" hidden="1" customHeight="1">
      <c r="A74" s="11">
        <v>17</v>
      </c>
      <c r="B74" s="12" t="s">
        <v>86</v>
      </c>
      <c r="C74" s="13" t="s">
        <v>28</v>
      </c>
      <c r="D74" s="17">
        <v>0</v>
      </c>
      <c r="E74" s="14">
        <f>+'Tanque almacenamiento'!G831</f>
        <v>389104.94030000002</v>
      </c>
      <c r="F74" s="15">
        <f t="shared" si="0"/>
        <v>0</v>
      </c>
    </row>
    <row r="75" spans="1:13" ht="12.75" hidden="1" customHeight="1">
      <c r="A75" s="11"/>
      <c r="B75" s="12"/>
      <c r="C75" s="13"/>
      <c r="D75" s="17"/>
      <c r="E75" s="14"/>
      <c r="F75" s="15">
        <f t="shared" si="0"/>
        <v>0</v>
      </c>
    </row>
    <row r="76" spans="1:13" ht="25.95" customHeight="1">
      <c r="A76" s="11">
        <v>10</v>
      </c>
      <c r="B76" s="160" t="s">
        <v>829</v>
      </c>
      <c r="C76" s="13" t="s">
        <v>28</v>
      </c>
      <c r="D76" s="17">
        <v>8</v>
      </c>
      <c r="E76" s="14">
        <f>+'Tanque almacenamiento'!G879</f>
        <v>109038.00000000001</v>
      </c>
      <c r="F76" s="15">
        <f t="shared" si="0"/>
        <v>872304.00000000012</v>
      </c>
      <c r="I76" s="161" t="s">
        <v>828</v>
      </c>
      <c r="M76" t="str">
        <f>+_xlfn.CONCAT(I76," ",B76)</f>
        <v>S.T. I S.T. I Válvula de Bola / Compuerta   Ø1 " PVC Presión , incluye accesorios.</v>
      </c>
    </row>
    <row r="77" spans="1:13" ht="12.75" customHeight="1">
      <c r="A77" s="11">
        <v>11</v>
      </c>
      <c r="B77" s="12" t="s">
        <v>830</v>
      </c>
      <c r="C77" s="13" t="s">
        <v>28</v>
      </c>
      <c r="D77" s="17">
        <v>6</v>
      </c>
      <c r="E77" s="14">
        <f>+'Tanque almacenamiento'!G923</f>
        <v>24980</v>
      </c>
      <c r="F77" s="15">
        <f>D77*E77</f>
        <v>149880</v>
      </c>
      <c r="I77" s="161" t="s">
        <v>828</v>
      </c>
      <c r="M77" t="str">
        <f>+_xlfn.CONCAT(I77," ",B77)</f>
        <v>S.T. I S.T. I Unión Universal PVC Presión  Ø1 "</v>
      </c>
    </row>
    <row r="78" spans="1:13" ht="12.75" customHeight="1">
      <c r="A78" s="11">
        <v>12</v>
      </c>
      <c r="B78" s="12" t="s">
        <v>831</v>
      </c>
      <c r="C78" s="13" t="s">
        <v>28</v>
      </c>
      <c r="D78" s="17">
        <v>12</v>
      </c>
      <c r="E78" s="14">
        <f>+'Tanque almacenamiento'!G967</f>
        <v>11741.000000000002</v>
      </c>
      <c r="F78" s="15">
        <f>D78*E78</f>
        <v>140892.00000000003</v>
      </c>
      <c r="I78" s="161" t="s">
        <v>828</v>
      </c>
      <c r="M78" t="str">
        <f t="shared" ref="M78:M91" si="8">+_xlfn.CONCAT(I78," ",B78)</f>
        <v>S.T. I S.T. I Adaptador Macho / Brida PRFV a PVC Ø1 "</v>
      </c>
    </row>
    <row r="79" spans="1:13" ht="12.75" customHeight="1">
      <c r="A79" s="11">
        <v>13</v>
      </c>
      <c r="B79" s="12" t="s">
        <v>832</v>
      </c>
      <c r="C79" s="13" t="s">
        <v>28</v>
      </c>
      <c r="D79" s="17">
        <v>18</v>
      </c>
      <c r="E79" s="14">
        <f>+'Tanque almacenamiento'!G1011</f>
        <v>10609.00032579837</v>
      </c>
      <c r="F79" s="15">
        <f>D79*E79</f>
        <v>190962.00586437067</v>
      </c>
      <c r="I79" s="161" t="s">
        <v>828</v>
      </c>
      <c r="M79" t="str">
        <f t="shared" si="8"/>
        <v>S.T. I S.T. I Codo 90° PVC Presión Ø1 "</v>
      </c>
    </row>
    <row r="80" spans="1:13" ht="12.75" customHeight="1">
      <c r="A80" s="11">
        <v>14</v>
      </c>
      <c r="B80" s="12" t="s">
        <v>833</v>
      </c>
      <c r="C80" s="13" t="s">
        <v>28</v>
      </c>
      <c r="D80" s="17">
        <v>10</v>
      </c>
      <c r="E80" s="14">
        <f>+'Tanque almacenamiento'!G1055</f>
        <v>15883</v>
      </c>
      <c r="F80" s="15">
        <f t="shared" ref="F80:F91" si="9">D80*E80</f>
        <v>158830</v>
      </c>
      <c r="I80" s="161" t="s">
        <v>828</v>
      </c>
      <c r="M80" t="str">
        <f t="shared" si="8"/>
        <v>S.T. I S.T. I Tee PVC Presión  Ø1 "</v>
      </c>
    </row>
    <row r="81" spans="1:13" ht="12.75" customHeight="1">
      <c r="A81" s="11">
        <v>15</v>
      </c>
      <c r="B81" s="12" t="s">
        <v>834</v>
      </c>
      <c r="C81" s="13" t="s">
        <v>647</v>
      </c>
      <c r="D81" s="17">
        <v>15</v>
      </c>
      <c r="E81" s="14">
        <f>+'Tanque almacenamiento'!G1099</f>
        <v>24489.000000000022</v>
      </c>
      <c r="F81" s="15">
        <f t="shared" si="9"/>
        <v>367335.00000000035</v>
      </c>
      <c r="I81" s="161" t="s">
        <v>828</v>
      </c>
      <c r="M81" t="str">
        <f t="shared" si="8"/>
        <v>S.T. I S.T. I Tubería PVC Presión (RDE 21 / Sch 40) Ø1 "</v>
      </c>
    </row>
    <row r="82" spans="1:13" ht="12.75" customHeight="1">
      <c r="A82" s="11">
        <v>16</v>
      </c>
      <c r="B82" s="12" t="s">
        <v>835</v>
      </c>
      <c r="C82" s="13" t="s">
        <v>647</v>
      </c>
      <c r="D82" s="17">
        <v>12</v>
      </c>
      <c r="E82" s="14">
        <f>+'Tanque almacenamiento'!G1143</f>
        <v>33860</v>
      </c>
      <c r="F82" s="15">
        <f t="shared" si="9"/>
        <v>406320</v>
      </c>
      <c r="I82" s="161" t="s">
        <v>828</v>
      </c>
      <c r="M82" t="str">
        <f t="shared" si="8"/>
        <v>S.T. I S.T. I Tubería PVC Presión (Colector General) Ø 2" o 1 1/2"</v>
      </c>
    </row>
    <row r="83" spans="1:13" ht="12.75" customHeight="1">
      <c r="A83" s="11">
        <v>17</v>
      </c>
      <c r="B83" s="12" t="s">
        <v>836</v>
      </c>
      <c r="C83" s="13" t="s">
        <v>28</v>
      </c>
      <c r="D83" s="17">
        <v>6</v>
      </c>
      <c r="E83" s="14">
        <f>+'Tanque almacenamiento'!G1187</f>
        <v>25239.00000000004</v>
      </c>
      <c r="F83" s="15">
        <f t="shared" si="9"/>
        <v>151434.00000000023</v>
      </c>
      <c r="I83" s="161" t="s">
        <v>828</v>
      </c>
      <c r="M83" t="str">
        <f t="shared" si="8"/>
        <v>S.T. I S.T. I Reducción Bushing PVC Ø 2" a 1" ó 1 1/2" a 1"</v>
      </c>
    </row>
    <row r="84" spans="1:13" ht="12.75" customHeight="1">
      <c r="A84" s="11">
        <v>18</v>
      </c>
      <c r="B84" s="12" t="s">
        <v>837</v>
      </c>
      <c r="C84" s="13" t="s">
        <v>28</v>
      </c>
      <c r="D84" s="17">
        <v>3</v>
      </c>
      <c r="E84" s="14">
        <f>+'Tanque almacenamiento'!G659</f>
        <v>69764.000000000015</v>
      </c>
      <c r="F84" s="15">
        <f t="shared" si="9"/>
        <v>209292.00000000006</v>
      </c>
      <c r="I84" s="161" t="s">
        <v>828</v>
      </c>
      <c r="M84" t="str">
        <f t="shared" si="8"/>
        <v>S.T. I S.T. I Codo 90° PVC Presión Ø 2" (Venteo)</v>
      </c>
    </row>
    <row r="85" spans="1:13" ht="12.75" customHeight="1">
      <c r="A85" s="11">
        <v>19</v>
      </c>
      <c r="B85" s="12" t="s">
        <v>838</v>
      </c>
      <c r="C85" s="13" t="s">
        <v>647</v>
      </c>
      <c r="D85" s="17">
        <v>3</v>
      </c>
      <c r="E85" s="14">
        <f>+'Tanque almacenamiento'!G571</f>
        <v>60978.000048166665</v>
      </c>
      <c r="F85" s="15">
        <f t="shared" si="9"/>
        <v>182934.00014449999</v>
      </c>
      <c r="I85" s="161" t="s">
        <v>828</v>
      </c>
      <c r="M85" t="str">
        <f t="shared" si="8"/>
        <v>S.T. I S.T. I Tubería PVC Ø 2" (Venteo)</v>
      </c>
    </row>
    <row r="86" spans="1:13" ht="12.75" customHeight="1">
      <c r="A86" s="11">
        <v>20</v>
      </c>
      <c r="B86" s="12" t="s">
        <v>839</v>
      </c>
      <c r="C86" s="158" t="s">
        <v>231</v>
      </c>
      <c r="D86" s="159">
        <v>4</v>
      </c>
      <c r="E86" s="14">
        <f>+'Tanque almacenamiento'!G1231</f>
        <v>23238.999999999982</v>
      </c>
      <c r="F86" s="15">
        <f t="shared" si="9"/>
        <v>92955.999999999927</v>
      </c>
      <c r="I86" s="161" t="s">
        <v>828</v>
      </c>
      <c r="M86" t="str">
        <f t="shared" si="8"/>
        <v>S.T. I S.T. I Tubería y accesorios Conduit   Ø PVC 3/4" (Control)</v>
      </c>
    </row>
    <row r="87" spans="1:13" ht="12.75" customHeight="1">
      <c r="A87" s="11">
        <v>21</v>
      </c>
      <c r="B87" s="12" t="s">
        <v>840</v>
      </c>
      <c r="C87" s="13" t="s">
        <v>28</v>
      </c>
      <c r="D87" s="17">
        <v>6</v>
      </c>
      <c r="E87" s="14">
        <f>+'Tanque almacenamiento'!G1275</f>
        <v>159684.99999999994</v>
      </c>
      <c r="F87" s="15">
        <f t="shared" si="9"/>
        <v>958109.99999999965</v>
      </c>
      <c r="I87" s="161" t="s">
        <v>828</v>
      </c>
      <c r="M87" t="str">
        <f t="shared" si="8"/>
        <v>S.T. I S.T. I Junta Flexible / Antivibratoria Ø1 "</v>
      </c>
    </row>
    <row r="88" spans="1:13" ht="12.75" customHeight="1">
      <c r="A88" s="11">
        <v>22</v>
      </c>
      <c r="B88" s="12" t="s">
        <v>841</v>
      </c>
      <c r="C88" s="13" t="s">
        <v>28</v>
      </c>
      <c r="D88" s="17">
        <v>20</v>
      </c>
      <c r="E88" s="14">
        <f>+'Tanque almacenamiento'!G1319</f>
        <v>16014.999999999996</v>
      </c>
      <c r="F88" s="15">
        <f t="shared" si="9"/>
        <v>320299.99999999994</v>
      </c>
      <c r="I88" s="161" t="s">
        <v>828</v>
      </c>
      <c r="M88" t="str">
        <f t="shared" si="8"/>
        <v>S.T. I S.T. I Soporte metálico / Abrazadera tipo uña Var.</v>
      </c>
    </row>
    <row r="89" spans="1:13" ht="12.75" customHeight="1">
      <c r="A89" s="11">
        <v>23</v>
      </c>
      <c r="B89" s="12" t="s">
        <v>842</v>
      </c>
      <c r="C89" s="13" t="s">
        <v>822</v>
      </c>
      <c r="D89" s="17">
        <v>1.5</v>
      </c>
      <c r="E89" s="14">
        <f>+'Tanque almacenamiento'!G1363</f>
        <v>126924</v>
      </c>
      <c r="F89" s="15">
        <f t="shared" si="9"/>
        <v>190386</v>
      </c>
      <c r="I89" s="161" t="s">
        <v>828</v>
      </c>
      <c r="M89" t="str">
        <f t="shared" si="8"/>
        <v>S.T. I S.T. I Adhesivo (Soldadura líquida) para PVC  en 1/4 Gl</v>
      </c>
    </row>
    <row r="90" spans="1:13" ht="12.75" hidden="1" customHeight="1">
      <c r="A90" s="11"/>
      <c r="B90" s="12" t="s">
        <v>843</v>
      </c>
      <c r="C90" s="13" t="s">
        <v>822</v>
      </c>
      <c r="D90" s="17">
        <v>1</v>
      </c>
      <c r="E90" s="14"/>
      <c r="F90" s="15">
        <f t="shared" si="9"/>
        <v>0</v>
      </c>
      <c r="I90" s="161" t="s">
        <v>828</v>
      </c>
      <c r="M90" t="str">
        <f t="shared" si="8"/>
        <v>S.T. I S.T. I Limpiador (Primer) para PVC en 1/4 Gl</v>
      </c>
    </row>
    <row r="91" spans="1:13" ht="12.75" hidden="1" customHeight="1">
      <c r="A91" s="11"/>
      <c r="B91" s="12" t="s">
        <v>844</v>
      </c>
      <c r="C91" s="13" t="s">
        <v>819</v>
      </c>
      <c r="D91" s="17">
        <v>8</v>
      </c>
      <c r="E91" s="14"/>
      <c r="F91" s="15">
        <f t="shared" si="9"/>
        <v>0</v>
      </c>
      <c r="I91" s="161" t="s">
        <v>828</v>
      </c>
      <c r="M91" t="str">
        <f t="shared" si="8"/>
        <v>S.T. I S.T. I Cinta de Téflon industrial</v>
      </c>
    </row>
    <row r="92" spans="1:13" ht="52.5" hidden="1" customHeight="1">
      <c r="A92" s="11">
        <v>18</v>
      </c>
      <c r="B92" s="18" t="s">
        <v>87</v>
      </c>
      <c r="C92" s="13" t="s">
        <v>28</v>
      </c>
      <c r="D92" s="17">
        <v>0</v>
      </c>
      <c r="E92" s="14">
        <f>+'Tanque almacenamiento'!G1578</f>
        <v>1397962.5</v>
      </c>
      <c r="F92" s="15">
        <f t="shared" si="0"/>
        <v>0</v>
      </c>
    </row>
    <row r="93" spans="1:13" ht="13.5" hidden="1" customHeight="1">
      <c r="A93" s="11">
        <v>19</v>
      </c>
      <c r="B93" s="37" t="s">
        <v>88</v>
      </c>
      <c r="C93" s="13" t="s">
        <v>17</v>
      </c>
      <c r="D93" s="17">
        <v>0</v>
      </c>
      <c r="E93" s="14">
        <f>+'Tanque almacenamiento'!G1622</f>
        <v>834462.5</v>
      </c>
      <c r="F93" s="15">
        <f t="shared" si="0"/>
        <v>0</v>
      </c>
    </row>
    <row r="94" spans="1:13" ht="13.5" hidden="1" customHeight="1">
      <c r="A94" s="11">
        <v>20</v>
      </c>
      <c r="B94" s="12" t="s">
        <v>89</v>
      </c>
      <c r="C94" s="13" t="s">
        <v>17</v>
      </c>
      <c r="D94" s="17">
        <v>0</v>
      </c>
      <c r="E94" s="14">
        <f>+'Tanque almacenamiento'!G1666</f>
        <v>1845979.165</v>
      </c>
      <c r="F94" s="15">
        <f t="shared" si="0"/>
        <v>0</v>
      </c>
    </row>
    <row r="95" spans="1:13" ht="13.5" hidden="1" customHeight="1">
      <c r="A95" s="11">
        <v>21</v>
      </c>
      <c r="B95" s="12" t="s">
        <v>90</v>
      </c>
      <c r="C95" s="13" t="s">
        <v>17</v>
      </c>
      <c r="D95" s="17">
        <v>0</v>
      </c>
      <c r="E95" s="14">
        <f>+'Tanque almacenamiento'!G1710</f>
        <v>1845979.165</v>
      </c>
      <c r="F95" s="15">
        <f t="shared" si="0"/>
        <v>0</v>
      </c>
    </row>
    <row r="96" spans="1:13" ht="13.5" hidden="1" customHeight="1">
      <c r="A96" s="11">
        <v>22</v>
      </c>
      <c r="B96" s="12" t="s">
        <v>91</v>
      </c>
      <c r="C96" s="13" t="s">
        <v>17</v>
      </c>
      <c r="D96" s="17">
        <v>0</v>
      </c>
      <c r="E96" s="14">
        <f>'Tanque almacenamiento'!G1754</f>
        <v>1845979.165</v>
      </c>
      <c r="F96" s="15">
        <f t="shared" si="0"/>
        <v>0</v>
      </c>
    </row>
    <row r="97" spans="1:10" ht="13.5" hidden="1" customHeight="1">
      <c r="A97" s="11">
        <v>23</v>
      </c>
      <c r="B97" s="12" t="s">
        <v>92</v>
      </c>
      <c r="C97" s="13" t="s">
        <v>17</v>
      </c>
      <c r="D97" s="17">
        <v>0</v>
      </c>
      <c r="E97" s="14">
        <f>+'Tanque almacenamiento'!G1798</f>
        <v>1950100</v>
      </c>
      <c r="F97" s="15">
        <f t="shared" si="0"/>
        <v>0</v>
      </c>
    </row>
    <row r="98" spans="1:10" ht="26.25" hidden="1" customHeight="1">
      <c r="A98" s="11">
        <v>24</v>
      </c>
      <c r="B98" s="224" t="s">
        <v>93</v>
      </c>
      <c r="C98" s="13" t="s">
        <v>28</v>
      </c>
      <c r="D98" s="17">
        <v>0</v>
      </c>
      <c r="E98" s="14">
        <f>'Tanque almacenamiento'!G1842</f>
        <v>860631.25</v>
      </c>
      <c r="F98" s="15">
        <f t="shared" si="0"/>
        <v>0</v>
      </c>
      <c r="G98" s="49">
        <v>666930</v>
      </c>
    </row>
    <row r="99" spans="1:10" ht="12.75" hidden="1" customHeight="1">
      <c r="A99" s="11">
        <v>25</v>
      </c>
      <c r="B99" s="12" t="s">
        <v>94</v>
      </c>
      <c r="C99" s="13" t="s">
        <v>28</v>
      </c>
      <c r="D99" s="17">
        <v>0</v>
      </c>
      <c r="E99" s="14">
        <f>'Tanque almacenamiento'!G1886</f>
        <v>595693.14999999991</v>
      </c>
      <c r="F99" s="15">
        <f t="shared" si="0"/>
        <v>0</v>
      </c>
      <c r="G99" s="49">
        <v>121187</v>
      </c>
    </row>
    <row r="100" spans="1:10" ht="12.75" hidden="1" customHeight="1">
      <c r="A100" s="11">
        <v>26</v>
      </c>
      <c r="B100" s="12" t="s">
        <v>95</v>
      </c>
      <c r="C100" s="13" t="s">
        <v>28</v>
      </c>
      <c r="D100" s="17">
        <v>0</v>
      </c>
      <c r="E100" s="14">
        <f>'Tanque almacenamiento'!G1930</f>
        <v>118580.23</v>
      </c>
      <c r="F100" s="15">
        <f t="shared" si="0"/>
        <v>0</v>
      </c>
    </row>
    <row r="101" spans="1:10" ht="26.25" hidden="1" customHeight="1">
      <c r="A101" s="11">
        <v>27</v>
      </c>
      <c r="B101" s="224" t="s">
        <v>96</v>
      </c>
      <c r="C101" s="13" t="s">
        <v>28</v>
      </c>
      <c r="D101" s="17">
        <v>0</v>
      </c>
      <c r="E101" s="14">
        <f>'Tanque almacenamiento'!G1974</f>
        <v>776847.5</v>
      </c>
      <c r="F101" s="15">
        <f t="shared" si="0"/>
        <v>0</v>
      </c>
    </row>
    <row r="102" spans="1:10" ht="28.5" hidden="1" customHeight="1" thickBot="1">
      <c r="A102" s="25">
        <v>28</v>
      </c>
      <c r="B102" s="227" t="s">
        <v>97</v>
      </c>
      <c r="C102" s="40" t="s">
        <v>28</v>
      </c>
      <c r="D102" s="41">
        <v>0</v>
      </c>
      <c r="E102" s="29">
        <f>'Tanque almacenamiento'!G2018</f>
        <v>464356.25</v>
      </c>
      <c r="F102" s="30">
        <f t="shared" si="0"/>
        <v>0</v>
      </c>
    </row>
    <row r="103" spans="1:10" ht="42.75" hidden="1" customHeight="1">
      <c r="A103" s="11">
        <v>29</v>
      </c>
      <c r="B103" s="18" t="s">
        <v>98</v>
      </c>
      <c r="C103" s="13" t="s">
        <v>35</v>
      </c>
      <c r="D103" s="17">
        <v>0</v>
      </c>
      <c r="E103" s="14">
        <f>'Tanque almacenamiento'!G2062</f>
        <v>719856.45161290327</v>
      </c>
      <c r="F103" s="15">
        <f t="shared" si="0"/>
        <v>0</v>
      </c>
    </row>
    <row r="104" spans="1:10" ht="26.25" hidden="1" customHeight="1">
      <c r="A104" s="11">
        <v>30</v>
      </c>
      <c r="B104" s="18" t="s">
        <v>99</v>
      </c>
      <c r="C104" s="13" t="s">
        <v>28</v>
      </c>
      <c r="D104" s="17">
        <v>0</v>
      </c>
      <c r="E104" s="14">
        <f>'Tanque almacenamiento'!G2106</f>
        <v>589892.5</v>
      </c>
      <c r="F104" s="15">
        <f t="shared" si="0"/>
        <v>0</v>
      </c>
    </row>
    <row r="105" spans="1:10" ht="38.25" hidden="1" customHeight="1">
      <c r="A105" s="51">
        <v>31</v>
      </c>
      <c r="B105" s="52" t="s">
        <v>100</v>
      </c>
      <c r="C105" s="53" t="s">
        <v>28</v>
      </c>
      <c r="D105" s="54">
        <v>0</v>
      </c>
      <c r="E105" s="55">
        <f>'Tanque almacenamiento'!G2150</f>
        <v>7122312.5</v>
      </c>
      <c r="F105" s="56">
        <f t="shared" si="0"/>
        <v>0</v>
      </c>
    </row>
    <row r="106" spans="1:10" ht="41.25" hidden="1" customHeight="1">
      <c r="A106" s="11">
        <v>32</v>
      </c>
      <c r="B106" s="18" t="s">
        <v>101</v>
      </c>
      <c r="C106" s="13" t="s">
        <v>28</v>
      </c>
      <c r="D106" s="54">
        <v>0</v>
      </c>
      <c r="E106" s="55">
        <f>+'Tanque almacenamiento'!G2194</f>
        <v>5304925</v>
      </c>
      <c r="F106" s="56">
        <f t="shared" si="0"/>
        <v>0</v>
      </c>
    </row>
    <row r="107" spans="1:10" ht="39" hidden="1" customHeight="1">
      <c r="A107" s="51">
        <v>33</v>
      </c>
      <c r="B107" s="24" t="s">
        <v>102</v>
      </c>
      <c r="C107" s="13" t="s">
        <v>28</v>
      </c>
      <c r="D107" s="54">
        <v>0</v>
      </c>
      <c r="E107" s="55">
        <f>+'Tanque almacenamiento'!G2239</f>
        <v>1057321</v>
      </c>
      <c r="F107" s="56">
        <f t="shared" si="0"/>
        <v>0</v>
      </c>
    </row>
    <row r="108" spans="1:10" ht="12.75" hidden="1" customHeight="1">
      <c r="A108" s="11">
        <v>34</v>
      </c>
      <c r="B108" s="12" t="s">
        <v>103</v>
      </c>
      <c r="C108" s="13" t="s">
        <v>35</v>
      </c>
      <c r="D108" s="54">
        <v>0</v>
      </c>
      <c r="E108" s="55">
        <f>+'Tanque almacenamiento'!G2284</f>
        <v>20114.25</v>
      </c>
      <c r="F108" s="56">
        <f t="shared" si="0"/>
        <v>0</v>
      </c>
    </row>
    <row r="109" spans="1:10" ht="78.75" hidden="1" customHeight="1">
      <c r="A109" s="51">
        <v>35</v>
      </c>
      <c r="B109" s="18" t="s">
        <v>104</v>
      </c>
      <c r="C109" s="13" t="s">
        <v>28</v>
      </c>
      <c r="D109" s="17">
        <v>0</v>
      </c>
      <c r="E109" s="14">
        <f>'Tanque almacenamiento'!G2328</f>
        <v>841085</v>
      </c>
      <c r="F109" s="15">
        <f t="shared" si="0"/>
        <v>0</v>
      </c>
    </row>
    <row r="110" spans="1:10" ht="26.25" hidden="1" customHeight="1">
      <c r="A110" s="11">
        <v>36</v>
      </c>
      <c r="B110" s="50" t="s">
        <v>105</v>
      </c>
      <c r="C110" s="53" t="s">
        <v>28</v>
      </c>
      <c r="D110" s="54">
        <v>0</v>
      </c>
      <c r="E110" s="55">
        <f>+'Tanque almacenamiento'!G2372</f>
        <v>621250</v>
      </c>
      <c r="F110" s="56">
        <f t="shared" si="0"/>
        <v>0</v>
      </c>
    </row>
    <row r="111" spans="1:10" ht="13.5" customHeight="1">
      <c r="A111" s="11">
        <v>24</v>
      </c>
      <c r="B111" s="12" t="s">
        <v>106</v>
      </c>
      <c r="C111" s="13" t="s">
        <v>17</v>
      </c>
      <c r="D111" s="17">
        <v>6</v>
      </c>
      <c r="E111" s="14">
        <f>+'Tanque almacenamiento'!G2420</f>
        <v>73500</v>
      </c>
      <c r="F111" s="15">
        <f t="shared" si="0"/>
        <v>441000</v>
      </c>
      <c r="J111">
        <f>25.4/1000</f>
        <v>2.5399999999999999E-2</v>
      </c>
    </row>
    <row r="112" spans="1:10" ht="40.5" customHeight="1" thickBot="1">
      <c r="A112" s="465" t="s">
        <v>107</v>
      </c>
      <c r="B112" s="466"/>
      <c r="C112" s="466"/>
      <c r="D112" s="466"/>
      <c r="E112" s="467"/>
      <c r="F112" s="57">
        <f>+SUM(F54:F111)</f>
        <v>63635387.563905977</v>
      </c>
      <c r="I112">
        <f>0.0254*1.5</f>
        <v>3.8099999999999995E-2</v>
      </c>
    </row>
    <row r="113" spans="1:26" ht="13.5" customHeight="1">
      <c r="A113" s="3" t="s">
        <v>2</v>
      </c>
      <c r="B113" s="4" t="s">
        <v>3</v>
      </c>
      <c r="C113" s="5" t="s">
        <v>4</v>
      </c>
      <c r="D113" s="5" t="s">
        <v>5</v>
      </c>
      <c r="E113" s="5" t="s">
        <v>6</v>
      </c>
      <c r="F113" s="6" t="s">
        <v>7</v>
      </c>
      <c r="I113">
        <f>+I114</f>
        <v>38.099999999999994</v>
      </c>
      <c r="J113">
        <f>+I113/1000*1000</f>
        <v>38.099999999999994</v>
      </c>
    </row>
    <row r="114" spans="1:26" ht="12.75" customHeight="1">
      <c r="A114" s="7" t="s">
        <v>108</v>
      </c>
      <c r="B114" s="8" t="s">
        <v>109</v>
      </c>
      <c r="C114" s="33"/>
      <c r="D114" s="34"/>
      <c r="E114" s="33"/>
      <c r="F114" s="58"/>
      <c r="I114">
        <f>+I115+I118</f>
        <v>38.099999999999994</v>
      </c>
    </row>
    <row r="115" spans="1:26" ht="12.75" customHeight="1">
      <c r="A115" s="11">
        <v>1</v>
      </c>
      <c r="B115" s="12" t="s">
        <v>10</v>
      </c>
      <c r="C115" s="13" t="s">
        <v>35</v>
      </c>
      <c r="D115" s="59">
        <f>+D122+D124+D121+D123+D125</f>
        <v>3798</v>
      </c>
      <c r="E115" s="14">
        <f>+'Redes de Distribución'!G44</f>
        <v>4619</v>
      </c>
      <c r="F115" s="15">
        <f>D115*E115</f>
        <v>17542962</v>
      </c>
      <c r="I115">
        <f>+I118/2</f>
        <v>12.7</v>
      </c>
      <c r="M115" s="49" t="s">
        <v>110</v>
      </c>
    </row>
    <row r="116" spans="1:26" ht="12.75" customHeight="1">
      <c r="A116" s="11">
        <v>2</v>
      </c>
      <c r="B116" s="12" t="s">
        <v>40</v>
      </c>
      <c r="C116" s="13"/>
      <c r="D116" s="17"/>
      <c r="E116" s="14"/>
      <c r="F116" s="15"/>
      <c r="M116" s="49" t="s">
        <v>111</v>
      </c>
      <c r="N116" s="49" t="s">
        <v>112</v>
      </c>
      <c r="Y116" s="260"/>
    </row>
    <row r="117" spans="1:26" ht="13.5" customHeight="1">
      <c r="A117" s="11" t="s">
        <v>70</v>
      </c>
      <c r="B117" s="12" t="s">
        <v>113</v>
      </c>
      <c r="C117" s="13" t="s">
        <v>17</v>
      </c>
      <c r="D117" s="17">
        <f>'Cantidades de obra '!F220-10</f>
        <v>482.46</v>
      </c>
      <c r="E117" s="14">
        <f>+'Redes de Distribución'!G88</f>
        <v>88213.219788815302</v>
      </c>
      <c r="F117" s="15">
        <f>D117*E117*0.4</f>
        <v>17023740.007724732</v>
      </c>
      <c r="M117" s="49" t="s">
        <v>114</v>
      </c>
      <c r="N117" s="49">
        <v>1250.1999999999998</v>
      </c>
    </row>
    <row r="118" spans="1:26" ht="13.5" customHeight="1">
      <c r="A118" s="11" t="s">
        <v>71</v>
      </c>
      <c r="B118" s="12" t="s">
        <v>44</v>
      </c>
      <c r="C118" s="13" t="s">
        <v>17</v>
      </c>
      <c r="D118" s="17">
        <f>+'Cantidades de obra '!F221</f>
        <v>10</v>
      </c>
      <c r="E118" s="14">
        <f>+'Redes de Distribución'!G132</f>
        <v>316458.7800000275</v>
      </c>
      <c r="F118" s="15">
        <f t="shared" si="0"/>
        <v>3164587.800000275</v>
      </c>
      <c r="I118">
        <v>25.4</v>
      </c>
      <c r="M118" s="49" t="s">
        <v>115</v>
      </c>
      <c r="N118" s="49">
        <v>750.11999999999989</v>
      </c>
      <c r="O118">
        <f>1138+565+262</f>
        <v>1965</v>
      </c>
    </row>
    <row r="119" spans="1:26" ht="12.75" customHeight="1">
      <c r="A119" s="11">
        <v>3</v>
      </c>
      <c r="B119" s="12" t="s">
        <v>116</v>
      </c>
      <c r="C119" s="13"/>
      <c r="D119" s="17"/>
      <c r="E119" s="14"/>
      <c r="F119" s="15"/>
      <c r="I119">
        <v>12.5</v>
      </c>
      <c r="M119" s="49" t="s">
        <v>117</v>
      </c>
      <c r="N119" s="49">
        <v>1190.28</v>
      </c>
    </row>
    <row r="120" spans="1:26" ht="12.75" customHeight="1">
      <c r="A120" s="11" t="s">
        <v>15</v>
      </c>
      <c r="B120" s="12" t="s">
        <v>118</v>
      </c>
      <c r="C120" s="13" t="s">
        <v>35</v>
      </c>
      <c r="D120" s="17">
        <f>+N120*0</f>
        <v>0</v>
      </c>
      <c r="E120" s="14">
        <f>(E121+E122)/2</f>
        <v>21946.420001353043</v>
      </c>
      <c r="F120" s="15">
        <f t="shared" si="0"/>
        <v>0</v>
      </c>
      <c r="I120" s="60" t="e" cm="1">
        <f t="array" ref="I120">+(J113/2)*v*PI()*2</f>
        <v>#NAME?</v>
      </c>
      <c r="M120" s="49" t="s">
        <v>119</v>
      </c>
      <c r="N120" s="49">
        <v>963.61999999999989</v>
      </c>
      <c r="O120">
        <f>246+330</f>
        <v>576</v>
      </c>
    </row>
    <row r="121" spans="1:26" ht="12.75" customHeight="1">
      <c r="A121" s="11" t="s">
        <v>18</v>
      </c>
      <c r="B121" s="12" t="s">
        <v>120</v>
      </c>
      <c r="C121" s="13" t="s">
        <v>35</v>
      </c>
      <c r="D121" s="59">
        <f>1105</f>
        <v>1105</v>
      </c>
      <c r="E121" s="14">
        <f>+'Redes de Distribución'!G220</f>
        <v>13244.850002706084</v>
      </c>
      <c r="F121" s="15">
        <f t="shared" si="0"/>
        <v>14635559.252990222</v>
      </c>
      <c r="M121" s="49" t="s">
        <v>121</v>
      </c>
      <c r="N121" s="49">
        <v>696.78</v>
      </c>
      <c r="Y121">
        <v>4.641</v>
      </c>
      <c r="Z121" s="253">
        <f>+E121*Y121</f>
        <v>61469.348862558931</v>
      </c>
    </row>
    <row r="122" spans="1:26" ht="12.75" customHeight="1">
      <c r="A122" s="11" t="s">
        <v>122</v>
      </c>
      <c r="B122" s="12" t="s">
        <v>123</v>
      </c>
      <c r="C122" s="13" t="s">
        <v>35</v>
      </c>
      <c r="D122" s="17">
        <v>750</v>
      </c>
      <c r="E122" s="14">
        <f>+'Redes de Distribución'!G264</f>
        <v>30647.989999999998</v>
      </c>
      <c r="F122" s="15">
        <f t="shared" si="0"/>
        <v>22985992.5</v>
      </c>
      <c r="M122" s="49" t="s">
        <v>124</v>
      </c>
      <c r="N122" s="49">
        <v>4850.9999999999991</v>
      </c>
    </row>
    <row r="123" spans="1:26" ht="12.75" customHeight="1">
      <c r="A123" s="11"/>
      <c r="B123" s="12" t="s">
        <v>125</v>
      </c>
      <c r="C123" s="13" t="s">
        <v>35</v>
      </c>
      <c r="D123" s="17">
        <v>570</v>
      </c>
      <c r="E123" s="14">
        <f>+'Redes de Distribución'!G308</f>
        <v>36197.5</v>
      </c>
      <c r="F123" s="15">
        <f t="shared" si="0"/>
        <v>20632575</v>
      </c>
      <c r="M123" s="49"/>
      <c r="N123" s="49"/>
    </row>
    <row r="124" spans="1:26" ht="13.5" customHeight="1">
      <c r="A124" s="11" t="s">
        <v>126</v>
      </c>
      <c r="B124" s="12" t="s">
        <v>127</v>
      </c>
      <c r="C124" s="13" t="s">
        <v>35</v>
      </c>
      <c r="D124" s="17">
        <v>800</v>
      </c>
      <c r="E124" s="14">
        <f>+'Redes de Distribución'!G352</f>
        <v>42174.400000000001</v>
      </c>
      <c r="F124" s="15">
        <f t="shared" si="0"/>
        <v>33739520</v>
      </c>
      <c r="I124" s="61">
        <f>+D122+D124+D125</f>
        <v>2123</v>
      </c>
    </row>
    <row r="125" spans="1:26" ht="12.75" customHeight="1">
      <c r="A125" s="11" t="s">
        <v>128</v>
      </c>
      <c r="B125" s="12" t="s">
        <v>129</v>
      </c>
      <c r="C125" s="13" t="s">
        <v>35</v>
      </c>
      <c r="D125" s="275">
        <f>520+38+15</f>
        <v>573</v>
      </c>
      <c r="E125" s="14">
        <f>+'Redes de Distribución'!G396</f>
        <v>56567.549957081035</v>
      </c>
      <c r="F125" s="15">
        <f>D125*E125</f>
        <v>32413206.125407435</v>
      </c>
    </row>
    <row r="126" spans="1:26" ht="12.75" customHeight="1">
      <c r="A126" s="51">
        <v>4</v>
      </c>
      <c r="B126" s="63" t="s">
        <v>130</v>
      </c>
      <c r="C126" s="53" t="s">
        <v>28</v>
      </c>
      <c r="D126" s="54">
        <f>+N120*0</f>
        <v>0</v>
      </c>
      <c r="E126" s="55">
        <f>+'Redes de Distribución'!G440</f>
        <v>83247.600002314386</v>
      </c>
      <c r="F126" s="56">
        <f t="shared" si="0"/>
        <v>0</v>
      </c>
      <c r="I126">
        <f>+PI()*(0.0254*0.0254)/4</f>
        <v>5.0670747909749769E-4</v>
      </c>
      <c r="J126">
        <f>+I126/1000/1000</f>
        <v>5.0670747909749771E-10</v>
      </c>
      <c r="V126" s="62">
        <f>+F115+F117+F118+F121+F122+F123+F124+F125+F127+F128+F129+F130+F131+F132+F135+F136+F137+F138+F139+F141+F142+F143+F144+F145+F146+F147+F148</f>
        <v>224375309.73098841</v>
      </c>
    </row>
    <row r="127" spans="1:26" ht="12.75" customHeight="1">
      <c r="A127" s="11">
        <v>5</v>
      </c>
      <c r="B127" s="12" t="s">
        <v>131</v>
      </c>
      <c r="C127" s="13" t="s">
        <v>28</v>
      </c>
      <c r="D127" s="17">
        <v>8</v>
      </c>
      <c r="E127" s="14">
        <f>+'Redes de Distribución'!G484</f>
        <v>71822</v>
      </c>
      <c r="F127" s="15">
        <f t="shared" si="0"/>
        <v>574576</v>
      </c>
    </row>
    <row r="128" spans="1:26" ht="12.75" customHeight="1">
      <c r="A128" s="11">
        <v>6</v>
      </c>
      <c r="B128" s="12" t="s">
        <v>132</v>
      </c>
      <c r="C128" s="13" t="s">
        <v>28</v>
      </c>
      <c r="D128" s="17">
        <v>1</v>
      </c>
      <c r="E128" s="14">
        <f>+'Redes de Distribución'!G527</f>
        <v>128352.500001475</v>
      </c>
      <c r="F128" s="15">
        <f t="shared" si="0"/>
        <v>128352.500001475</v>
      </c>
    </row>
    <row r="129" spans="1:9" ht="12.75" customHeight="1">
      <c r="A129" s="11">
        <v>7</v>
      </c>
      <c r="B129" s="12" t="s">
        <v>133</v>
      </c>
      <c r="C129" s="13" t="s">
        <v>28</v>
      </c>
      <c r="D129" s="17">
        <v>2</v>
      </c>
      <c r="E129" s="14">
        <f>+'Redes de Distribución'!G571</f>
        <v>51602.200000047254</v>
      </c>
      <c r="F129" s="15">
        <f t="shared" si="0"/>
        <v>103204.40000009451</v>
      </c>
    </row>
    <row r="130" spans="1:9" ht="12.75" customHeight="1">
      <c r="A130" s="11">
        <v>8</v>
      </c>
      <c r="B130" s="12" t="s">
        <v>134</v>
      </c>
      <c r="C130" s="13" t="s">
        <v>28</v>
      </c>
      <c r="D130" s="17">
        <v>6</v>
      </c>
      <c r="E130" s="14">
        <f>+'Redes de Distribución'!G615</f>
        <v>40759.649074465742</v>
      </c>
      <c r="F130" s="15">
        <f t="shared" si="0"/>
        <v>244557.89444679447</v>
      </c>
      <c r="I130" s="62">
        <f>SUM(F115:F125)+F112+F25</f>
        <v>239900275.02512959</v>
      </c>
    </row>
    <row r="131" spans="1:9" ht="12.75" customHeight="1">
      <c r="A131" s="11">
        <v>9</v>
      </c>
      <c r="B131" s="12" t="s">
        <v>135</v>
      </c>
      <c r="C131" s="13" t="s">
        <v>28</v>
      </c>
      <c r="D131" s="17">
        <v>10</v>
      </c>
      <c r="E131" s="14">
        <f>+'Redes de Distribución'!G658</f>
        <v>94010.800004553079</v>
      </c>
      <c r="F131" s="15">
        <f t="shared" si="0"/>
        <v>940108.00004553073</v>
      </c>
    </row>
    <row r="132" spans="1:9" ht="12.75" customHeight="1">
      <c r="A132" s="11">
        <v>10</v>
      </c>
      <c r="B132" s="63" t="s">
        <v>136</v>
      </c>
      <c r="C132" s="13" t="s">
        <v>28</v>
      </c>
      <c r="D132" s="17">
        <v>7</v>
      </c>
      <c r="E132" s="14">
        <f>+'Redes de Distribución'!G701</f>
        <v>92378.000349716545</v>
      </c>
      <c r="F132" s="15">
        <f t="shared" si="0"/>
        <v>646646.00244801585</v>
      </c>
    </row>
    <row r="133" spans="1:9" ht="56.25" hidden="1" customHeight="1">
      <c r="A133" s="11">
        <v>11</v>
      </c>
      <c r="B133" s="18" t="s">
        <v>137</v>
      </c>
      <c r="C133" s="13" t="s">
        <v>28</v>
      </c>
      <c r="D133" s="46">
        <f>53*0</f>
        <v>0</v>
      </c>
      <c r="E133" s="14">
        <f>'Redes de Distribución'!G741</f>
        <v>510520</v>
      </c>
      <c r="F133" s="15">
        <f t="shared" si="0"/>
        <v>0</v>
      </c>
    </row>
    <row r="134" spans="1:9" ht="12.75" customHeight="1">
      <c r="A134" s="11">
        <v>12</v>
      </c>
      <c r="B134" s="12" t="s">
        <v>138</v>
      </c>
      <c r="C134" s="13" t="s">
        <v>28</v>
      </c>
      <c r="D134" s="17"/>
      <c r="E134" s="14"/>
      <c r="F134" s="15"/>
    </row>
    <row r="135" spans="1:9" ht="12.75" customHeight="1">
      <c r="A135" s="11" t="s">
        <v>139</v>
      </c>
      <c r="B135" s="12" t="s">
        <v>140</v>
      </c>
      <c r="C135" s="13" t="s">
        <v>28</v>
      </c>
      <c r="D135" s="17">
        <v>3</v>
      </c>
      <c r="E135" s="14">
        <f>+'Redes de Distribución'!G788</f>
        <v>170977.8802302033</v>
      </c>
      <c r="F135" s="15">
        <f>+E135*D135</f>
        <v>512933.64069060993</v>
      </c>
    </row>
    <row r="136" spans="1:9" ht="12.75" customHeight="1">
      <c r="A136" s="11" t="s">
        <v>141</v>
      </c>
      <c r="B136" s="12" t="s">
        <v>142</v>
      </c>
      <c r="C136" s="13" t="s">
        <v>28</v>
      </c>
      <c r="D136" s="17">
        <v>10</v>
      </c>
      <c r="E136" s="14">
        <f>+'Redes de Distribución'!G831</f>
        <v>214704.88001484782</v>
      </c>
      <c r="F136" s="15">
        <f t="shared" si="0"/>
        <v>2147048.8001484782</v>
      </c>
    </row>
    <row r="137" spans="1:9" ht="12.75" customHeight="1">
      <c r="A137" s="11" t="s">
        <v>143</v>
      </c>
      <c r="B137" s="12" t="s">
        <v>144</v>
      </c>
      <c r="C137" s="13" t="s">
        <v>28</v>
      </c>
      <c r="D137" s="17">
        <v>3</v>
      </c>
      <c r="E137" s="14">
        <f>+'Redes de Distribución'!G875</f>
        <v>474059.60062558774</v>
      </c>
      <c r="F137" s="15">
        <f t="shared" si="0"/>
        <v>1422178.8018767633</v>
      </c>
    </row>
    <row r="138" spans="1:9" ht="26.25" customHeight="1">
      <c r="A138" s="11">
        <v>13</v>
      </c>
      <c r="B138" s="226" t="s">
        <v>145</v>
      </c>
      <c r="C138" s="13" t="s">
        <v>28</v>
      </c>
      <c r="D138" s="17">
        <v>8</v>
      </c>
      <c r="E138" s="14">
        <f>+'Redes de Distribución'!G919</f>
        <v>443163.75000002957</v>
      </c>
      <c r="F138" s="15">
        <f t="shared" si="0"/>
        <v>3545310.0000002366</v>
      </c>
    </row>
    <row r="139" spans="1:9" ht="50.4" customHeight="1">
      <c r="A139" s="11">
        <v>14.1</v>
      </c>
      <c r="B139" s="224" t="s">
        <v>146</v>
      </c>
      <c r="C139" s="13" t="s">
        <v>28</v>
      </c>
      <c r="D139" s="17">
        <v>5</v>
      </c>
      <c r="E139" s="14">
        <f>+'Redes de Distribución'!G963</f>
        <v>595497.50000059127</v>
      </c>
      <c r="F139" s="15">
        <f t="shared" si="0"/>
        <v>2977487.5000029565</v>
      </c>
    </row>
    <row r="140" spans="1:9" ht="50.4" customHeight="1">
      <c r="A140" s="11">
        <v>14.2</v>
      </c>
      <c r="B140" s="224" t="s">
        <v>864</v>
      </c>
      <c r="C140" s="13" t="s">
        <v>28</v>
      </c>
      <c r="D140" s="17">
        <v>3</v>
      </c>
      <c r="E140" s="14">
        <f>+'Redes de Distribución'!G1007</f>
        <v>700741.58999857667</v>
      </c>
      <c r="F140" s="15">
        <f t="shared" ref="F140" si="10">D140*E140</f>
        <v>2102224.7699957299</v>
      </c>
    </row>
    <row r="141" spans="1:9" ht="50.4" customHeight="1">
      <c r="A141" s="11">
        <v>15</v>
      </c>
      <c r="B141" s="224" t="s">
        <v>147</v>
      </c>
      <c r="C141" s="13" t="s">
        <v>28</v>
      </c>
      <c r="D141" s="17">
        <v>4</v>
      </c>
      <c r="E141" s="14">
        <f>+'Redes de Distribución'!G1051</f>
        <v>1023368.200081002</v>
      </c>
      <c r="F141" s="15">
        <f t="shared" si="0"/>
        <v>4093472.8003240079</v>
      </c>
    </row>
    <row r="142" spans="1:9" ht="48" customHeight="1">
      <c r="A142" s="11">
        <v>16</v>
      </c>
      <c r="B142" s="224" t="s">
        <v>148</v>
      </c>
      <c r="C142" s="13" t="s">
        <v>28</v>
      </c>
      <c r="D142" s="17">
        <f>+D137</f>
        <v>3</v>
      </c>
      <c r="E142" s="14">
        <f>+'Redes de Distribución'!G1095</f>
        <v>1616680.3494532437</v>
      </c>
      <c r="F142" s="15">
        <f t="shared" si="0"/>
        <v>4850041.0483597312</v>
      </c>
    </row>
    <row r="143" spans="1:9" ht="38.4" customHeight="1">
      <c r="A143" s="11">
        <v>17</v>
      </c>
      <c r="B143" s="224" t="s">
        <v>149</v>
      </c>
      <c r="C143" s="13" t="s">
        <v>28</v>
      </c>
      <c r="D143" s="17">
        <f>+D139</f>
        <v>5</v>
      </c>
      <c r="E143" s="14">
        <f>+'Redes de Distribución'!G1139</f>
        <v>563374.99999989523</v>
      </c>
      <c r="F143" s="15">
        <f t="shared" si="0"/>
        <v>2816874.9999994761</v>
      </c>
    </row>
    <row r="144" spans="1:9" ht="45.6" customHeight="1">
      <c r="A144" s="11">
        <v>18</v>
      </c>
      <c r="B144" s="224" t="s">
        <v>150</v>
      </c>
      <c r="C144" s="13" t="s">
        <v>28</v>
      </c>
      <c r="D144" s="17">
        <f>+D139</f>
        <v>5</v>
      </c>
      <c r="E144" s="14">
        <f>+'Redes de Distribución'!G1183</f>
        <v>1384374.9998804277</v>
      </c>
      <c r="F144" s="15">
        <f t="shared" si="0"/>
        <v>6921874.9994021384</v>
      </c>
    </row>
    <row r="145" spans="1:11" ht="46.95" customHeight="1">
      <c r="A145" s="11">
        <v>19</v>
      </c>
      <c r="B145" s="224" t="s">
        <v>872</v>
      </c>
      <c r="C145" s="13" t="s">
        <v>28</v>
      </c>
      <c r="D145" s="17">
        <f>+D141+D140</f>
        <v>7</v>
      </c>
      <c r="E145" s="14">
        <f>+'Redes de Distribución'!G1227</f>
        <v>1938422.2500066415</v>
      </c>
      <c r="F145" s="15">
        <f t="shared" si="0"/>
        <v>13568955.75004649</v>
      </c>
    </row>
    <row r="146" spans="1:11" ht="45" customHeight="1">
      <c r="A146" s="11">
        <v>20</v>
      </c>
      <c r="B146" s="224" t="s">
        <v>151</v>
      </c>
      <c r="C146" s="13" t="s">
        <v>28</v>
      </c>
      <c r="D146" s="17">
        <f>+D142</f>
        <v>3</v>
      </c>
      <c r="E146" s="14">
        <f>+'Redes de Distribución'!G1271</f>
        <v>2100400.0000041686</v>
      </c>
      <c r="F146" s="15">
        <f t="shared" si="0"/>
        <v>6301200.0000125058</v>
      </c>
    </row>
    <row r="147" spans="1:11" ht="19.2" customHeight="1">
      <c r="A147" s="11">
        <v>21</v>
      </c>
      <c r="B147" s="160" t="s">
        <v>152</v>
      </c>
      <c r="C147" s="13" t="s">
        <v>17</v>
      </c>
      <c r="D147" s="17">
        <v>4</v>
      </c>
      <c r="E147" s="14">
        <f>+'Redes de Distribución'!G1315</f>
        <v>1428558.9760004135</v>
      </c>
      <c r="F147" s="15">
        <f t="shared" si="0"/>
        <v>5714235.9040016541</v>
      </c>
    </row>
    <row r="148" spans="1:11" ht="26.25" customHeight="1">
      <c r="A148" s="11">
        <v>22</v>
      </c>
      <c r="B148" s="224" t="s">
        <v>153</v>
      </c>
      <c r="C148" s="13" t="s">
        <v>17</v>
      </c>
      <c r="D148" s="17">
        <f>+D117*0.4</f>
        <v>192.98400000000001</v>
      </c>
      <c r="E148" s="14">
        <f>+'Redes de Distribución'!G1359</f>
        <v>24500.000015850121</v>
      </c>
      <c r="F148" s="15">
        <f t="shared" si="0"/>
        <v>4728108.00305882</v>
      </c>
      <c r="K148" s="64">
        <f>+F150-K150</f>
        <v>-369673705.99784935</v>
      </c>
    </row>
    <row r="149" spans="1:11" ht="37.950000000000003" customHeight="1">
      <c r="A149" s="51">
        <v>23</v>
      </c>
      <c r="B149" s="261" t="s">
        <v>873</v>
      </c>
      <c r="C149" s="262" t="s">
        <v>28</v>
      </c>
      <c r="D149" s="263">
        <f>+'Cantidades de obra '!D242</f>
        <v>38</v>
      </c>
      <c r="E149" s="264">
        <f>+'Redes de Distribución'!G1403</f>
        <v>19857.82</v>
      </c>
      <c r="F149" s="15">
        <f t="shared" si="0"/>
        <v>754597.16</v>
      </c>
      <c r="K149" s="64"/>
    </row>
    <row r="150" spans="1:11" ht="39" customHeight="1" thickBot="1">
      <c r="A150" s="25"/>
      <c r="B150" s="453" t="s">
        <v>154</v>
      </c>
      <c r="C150" s="454"/>
      <c r="D150" s="454"/>
      <c r="E150" s="455"/>
      <c r="F150" s="265">
        <f>+SUM(F115:F149)</f>
        <v>227232131.66098416</v>
      </c>
      <c r="K150" s="65">
        <v>596905837.6588335</v>
      </c>
    </row>
    <row r="151" spans="1:11" ht="6" customHeight="1">
      <c r="A151" s="66"/>
      <c r="B151" s="67"/>
      <c r="C151" s="67"/>
      <c r="D151" s="67"/>
      <c r="E151" s="67"/>
      <c r="F151" s="68"/>
    </row>
    <row r="152" spans="1:11" ht="24.75" customHeight="1">
      <c r="A152" s="456" t="s">
        <v>155</v>
      </c>
      <c r="B152" s="457"/>
      <c r="C152" s="457"/>
      <c r="D152" s="457"/>
      <c r="E152" s="457"/>
      <c r="F152" s="457"/>
      <c r="K152" s="49">
        <v>894025421.86899984</v>
      </c>
    </row>
    <row r="153" spans="1:11" ht="6" customHeight="1" thickBot="1">
      <c r="A153" s="69"/>
      <c r="B153" s="70"/>
      <c r="C153" s="67"/>
      <c r="D153" s="67"/>
      <c r="E153" s="67"/>
      <c r="F153" s="71"/>
    </row>
    <row r="154" spans="1:11" ht="15" customHeight="1">
      <c r="A154" s="172" t="s">
        <v>8</v>
      </c>
      <c r="B154" s="173" t="s">
        <v>156</v>
      </c>
      <c r="C154" s="174"/>
      <c r="D154" s="175"/>
      <c r="E154" s="175"/>
      <c r="F154" s="176">
        <f>+F25</f>
        <v>14126744.775100958</v>
      </c>
    </row>
    <row r="155" spans="1:11" ht="13.5" customHeight="1">
      <c r="A155" s="177" t="s">
        <v>38</v>
      </c>
      <c r="B155" s="163" t="s">
        <v>157</v>
      </c>
      <c r="C155" s="164"/>
      <c r="D155" s="164"/>
      <c r="E155" s="164"/>
      <c r="F155" s="178">
        <f>F50</f>
        <v>950958.00000892289</v>
      </c>
    </row>
    <row r="156" spans="1:11" ht="12.75" customHeight="1">
      <c r="A156" s="177" t="s">
        <v>68</v>
      </c>
      <c r="B156" s="163" t="s">
        <v>158</v>
      </c>
      <c r="C156" s="164"/>
      <c r="D156" s="164"/>
      <c r="E156" s="164"/>
      <c r="F156" s="179">
        <f>+F112</f>
        <v>63635387.563905977</v>
      </c>
    </row>
    <row r="157" spans="1:11" ht="12.75" customHeight="1">
      <c r="A157" s="177" t="s">
        <v>108</v>
      </c>
      <c r="B157" s="163" t="s">
        <v>159</v>
      </c>
      <c r="C157" s="164"/>
      <c r="D157" s="164"/>
      <c r="E157" s="164"/>
      <c r="F157" s="180">
        <f>+F150</f>
        <v>227232131.66098416</v>
      </c>
      <c r="I157" s="74">
        <f>+F154+F156</f>
        <v>77762132.339006931</v>
      </c>
    </row>
    <row r="158" spans="1:11" ht="12.75" hidden="1" customHeight="1">
      <c r="A158" s="177" t="s">
        <v>160</v>
      </c>
      <c r="B158" s="163" t="s">
        <v>161</v>
      </c>
      <c r="C158" s="164"/>
      <c r="D158" s="164"/>
      <c r="E158" s="164"/>
      <c r="F158" s="180">
        <v>17500000</v>
      </c>
      <c r="I158" s="62">
        <f>+F157</f>
        <v>227232131.66098416</v>
      </c>
    </row>
    <row r="159" spans="1:11" ht="12.75" hidden="1" customHeight="1">
      <c r="A159" s="177"/>
      <c r="B159" s="163" t="s">
        <v>162</v>
      </c>
      <c r="C159" s="164"/>
      <c r="D159" s="165"/>
      <c r="E159" s="164"/>
      <c r="F159" s="179">
        <f>SUM(F154:F158)</f>
        <v>323445222</v>
      </c>
      <c r="I159" s="74">
        <f>+I157+I158</f>
        <v>304994263.99999106</v>
      </c>
    </row>
    <row r="160" spans="1:11" ht="15" hidden="1" customHeight="1">
      <c r="A160" s="181"/>
      <c r="B160" s="166" t="s">
        <v>163</v>
      </c>
      <c r="C160" s="164"/>
      <c r="D160" s="164"/>
      <c r="E160" s="167">
        <v>0.25</v>
      </c>
      <c r="F160" s="179">
        <f>+F159*0.25</f>
        <v>80861305.5</v>
      </c>
    </row>
    <row r="161" spans="1:11" ht="12.75" hidden="1" customHeight="1">
      <c r="A161" s="177"/>
      <c r="B161" s="163" t="s">
        <v>164</v>
      </c>
      <c r="C161" s="164"/>
      <c r="D161" s="164"/>
      <c r="E161" s="167">
        <v>0.05</v>
      </c>
      <c r="F161" s="179">
        <f>+F159*0.05</f>
        <v>16172261.100000001</v>
      </c>
      <c r="I161" s="76"/>
    </row>
    <row r="162" spans="1:11" ht="12.75" hidden="1" customHeight="1">
      <c r="A162" s="177"/>
      <c r="B162" s="163" t="s">
        <v>165</v>
      </c>
      <c r="C162" s="164"/>
      <c r="D162" s="164"/>
      <c r="E162" s="164"/>
      <c r="F162" s="179">
        <f>+F161+F160+F159</f>
        <v>420478788.60000002</v>
      </c>
      <c r="K162" s="76">
        <f>+I162-F162</f>
        <v>-420478788.60000002</v>
      </c>
    </row>
    <row r="163" spans="1:11" ht="5.25" hidden="1" customHeight="1">
      <c r="A163" s="182"/>
      <c r="B163" s="168"/>
      <c r="C163" s="169"/>
      <c r="D163" s="170"/>
      <c r="E163" s="169"/>
      <c r="F163" s="183"/>
    </row>
    <row r="164" spans="1:11" ht="12.75" hidden="1" customHeight="1">
      <c r="A164" s="177"/>
      <c r="B164" s="163" t="s">
        <v>166</v>
      </c>
      <c r="C164" s="164"/>
      <c r="D164" s="165"/>
      <c r="E164" s="171"/>
      <c r="F164" s="184"/>
    </row>
    <row r="165" spans="1:11" ht="12.75" hidden="1" customHeight="1">
      <c r="A165" s="177" t="s">
        <v>167</v>
      </c>
      <c r="B165" s="163" t="s">
        <v>165</v>
      </c>
      <c r="C165" s="164"/>
      <c r="D165" s="165"/>
      <c r="E165" s="171"/>
      <c r="F165" s="180">
        <f>F162</f>
        <v>420478788.60000002</v>
      </c>
    </row>
    <row r="166" spans="1:11" ht="12.75" hidden="1" customHeight="1">
      <c r="A166" s="177" t="s">
        <v>168</v>
      </c>
      <c r="B166" s="163" t="s">
        <v>169</v>
      </c>
      <c r="C166" s="164"/>
      <c r="D166" s="165"/>
      <c r="E166" s="164"/>
      <c r="F166" s="180">
        <f>0.08*F165</f>
        <v>33638303.088</v>
      </c>
    </row>
    <row r="167" spans="1:11" ht="5.25" hidden="1" customHeight="1">
      <c r="A167" s="182"/>
      <c r="B167" s="168"/>
      <c r="C167" s="169"/>
      <c r="D167" s="170"/>
      <c r="E167" s="169"/>
      <c r="F167" s="183"/>
    </row>
    <row r="168" spans="1:11" ht="12.75" hidden="1" customHeight="1">
      <c r="A168" s="177"/>
      <c r="B168" s="163" t="s">
        <v>170</v>
      </c>
      <c r="C168" s="164"/>
      <c r="D168" s="165"/>
      <c r="E168" s="171"/>
      <c r="F168" s="180">
        <f>F165+F166</f>
        <v>454117091.68800002</v>
      </c>
    </row>
    <row r="169" spans="1:11" ht="5.25" hidden="1" customHeight="1">
      <c r="A169" s="182"/>
      <c r="B169" s="168"/>
      <c r="C169" s="169"/>
      <c r="D169" s="170"/>
      <c r="E169" s="169"/>
      <c r="F169" s="185"/>
    </row>
    <row r="170" spans="1:11" ht="12.75" hidden="1" customHeight="1">
      <c r="A170" s="177" t="s">
        <v>171</v>
      </c>
      <c r="B170" s="163" t="s">
        <v>172</v>
      </c>
      <c r="C170" s="164"/>
      <c r="D170" s="165"/>
      <c r="E170" s="164"/>
      <c r="F170" s="180">
        <f>0.01*F168</f>
        <v>4541170.9168800004</v>
      </c>
    </row>
    <row r="171" spans="1:11" ht="6" hidden="1" customHeight="1">
      <c r="A171" s="177"/>
      <c r="B171" s="163"/>
      <c r="C171" s="164"/>
      <c r="D171" s="165"/>
      <c r="E171" s="164"/>
      <c r="F171" s="186"/>
    </row>
    <row r="172" spans="1:11" ht="12.75" hidden="1" customHeight="1">
      <c r="A172" s="177"/>
      <c r="B172" s="163" t="s">
        <v>173</v>
      </c>
      <c r="C172" s="164"/>
      <c r="D172" s="165"/>
      <c r="E172" s="164"/>
      <c r="F172" s="180">
        <f>F168+F170</f>
        <v>458658262.60488003</v>
      </c>
    </row>
    <row r="173" spans="1:11" ht="12.75" customHeight="1" thickBot="1">
      <c r="A173" s="187"/>
      <c r="B173" s="188" t="s">
        <v>845</v>
      </c>
      <c r="C173" s="189"/>
      <c r="D173" s="190"/>
      <c r="E173" s="191"/>
      <c r="F173" s="259">
        <f>+F154+F155+F156+F157</f>
        <v>305945222</v>
      </c>
    </row>
    <row r="174" spans="1:11" ht="12.75" customHeight="1">
      <c r="A174" s="66"/>
      <c r="B174" s="44"/>
      <c r="C174" s="77"/>
      <c r="D174" s="78"/>
      <c r="E174" s="82"/>
      <c r="F174" s="82"/>
    </row>
    <row r="175" spans="1:11" ht="12.75" customHeight="1">
      <c r="A175" s="66"/>
      <c r="B175" s="44"/>
      <c r="C175" s="77"/>
      <c r="D175" s="78"/>
      <c r="E175" s="82"/>
      <c r="F175" s="82"/>
    </row>
    <row r="176" spans="1:11" ht="12.75" hidden="1" customHeight="1">
      <c r="A176" s="66"/>
      <c r="B176" s="44"/>
      <c r="C176" s="77"/>
      <c r="D176" s="78"/>
      <c r="E176" s="82"/>
      <c r="F176" s="82"/>
    </row>
    <row r="177" spans="1:9" ht="12.75" hidden="1" customHeight="1">
      <c r="A177" s="66"/>
      <c r="B177" s="44"/>
      <c r="C177" s="77"/>
      <c r="D177" s="78"/>
      <c r="E177" s="82"/>
      <c r="F177" s="162">
        <f>+F154+F155+F156+F157</f>
        <v>305945222</v>
      </c>
    </row>
    <row r="178" spans="1:9" ht="12.75" hidden="1" customHeight="1">
      <c r="A178" s="66"/>
      <c r="B178" s="44"/>
      <c r="C178" s="77"/>
      <c r="D178" s="78"/>
      <c r="E178" s="82"/>
      <c r="F178" s="82"/>
    </row>
    <row r="179" spans="1:9" ht="12.75" hidden="1" customHeight="1">
      <c r="A179" s="66"/>
      <c r="B179" s="44"/>
      <c r="C179" s="77"/>
      <c r="D179" s="78"/>
      <c r="E179" s="77"/>
      <c r="F179" s="77"/>
    </row>
    <row r="180" spans="1:9" ht="12.75" hidden="1" customHeight="1">
      <c r="A180" s="66"/>
      <c r="B180" s="44"/>
      <c r="C180" s="77"/>
      <c r="D180" s="78"/>
      <c r="E180" s="77"/>
      <c r="F180" s="77"/>
    </row>
    <row r="181" spans="1:9" ht="12.75" hidden="1" customHeight="1">
      <c r="A181" s="66"/>
      <c r="B181" s="44"/>
      <c r="C181" s="77"/>
      <c r="D181" s="78"/>
      <c r="E181" s="77"/>
      <c r="F181" s="77"/>
    </row>
    <row r="182" spans="1:9" ht="12.75" hidden="1" customHeight="1">
      <c r="A182" s="66"/>
      <c r="B182" s="44"/>
      <c r="C182" s="77"/>
      <c r="D182" s="78"/>
      <c r="E182" s="77"/>
      <c r="F182" s="77">
        <v>370768306</v>
      </c>
    </row>
    <row r="183" spans="1:9" ht="12.75" hidden="1" customHeight="1">
      <c r="A183" s="66"/>
      <c r="B183" s="44"/>
      <c r="C183" s="77"/>
      <c r="D183" s="78"/>
      <c r="E183" s="77"/>
      <c r="F183" s="230">
        <f>+F182-F173</f>
        <v>64823084</v>
      </c>
    </row>
    <row r="184" spans="1:9" ht="12.75" hidden="1" customHeight="1">
      <c r="A184" s="66"/>
      <c r="B184" s="44"/>
      <c r="C184" s="77"/>
      <c r="D184" s="78"/>
      <c r="E184" s="77"/>
      <c r="F184" s="228">
        <f>+F183-80000000</f>
        <v>-15176916</v>
      </c>
      <c r="I184" s="192">
        <f>924*10000</f>
        <v>9240000</v>
      </c>
    </row>
    <row r="185" spans="1:9" ht="12.75" hidden="1" customHeight="1">
      <c r="A185" s="66"/>
      <c r="B185" s="44"/>
      <c r="C185" s="77"/>
      <c r="D185" s="78"/>
      <c r="E185" s="77"/>
      <c r="F185" s="77"/>
    </row>
    <row r="186" spans="1:9" ht="12.75" hidden="1" customHeight="1">
      <c r="A186" s="66"/>
      <c r="B186" s="44"/>
      <c r="C186" s="77"/>
      <c r="D186" s="78"/>
      <c r="E186" s="77"/>
      <c r="F186" s="194">
        <f>+F173</f>
        <v>305945222</v>
      </c>
    </row>
    <row r="187" spans="1:9" ht="12.75" hidden="1" customHeight="1">
      <c r="A187" s="66"/>
      <c r="B187" s="44"/>
      <c r="C187" s="77"/>
      <c r="D187" s="78"/>
      <c r="E187" s="82"/>
      <c r="F187" s="77"/>
    </row>
    <row r="188" spans="1:9" ht="12.75" hidden="1" customHeight="1">
      <c r="A188" s="66"/>
      <c r="B188" s="72"/>
      <c r="C188" s="77"/>
      <c r="D188" s="78"/>
      <c r="E188" s="77"/>
      <c r="F188" s="77"/>
    </row>
    <row r="189" spans="1:9" ht="12.75" hidden="1" customHeight="1">
      <c r="A189" s="66"/>
      <c r="B189" s="44"/>
      <c r="C189" s="77"/>
      <c r="D189" s="78"/>
      <c r="E189" s="82"/>
      <c r="F189" s="229">
        <f>+F186+F184</f>
        <v>290768306</v>
      </c>
    </row>
    <row r="190" spans="1:9" ht="12.75" hidden="1" customHeight="1">
      <c r="A190" s="66"/>
      <c r="B190" s="44"/>
      <c r="C190" s="77"/>
      <c r="D190" s="78"/>
      <c r="E190" s="77"/>
      <c r="F190" s="77"/>
    </row>
    <row r="191" spans="1:9" ht="12.75" hidden="1" customHeight="1">
      <c r="A191" s="66"/>
      <c r="B191" s="44"/>
      <c r="C191" s="77"/>
      <c r="D191" s="78"/>
      <c r="E191" s="77"/>
      <c r="F191" s="77"/>
    </row>
    <row r="192" spans="1:9" ht="12.75" hidden="1" customHeight="1">
      <c r="A192" s="66"/>
      <c r="B192" s="44"/>
      <c r="C192" s="77"/>
      <c r="D192" s="78"/>
      <c r="E192" s="82"/>
      <c r="F192" s="194">
        <f>+F189-F173</f>
        <v>-15176916</v>
      </c>
    </row>
    <row r="193" spans="1:6" ht="12.75" hidden="1" customHeight="1">
      <c r="A193" s="66"/>
      <c r="B193" s="44"/>
      <c r="C193" s="77"/>
      <c r="D193" s="78"/>
      <c r="E193" s="77"/>
      <c r="F193" s="82"/>
    </row>
    <row r="194" spans="1:6" ht="12.75" hidden="1" customHeight="1">
      <c r="A194" s="66"/>
      <c r="B194" s="72"/>
      <c r="C194" s="77"/>
      <c r="D194" s="78"/>
      <c r="E194" s="77"/>
      <c r="F194" s="83"/>
    </row>
    <row r="195" spans="1:6" ht="12.75" hidden="1" customHeight="1">
      <c r="A195" s="66"/>
      <c r="B195" s="44"/>
      <c r="C195" s="77"/>
      <c r="D195" s="78"/>
      <c r="E195" s="77"/>
      <c r="F195" s="77"/>
    </row>
    <row r="196" spans="1:6" ht="12.75" hidden="1" customHeight="1">
      <c r="A196" s="66"/>
      <c r="B196" s="44"/>
      <c r="C196" s="77"/>
      <c r="D196" s="78"/>
      <c r="E196" s="77"/>
      <c r="F196" s="302">
        <v>290768305.74304628</v>
      </c>
    </row>
    <row r="197" spans="1:6" ht="12.75" hidden="1" customHeight="1">
      <c r="A197" s="66"/>
      <c r="B197" s="72"/>
      <c r="C197" s="2"/>
      <c r="D197" s="79"/>
      <c r="E197" s="2"/>
      <c r="F197" s="84"/>
    </row>
    <row r="198" spans="1:6" ht="12.75" hidden="1" customHeight="1">
      <c r="A198" s="66"/>
      <c r="B198" s="44"/>
      <c r="C198" s="77"/>
      <c r="D198" s="78"/>
      <c r="E198" s="77"/>
      <c r="F198" s="303">
        <f>+F196-F173</f>
        <v>-15176916.256953716</v>
      </c>
    </row>
    <row r="199" spans="1:6" ht="15" customHeight="1">
      <c r="A199" s="85"/>
      <c r="B199" s="85"/>
      <c r="C199" s="73"/>
      <c r="D199" s="73"/>
      <c r="E199" s="73"/>
      <c r="F199" s="400"/>
    </row>
    <row r="200" spans="1:6" ht="15" customHeight="1">
      <c r="A200" s="85"/>
      <c r="B200" s="85"/>
      <c r="C200" s="73"/>
      <c r="D200" s="73"/>
      <c r="E200" s="73"/>
      <c r="F200" s="73"/>
    </row>
    <row r="201" spans="1:6" ht="15" customHeight="1">
      <c r="A201" s="85"/>
      <c r="B201" s="70"/>
      <c r="C201" s="73"/>
      <c r="D201" s="73"/>
      <c r="E201" s="73"/>
      <c r="F201" s="258"/>
    </row>
    <row r="202" spans="1:6" ht="15" customHeight="1">
      <c r="A202" s="85"/>
      <c r="B202" s="70"/>
      <c r="C202" s="67"/>
      <c r="D202" s="67"/>
      <c r="E202" s="67"/>
      <c r="F202" s="256"/>
    </row>
    <row r="203" spans="1:6" ht="15" customHeight="1">
      <c r="A203" s="86"/>
      <c r="B203" s="72"/>
      <c r="C203" s="2"/>
      <c r="D203" s="73"/>
      <c r="E203" s="73"/>
      <c r="F203" s="257"/>
    </row>
    <row r="204" spans="1:6" ht="12.75" customHeight="1">
      <c r="A204" s="86"/>
      <c r="B204" s="72"/>
      <c r="C204" s="2"/>
      <c r="D204" s="2"/>
      <c r="E204" s="2"/>
      <c r="F204" s="87"/>
    </row>
    <row r="205" spans="1:6" ht="12.75" customHeight="1">
      <c r="A205" s="86"/>
      <c r="B205" s="72"/>
      <c r="C205" s="2"/>
      <c r="D205" s="2"/>
      <c r="E205" s="2"/>
      <c r="F205" s="87"/>
    </row>
    <row r="206" spans="1:6" ht="12.75" customHeight="1">
      <c r="A206" s="86"/>
      <c r="B206" s="72"/>
      <c r="C206" s="2"/>
      <c r="D206" s="2"/>
      <c r="E206" s="2"/>
      <c r="F206" s="87"/>
    </row>
    <row r="207" spans="1:6" ht="12.75" customHeight="1">
      <c r="A207" s="86"/>
      <c r="B207" s="72"/>
      <c r="C207" s="2"/>
      <c r="D207" s="2"/>
      <c r="E207" s="2"/>
      <c r="F207" s="87"/>
    </row>
    <row r="208" spans="1:6" ht="12.75" customHeight="1">
      <c r="A208" s="86"/>
      <c r="B208" s="72"/>
      <c r="C208" s="2"/>
      <c r="D208" s="2"/>
      <c r="E208" s="2"/>
      <c r="F208" s="87"/>
    </row>
    <row r="209" spans="1:6" ht="12.75" customHeight="1">
      <c r="A209" s="86"/>
      <c r="B209" s="72"/>
      <c r="C209" s="2"/>
      <c r="D209" s="2"/>
      <c r="E209" s="2"/>
      <c r="F209" s="87"/>
    </row>
    <row r="210" spans="1:6" ht="12.75" customHeight="1">
      <c r="A210" s="86"/>
      <c r="B210" s="72"/>
      <c r="C210" s="2"/>
      <c r="D210" s="2"/>
      <c r="E210" s="2"/>
      <c r="F210" s="83"/>
    </row>
    <row r="211" spans="1:6" ht="12.75" customHeight="1">
      <c r="A211" s="86"/>
      <c r="B211" s="72"/>
      <c r="C211" s="2"/>
      <c r="D211" s="2"/>
      <c r="E211" s="2"/>
      <c r="F211" s="87"/>
    </row>
    <row r="212" spans="1:6" ht="12.75" customHeight="1">
      <c r="A212" s="86"/>
      <c r="B212" s="72"/>
      <c r="C212" s="2"/>
      <c r="D212" s="79"/>
      <c r="E212" s="2"/>
      <c r="F212" s="87"/>
    </row>
    <row r="213" spans="1:6" ht="12.75" customHeight="1">
      <c r="A213" s="66"/>
      <c r="B213" s="44"/>
      <c r="C213" s="77"/>
      <c r="D213" s="78"/>
      <c r="E213" s="77"/>
      <c r="F213" s="77"/>
    </row>
    <row r="214" spans="1:6" ht="12.75" customHeight="1">
      <c r="A214" s="66"/>
      <c r="B214" s="44"/>
      <c r="C214" s="1"/>
      <c r="D214" s="1"/>
      <c r="E214" s="1"/>
      <c r="F214" s="1"/>
    </row>
    <row r="215" spans="1:6" ht="12.75" customHeight="1">
      <c r="A215" s="88"/>
      <c r="B215" s="88"/>
      <c r="C215" s="89"/>
      <c r="D215" s="89"/>
      <c r="E215" s="89"/>
      <c r="F215" s="89"/>
    </row>
    <row r="216" spans="1:6" ht="12.75" customHeight="1">
      <c r="A216" s="66"/>
      <c r="B216" s="72"/>
      <c r="C216" s="77"/>
      <c r="D216" s="78"/>
      <c r="E216" s="77"/>
      <c r="F216" s="87"/>
    </row>
    <row r="217" spans="1:6" ht="15" customHeight="1">
      <c r="A217" s="85"/>
      <c r="B217" s="70"/>
      <c r="C217" s="2"/>
      <c r="D217" s="2"/>
      <c r="E217" s="75"/>
      <c r="F217" s="87"/>
    </row>
    <row r="218" spans="1:6" ht="12.75" customHeight="1">
      <c r="A218" s="86"/>
      <c r="B218" s="72"/>
      <c r="C218" s="2"/>
      <c r="D218" s="2"/>
      <c r="E218" s="75"/>
      <c r="F218" s="87"/>
    </row>
    <row r="219" spans="1:6" ht="12.75" customHeight="1">
      <c r="A219" s="86"/>
      <c r="B219" s="72"/>
      <c r="C219" s="2"/>
      <c r="D219" s="2"/>
      <c r="E219" s="75"/>
      <c r="F219" s="87"/>
    </row>
    <row r="220" spans="1:6" ht="18.75" customHeight="1">
      <c r="A220" s="86"/>
      <c r="B220" s="72"/>
      <c r="C220" s="2"/>
      <c r="D220" s="2"/>
      <c r="E220" s="2"/>
      <c r="F220" s="87"/>
    </row>
    <row r="221" spans="1:6" ht="12.75" customHeight="1">
      <c r="A221" s="86"/>
      <c r="B221" s="72"/>
      <c r="C221" s="2"/>
      <c r="D221" s="2"/>
      <c r="E221" s="2"/>
      <c r="F221" s="87"/>
    </row>
    <row r="222" spans="1:6" ht="12.75" customHeight="1">
      <c r="A222" s="86"/>
      <c r="B222" s="72"/>
      <c r="C222" s="2"/>
      <c r="D222" s="2"/>
      <c r="E222" s="2"/>
      <c r="F222" s="2"/>
    </row>
    <row r="223" spans="1:6" ht="12.75" customHeight="1">
      <c r="A223" s="86"/>
      <c r="B223" s="72"/>
      <c r="C223" s="2"/>
      <c r="D223" s="2"/>
      <c r="E223" s="2"/>
      <c r="F223" s="87"/>
    </row>
    <row r="224" spans="1:6" ht="12.75" customHeight="1">
      <c r="A224" s="86"/>
      <c r="B224" s="72"/>
      <c r="C224" s="2"/>
      <c r="D224" s="2"/>
      <c r="E224" s="2"/>
      <c r="F224" s="84"/>
    </row>
    <row r="225" spans="1:6" ht="12.75" customHeight="1">
      <c r="A225" s="86"/>
      <c r="B225" s="72"/>
      <c r="C225" s="2"/>
      <c r="D225" s="79"/>
      <c r="E225" s="2"/>
      <c r="F225" s="87"/>
    </row>
    <row r="226" spans="1:6" ht="12.75" customHeight="1">
      <c r="A226" s="66"/>
      <c r="B226" s="44"/>
      <c r="C226" s="77"/>
      <c r="D226" s="78"/>
      <c r="E226" s="77"/>
      <c r="F226" s="77"/>
    </row>
    <row r="227" spans="1:6" ht="12.75" customHeight="1">
      <c r="A227" s="66"/>
      <c r="B227" s="44"/>
      <c r="C227" s="1"/>
      <c r="D227" s="1"/>
      <c r="E227" s="1"/>
      <c r="F227" s="1"/>
    </row>
    <row r="228" spans="1:6" ht="15" customHeight="1">
      <c r="A228" s="90"/>
      <c r="B228" s="72"/>
      <c r="C228" s="91"/>
      <c r="D228" s="91"/>
      <c r="E228" s="91"/>
      <c r="F228" s="91"/>
    </row>
    <row r="229" spans="1:6" ht="15" customHeight="1">
      <c r="A229" s="66"/>
      <c r="B229" s="72"/>
      <c r="C229" s="77"/>
      <c r="D229" s="91"/>
      <c r="E229" s="91"/>
      <c r="F229" s="92"/>
    </row>
    <row r="230" spans="1:6" ht="12.75" customHeight="1">
      <c r="A230" s="66"/>
      <c r="B230" s="44"/>
      <c r="C230" s="77"/>
      <c r="D230" s="77"/>
      <c r="E230" s="77"/>
      <c r="F230" s="92"/>
    </row>
    <row r="231" spans="1:6" ht="12.75" customHeight="1">
      <c r="A231" s="66"/>
      <c r="B231" s="44"/>
      <c r="C231" s="77"/>
      <c r="D231" s="77"/>
      <c r="E231" s="77"/>
      <c r="F231" s="92"/>
    </row>
    <row r="232" spans="1:6" ht="12.75" customHeight="1">
      <c r="A232" s="66"/>
      <c r="B232" s="44"/>
      <c r="C232" s="77"/>
      <c r="D232" s="77"/>
      <c r="E232" s="77"/>
      <c r="F232" s="92"/>
    </row>
    <row r="233" spans="1:6" ht="12.75" customHeight="1">
      <c r="A233" s="66"/>
      <c r="B233" s="44"/>
      <c r="C233" s="77"/>
      <c r="D233" s="77"/>
      <c r="E233" s="77"/>
      <c r="F233" s="77"/>
    </row>
    <row r="234" spans="1:6" ht="12.75" customHeight="1">
      <c r="A234" s="66"/>
      <c r="B234" s="44"/>
      <c r="C234" s="77"/>
      <c r="D234" s="77"/>
      <c r="E234" s="77"/>
      <c r="F234" s="93"/>
    </row>
    <row r="235" spans="1:6" ht="12.75" customHeight="1">
      <c r="A235" s="66"/>
      <c r="B235" s="44"/>
      <c r="C235" s="77"/>
      <c r="D235" s="78"/>
      <c r="E235" s="77"/>
      <c r="F235" s="92"/>
    </row>
    <row r="236" spans="1:6" ht="12.75" customHeight="1">
      <c r="A236" s="66"/>
      <c r="B236" s="44"/>
      <c r="C236" s="77"/>
      <c r="D236" s="78"/>
      <c r="E236" s="77"/>
      <c r="F236" s="77"/>
    </row>
    <row r="237" spans="1:6" ht="12.75" customHeight="1">
      <c r="A237" s="66"/>
      <c r="B237" s="44"/>
      <c r="C237" s="77"/>
      <c r="D237" s="78"/>
      <c r="E237" s="77"/>
      <c r="F237" s="77"/>
    </row>
    <row r="238" spans="1:6" ht="12.75" customHeight="1">
      <c r="A238" s="66"/>
      <c r="B238" s="72"/>
      <c r="C238" s="77"/>
      <c r="D238" s="78"/>
      <c r="E238" s="77"/>
      <c r="F238" s="84"/>
    </row>
    <row r="239" spans="1:6" ht="12.75" customHeight="1">
      <c r="A239" s="66"/>
      <c r="B239" s="44"/>
      <c r="C239" s="77"/>
      <c r="D239" s="78"/>
      <c r="E239" s="77"/>
      <c r="F239" s="77"/>
    </row>
    <row r="240" spans="1:6" ht="12.75" customHeight="1">
      <c r="A240" s="66"/>
      <c r="B240" s="44"/>
      <c r="C240" s="77"/>
      <c r="D240" s="78"/>
      <c r="E240" s="77"/>
      <c r="F240" s="77"/>
    </row>
    <row r="241" spans="1:2" ht="12.75" customHeight="1">
      <c r="A241" s="66"/>
      <c r="B241" s="44"/>
    </row>
    <row r="242" spans="1:2" ht="12.75" customHeight="1">
      <c r="A242" s="66"/>
      <c r="B242" s="44"/>
    </row>
    <row r="243" spans="1:2" ht="12.75" customHeight="1">
      <c r="A243" s="66"/>
      <c r="B243" s="44"/>
    </row>
    <row r="244" spans="1:2" ht="12.75" customHeight="1">
      <c r="A244" s="66"/>
      <c r="B244" s="44"/>
    </row>
    <row r="245" spans="1:2" ht="12.75" customHeight="1">
      <c r="A245" s="66"/>
      <c r="B245" s="44"/>
    </row>
    <row r="246" spans="1:2" ht="12.75" customHeight="1">
      <c r="A246" s="66"/>
      <c r="B246" s="44"/>
    </row>
    <row r="247" spans="1:2" ht="12.75" customHeight="1">
      <c r="A247" s="66"/>
      <c r="B247" s="44"/>
    </row>
    <row r="248" spans="1:2" ht="12.75" customHeight="1">
      <c r="A248" s="66"/>
      <c r="B248" s="44"/>
    </row>
    <row r="249" spans="1:2" ht="12.75" customHeight="1">
      <c r="A249" s="66"/>
      <c r="B249" s="44"/>
    </row>
    <row r="250" spans="1:2" ht="12.75" customHeight="1">
      <c r="A250" s="66"/>
      <c r="B250" s="44"/>
    </row>
    <row r="251" spans="1:2" ht="12.75" customHeight="1">
      <c r="A251" s="66"/>
      <c r="B251" s="44"/>
    </row>
    <row r="252" spans="1:2" ht="12.75" customHeight="1">
      <c r="A252" s="66"/>
      <c r="B252" s="44"/>
    </row>
    <row r="253" spans="1:2" ht="12.75" customHeight="1">
      <c r="A253" s="66"/>
      <c r="B253" s="44"/>
    </row>
    <row r="254" spans="1:2" ht="12.75" customHeight="1">
      <c r="A254" s="66"/>
      <c r="B254" s="44"/>
    </row>
    <row r="255" spans="1:2" ht="12.75" customHeight="1">
      <c r="A255" s="66"/>
      <c r="B255" s="44"/>
    </row>
    <row r="256" spans="1:2" ht="12.75" customHeight="1">
      <c r="A256" s="66"/>
      <c r="B256" s="44"/>
    </row>
    <row r="257" spans="1:2" ht="12.75" customHeight="1">
      <c r="A257" s="66"/>
      <c r="B257" s="44"/>
    </row>
    <row r="258" spans="1:2" ht="12.75" customHeight="1">
      <c r="A258" s="66"/>
      <c r="B258" s="44"/>
    </row>
    <row r="259" spans="1:2" ht="12.75" customHeight="1">
      <c r="A259" s="66"/>
      <c r="B259" s="44"/>
    </row>
    <row r="260" spans="1:2" ht="12.75" customHeight="1">
      <c r="A260" s="66"/>
      <c r="B260" s="44"/>
    </row>
    <row r="261" spans="1:2" ht="12.75" customHeight="1">
      <c r="A261" s="66"/>
      <c r="B261" s="44"/>
    </row>
    <row r="262" spans="1:2" ht="12.75" customHeight="1">
      <c r="A262" s="66"/>
      <c r="B262" s="44"/>
    </row>
    <row r="263" spans="1:2" ht="12.75" customHeight="1">
      <c r="A263" s="66"/>
      <c r="B263" s="44"/>
    </row>
    <row r="264" spans="1:2" ht="12.75" customHeight="1">
      <c r="A264" s="66"/>
      <c r="B264" s="44"/>
    </row>
    <row r="265" spans="1:2" ht="12.75" customHeight="1">
      <c r="A265" s="66"/>
      <c r="B265" s="44"/>
    </row>
    <row r="266" spans="1:2" ht="12.75" customHeight="1">
      <c r="A266" s="66"/>
      <c r="B266" s="44"/>
    </row>
    <row r="267" spans="1:2" ht="12.75" customHeight="1">
      <c r="A267" s="66"/>
      <c r="B267" s="44"/>
    </row>
    <row r="268" spans="1:2" ht="12.75" customHeight="1">
      <c r="A268" s="66"/>
      <c r="B268" s="44"/>
    </row>
    <row r="269" spans="1:2" ht="12.75" customHeight="1">
      <c r="A269" s="66"/>
      <c r="B269" s="44"/>
    </row>
    <row r="270" spans="1:2" ht="12.75" customHeight="1">
      <c r="A270" s="66"/>
      <c r="B270" s="44"/>
    </row>
    <row r="271" spans="1:2" ht="12.75" customHeight="1">
      <c r="A271" s="66"/>
      <c r="B271" s="44"/>
    </row>
    <row r="272" spans="1:2" ht="12.75" customHeight="1">
      <c r="A272" s="66"/>
      <c r="B272" s="44"/>
    </row>
    <row r="273" spans="1:2" ht="12.75" customHeight="1">
      <c r="A273" s="66"/>
      <c r="B273" s="44"/>
    </row>
    <row r="274" spans="1:2" ht="12.75" customHeight="1">
      <c r="A274" s="66"/>
      <c r="B274" s="44"/>
    </row>
    <row r="275" spans="1:2" ht="12.75" customHeight="1">
      <c r="A275" s="66"/>
      <c r="B275" s="44"/>
    </row>
    <row r="276" spans="1:2" ht="12.75" customHeight="1">
      <c r="A276" s="66"/>
      <c r="B276" s="44"/>
    </row>
    <row r="277" spans="1:2" ht="12.75" customHeight="1">
      <c r="A277" s="66"/>
      <c r="B277" s="44"/>
    </row>
    <row r="278" spans="1:2" ht="12.75" customHeight="1">
      <c r="A278" s="66"/>
      <c r="B278" s="44"/>
    </row>
    <row r="279" spans="1:2" ht="12.75" customHeight="1">
      <c r="A279" s="66"/>
      <c r="B279" s="44"/>
    </row>
    <row r="280" spans="1:2" ht="12.75" customHeight="1">
      <c r="A280" s="66"/>
      <c r="B280" s="44"/>
    </row>
    <row r="281" spans="1:2" ht="12.75" customHeight="1">
      <c r="A281" s="66"/>
      <c r="B281" s="44"/>
    </row>
    <row r="282" spans="1:2" ht="12.75" customHeight="1">
      <c r="A282" s="66"/>
      <c r="B282" s="44"/>
    </row>
    <row r="283" spans="1:2" ht="12.75" customHeight="1">
      <c r="A283" s="66"/>
      <c r="B283" s="44"/>
    </row>
    <row r="284" spans="1:2" ht="12.75" customHeight="1">
      <c r="A284" s="66"/>
      <c r="B284" s="44"/>
    </row>
    <row r="285" spans="1:2" ht="12.75" customHeight="1">
      <c r="A285" s="66"/>
      <c r="B285" s="44"/>
    </row>
    <row r="286" spans="1:2" ht="12.75" customHeight="1">
      <c r="A286" s="66"/>
      <c r="B286" s="44"/>
    </row>
    <row r="287" spans="1:2" ht="12.75" customHeight="1">
      <c r="A287" s="66"/>
      <c r="B287" s="44"/>
    </row>
    <row r="288" spans="1:2" ht="12.75" customHeight="1">
      <c r="A288" s="66"/>
      <c r="B288" s="44"/>
    </row>
    <row r="289" spans="1:2" ht="12.75" customHeight="1">
      <c r="A289" s="66"/>
      <c r="B289" s="44"/>
    </row>
    <row r="290" spans="1:2" ht="12.75" customHeight="1">
      <c r="A290" s="66"/>
      <c r="B290" s="44"/>
    </row>
    <row r="291" spans="1:2" ht="12.75" customHeight="1">
      <c r="A291" s="66"/>
      <c r="B291" s="44"/>
    </row>
    <row r="292" spans="1:2" ht="12.75" customHeight="1">
      <c r="A292" s="66"/>
      <c r="B292" s="44"/>
    </row>
    <row r="293" spans="1:2" ht="12.75" customHeight="1">
      <c r="A293" s="66"/>
      <c r="B293" s="44"/>
    </row>
    <row r="294" spans="1:2" ht="12.75" customHeight="1">
      <c r="A294" s="66"/>
      <c r="B294" s="44"/>
    </row>
    <row r="295" spans="1:2" ht="12.75" customHeight="1">
      <c r="A295" s="66"/>
      <c r="B295" s="44"/>
    </row>
    <row r="296" spans="1:2" ht="12.75" customHeight="1">
      <c r="A296" s="66"/>
      <c r="B296" s="44"/>
    </row>
    <row r="297" spans="1:2" ht="12.75" customHeight="1">
      <c r="A297" s="66"/>
      <c r="B297" s="44"/>
    </row>
    <row r="298" spans="1:2" ht="12.75" customHeight="1">
      <c r="A298" s="66"/>
      <c r="B298" s="44"/>
    </row>
    <row r="299" spans="1:2" ht="12.75" customHeight="1">
      <c r="A299" s="66"/>
      <c r="B299" s="44"/>
    </row>
    <row r="300" spans="1:2" ht="12.75" customHeight="1">
      <c r="A300" s="66"/>
      <c r="B300" s="44"/>
    </row>
    <row r="301" spans="1:2" ht="12.75" customHeight="1">
      <c r="A301" s="66"/>
      <c r="B301" s="44"/>
    </row>
    <row r="302" spans="1:2" ht="12.75" customHeight="1">
      <c r="A302" s="66"/>
      <c r="B302" s="44"/>
    </row>
    <row r="303" spans="1:2" ht="12.75" customHeight="1">
      <c r="A303" s="66"/>
      <c r="B303" s="44"/>
    </row>
    <row r="304" spans="1:2" ht="12.75" customHeight="1">
      <c r="A304" s="66"/>
      <c r="B304" s="44"/>
    </row>
    <row r="305" spans="1:2" ht="12.75" customHeight="1">
      <c r="A305" s="66"/>
      <c r="B305" s="44"/>
    </row>
    <row r="306" spans="1:2" ht="12.75" customHeight="1">
      <c r="A306" s="66"/>
      <c r="B306" s="44"/>
    </row>
    <row r="307" spans="1:2" ht="12.75" customHeight="1">
      <c r="A307" s="66"/>
      <c r="B307" s="44"/>
    </row>
    <row r="308" spans="1:2" ht="12.75" customHeight="1">
      <c r="A308" s="66"/>
      <c r="B308" s="44"/>
    </row>
    <row r="309" spans="1:2" ht="12.75" customHeight="1">
      <c r="A309" s="66"/>
      <c r="B309" s="44"/>
    </row>
    <row r="310" spans="1:2" ht="12.75" customHeight="1">
      <c r="A310" s="66"/>
      <c r="B310" s="44"/>
    </row>
    <row r="311" spans="1:2" ht="12.75" customHeight="1">
      <c r="A311" s="66"/>
      <c r="B311" s="44"/>
    </row>
    <row r="312" spans="1:2" ht="12.75" customHeight="1">
      <c r="A312" s="66"/>
      <c r="B312" s="44"/>
    </row>
    <row r="313" spans="1:2" ht="12.75" customHeight="1">
      <c r="A313" s="66"/>
      <c r="B313" s="44"/>
    </row>
    <row r="314" spans="1:2" ht="12.75" customHeight="1">
      <c r="A314" s="66"/>
      <c r="B314" s="44"/>
    </row>
    <row r="315" spans="1:2" ht="12.75" customHeight="1">
      <c r="A315" s="66"/>
      <c r="B315" s="44"/>
    </row>
    <row r="316" spans="1:2" ht="12.75" customHeight="1">
      <c r="A316" s="66"/>
      <c r="B316" s="44"/>
    </row>
    <row r="317" spans="1:2" ht="12.75" customHeight="1">
      <c r="A317" s="66"/>
      <c r="B317" s="44"/>
    </row>
    <row r="318" spans="1:2" ht="12.75" customHeight="1">
      <c r="A318" s="66"/>
      <c r="B318" s="44"/>
    </row>
    <row r="319" spans="1:2" ht="12.75" customHeight="1">
      <c r="A319" s="66"/>
      <c r="B319" s="44"/>
    </row>
    <row r="320" spans="1:2" ht="12.75" customHeight="1">
      <c r="A320" s="66"/>
      <c r="B320" s="44"/>
    </row>
    <row r="321" spans="1:2" ht="12.75" customHeight="1">
      <c r="A321" s="66"/>
      <c r="B321" s="44"/>
    </row>
    <row r="322" spans="1:2" ht="12.75" customHeight="1">
      <c r="A322" s="66"/>
      <c r="B322" s="44"/>
    </row>
    <row r="323" spans="1:2" ht="12.75" customHeight="1">
      <c r="A323" s="66"/>
      <c r="B323" s="44"/>
    </row>
    <row r="324" spans="1:2" ht="12.75" customHeight="1">
      <c r="A324" s="66"/>
      <c r="B324" s="44"/>
    </row>
    <row r="325" spans="1:2" ht="12.75" customHeight="1">
      <c r="A325" s="66"/>
      <c r="B325" s="44"/>
    </row>
    <row r="326" spans="1:2" ht="12.75" customHeight="1">
      <c r="A326" s="66"/>
      <c r="B326" s="44"/>
    </row>
    <row r="327" spans="1:2" ht="12.75" customHeight="1">
      <c r="A327" s="66"/>
      <c r="B327" s="44"/>
    </row>
    <row r="328" spans="1:2" ht="12.75" customHeight="1">
      <c r="A328" s="66"/>
      <c r="B328" s="44"/>
    </row>
    <row r="329" spans="1:2" ht="12.75" customHeight="1">
      <c r="A329" s="66"/>
      <c r="B329" s="44"/>
    </row>
    <row r="330" spans="1:2" ht="12.75" customHeight="1">
      <c r="A330" s="66"/>
      <c r="B330" s="44"/>
    </row>
    <row r="331" spans="1:2" ht="12.75" customHeight="1">
      <c r="A331" s="66"/>
      <c r="B331" s="44"/>
    </row>
    <row r="332" spans="1:2" ht="12.75" customHeight="1">
      <c r="A332" s="66"/>
      <c r="B332" s="44"/>
    </row>
    <row r="333" spans="1:2" ht="12.75" customHeight="1">
      <c r="A333" s="66"/>
      <c r="B333" s="44"/>
    </row>
    <row r="334" spans="1:2" ht="12.75" customHeight="1">
      <c r="A334" s="66"/>
      <c r="B334" s="44"/>
    </row>
    <row r="335" spans="1:2" ht="12.75" customHeight="1">
      <c r="A335" s="66"/>
      <c r="B335" s="44"/>
    </row>
    <row r="336" spans="1:2" ht="12.75" customHeight="1">
      <c r="A336" s="66"/>
      <c r="B336" s="44"/>
    </row>
    <row r="337" spans="1:2" ht="12.75" customHeight="1">
      <c r="A337" s="66"/>
      <c r="B337" s="44"/>
    </row>
    <row r="338" spans="1:2" ht="12.75" customHeight="1">
      <c r="A338" s="66"/>
      <c r="B338" s="44"/>
    </row>
    <row r="339" spans="1:2" ht="12.75" customHeight="1">
      <c r="A339" s="66"/>
      <c r="B339" s="44"/>
    </row>
    <row r="340" spans="1:2" ht="12.75" customHeight="1">
      <c r="A340" s="66"/>
      <c r="B340" s="44"/>
    </row>
    <row r="341" spans="1:2" ht="12.75" customHeight="1">
      <c r="A341" s="66"/>
      <c r="B341" s="44"/>
    </row>
    <row r="342" spans="1:2" ht="12.75" customHeight="1">
      <c r="A342" s="66"/>
      <c r="B342" s="44"/>
    </row>
    <row r="343" spans="1:2" ht="12.75" customHeight="1">
      <c r="A343" s="66"/>
      <c r="B343" s="44"/>
    </row>
    <row r="344" spans="1:2" ht="12.75" customHeight="1">
      <c r="A344" s="66"/>
      <c r="B344" s="44"/>
    </row>
    <row r="345" spans="1:2" ht="12.75" customHeight="1">
      <c r="A345" s="66"/>
      <c r="B345" s="44"/>
    </row>
    <row r="346" spans="1:2" ht="12.75" customHeight="1">
      <c r="A346" s="66"/>
      <c r="B346" s="44"/>
    </row>
    <row r="347" spans="1:2" ht="12.75" customHeight="1">
      <c r="A347" s="66"/>
      <c r="B347" s="44"/>
    </row>
    <row r="348" spans="1:2" ht="12.75" customHeight="1">
      <c r="A348" s="66"/>
      <c r="B348" s="44"/>
    </row>
    <row r="349" spans="1:2" ht="12.75" customHeight="1">
      <c r="A349" s="66"/>
      <c r="B349" s="44"/>
    </row>
    <row r="350" spans="1:2" ht="12.75" customHeight="1">
      <c r="A350" s="66"/>
      <c r="B350" s="44"/>
    </row>
    <row r="351" spans="1:2" ht="12.75" customHeight="1">
      <c r="A351" s="66"/>
      <c r="B351" s="44"/>
    </row>
    <row r="352" spans="1:2" ht="12.75" customHeight="1">
      <c r="A352" s="66"/>
      <c r="B352" s="44"/>
    </row>
    <row r="353" spans="1:2" ht="12.75" customHeight="1">
      <c r="A353" s="66"/>
      <c r="B353" s="44"/>
    </row>
    <row r="354" spans="1:2" ht="12.75" customHeight="1">
      <c r="A354" s="66"/>
      <c r="B354" s="44"/>
    </row>
    <row r="355" spans="1:2" ht="12.75" customHeight="1">
      <c r="A355" s="66"/>
      <c r="B355" s="44"/>
    </row>
    <row r="356" spans="1:2" ht="12.75" customHeight="1">
      <c r="A356" s="66"/>
      <c r="B356" s="44"/>
    </row>
    <row r="357" spans="1:2" ht="12.75" customHeight="1">
      <c r="A357" s="66"/>
      <c r="B357" s="44"/>
    </row>
    <row r="358" spans="1:2" ht="12.75" customHeight="1">
      <c r="A358" s="66"/>
      <c r="B358" s="44"/>
    </row>
    <row r="359" spans="1:2" ht="12.75" customHeight="1">
      <c r="A359" s="66"/>
      <c r="B359" s="44"/>
    </row>
    <row r="360" spans="1:2" ht="12.75" customHeight="1">
      <c r="A360" s="66"/>
      <c r="B360" s="44"/>
    </row>
    <row r="361" spans="1:2" ht="12.75" customHeight="1">
      <c r="A361" s="66"/>
      <c r="B361" s="44"/>
    </row>
    <row r="362" spans="1:2" ht="12.75" customHeight="1">
      <c r="A362" s="66"/>
      <c r="B362" s="44"/>
    </row>
    <row r="363" spans="1:2" ht="12.75" customHeight="1">
      <c r="A363" s="66"/>
      <c r="B363" s="44"/>
    </row>
    <row r="364" spans="1:2" ht="12.75" customHeight="1">
      <c r="A364" s="66"/>
      <c r="B364" s="44"/>
    </row>
    <row r="365" spans="1:2" ht="12.75" customHeight="1">
      <c r="A365" s="66"/>
      <c r="B365" s="44"/>
    </row>
    <row r="366" spans="1:2" ht="12.75" customHeight="1">
      <c r="A366" s="66"/>
      <c r="B366" s="44"/>
    </row>
    <row r="367" spans="1:2" ht="12.75" customHeight="1">
      <c r="A367" s="66"/>
      <c r="B367" s="44"/>
    </row>
    <row r="368" spans="1:2" ht="12.75" customHeight="1">
      <c r="A368" s="66"/>
      <c r="B368" s="44"/>
    </row>
    <row r="369" spans="1:2" ht="12.75" customHeight="1">
      <c r="A369" s="66"/>
      <c r="B369" s="44"/>
    </row>
    <row r="370" spans="1:2" ht="12.75" customHeight="1">
      <c r="A370" s="66"/>
      <c r="B370" s="44"/>
    </row>
    <row r="371" spans="1:2" ht="12.75" customHeight="1">
      <c r="A371" s="66"/>
      <c r="B371" s="44"/>
    </row>
    <row r="372" spans="1:2" ht="12.75" customHeight="1">
      <c r="A372" s="66"/>
      <c r="B372" s="44"/>
    </row>
    <row r="373" spans="1:2" ht="12.75" customHeight="1">
      <c r="A373" s="66"/>
      <c r="B373" s="44"/>
    </row>
    <row r="374" spans="1:2" ht="12.75" customHeight="1">
      <c r="A374" s="66"/>
      <c r="B374" s="44"/>
    </row>
    <row r="375" spans="1:2" ht="12.75" customHeight="1">
      <c r="A375" s="66"/>
      <c r="B375" s="44"/>
    </row>
    <row r="376" spans="1:2" ht="12.75" customHeight="1">
      <c r="A376" s="66"/>
      <c r="B376" s="44"/>
    </row>
    <row r="377" spans="1:2" ht="12.75" customHeight="1">
      <c r="A377" s="66"/>
      <c r="B377" s="44"/>
    </row>
    <row r="378" spans="1:2" ht="12.75" customHeight="1">
      <c r="A378" s="66"/>
      <c r="B378" s="44"/>
    </row>
    <row r="379" spans="1:2" ht="12.75" customHeight="1">
      <c r="A379" s="66"/>
      <c r="B379" s="44"/>
    </row>
    <row r="380" spans="1:2" ht="12.75" customHeight="1">
      <c r="A380" s="66"/>
      <c r="B380" s="44"/>
    </row>
    <row r="381" spans="1:2" ht="12.75" customHeight="1">
      <c r="A381" s="66"/>
      <c r="B381" s="44"/>
    </row>
    <row r="382" spans="1:2" ht="12.75" customHeight="1">
      <c r="A382" s="66"/>
      <c r="B382" s="44"/>
    </row>
    <row r="383" spans="1:2" ht="12.75" customHeight="1">
      <c r="A383" s="66"/>
      <c r="B383" s="44"/>
    </row>
    <row r="384" spans="1:2" ht="12.75" customHeight="1">
      <c r="A384" s="66"/>
      <c r="B384" s="44"/>
    </row>
    <row r="385" spans="1:2" ht="12.75" customHeight="1">
      <c r="A385" s="66"/>
      <c r="B385" s="44"/>
    </row>
    <row r="386" spans="1:2" ht="12.75" customHeight="1">
      <c r="A386" s="66"/>
      <c r="B386" s="44"/>
    </row>
    <row r="387" spans="1:2" ht="12.75" customHeight="1">
      <c r="A387" s="66"/>
      <c r="B387" s="44"/>
    </row>
    <row r="388" spans="1:2" ht="12.75" customHeight="1">
      <c r="A388" s="66"/>
      <c r="B388" s="44"/>
    </row>
    <row r="389" spans="1:2" ht="12.75" customHeight="1">
      <c r="A389" s="66"/>
      <c r="B389" s="44"/>
    </row>
    <row r="390" spans="1:2" ht="12.75" customHeight="1">
      <c r="A390" s="66"/>
      <c r="B390" s="44"/>
    </row>
    <row r="391" spans="1:2" ht="12.75" customHeight="1">
      <c r="A391" s="66"/>
      <c r="B391" s="44"/>
    </row>
    <row r="392" spans="1:2" ht="12.75" customHeight="1">
      <c r="A392" s="66"/>
      <c r="B392" s="44"/>
    </row>
    <row r="393" spans="1:2" ht="12.75" customHeight="1">
      <c r="A393" s="66"/>
      <c r="B393" s="44"/>
    </row>
    <row r="394" spans="1:2" ht="12.75" customHeight="1">
      <c r="A394" s="66"/>
      <c r="B394" s="44"/>
    </row>
    <row r="395" spans="1:2" ht="12.75" customHeight="1">
      <c r="A395" s="66"/>
      <c r="B395" s="44"/>
    </row>
    <row r="396" spans="1:2" ht="12.75" customHeight="1">
      <c r="A396" s="66"/>
      <c r="B396" s="44"/>
    </row>
    <row r="397" spans="1:2" ht="12.75" customHeight="1">
      <c r="A397" s="66"/>
      <c r="B397" s="44"/>
    </row>
    <row r="398" spans="1:2" ht="12.75" customHeight="1">
      <c r="A398" s="66"/>
      <c r="B398" s="44"/>
    </row>
    <row r="399" spans="1:2" ht="12.75" customHeight="1">
      <c r="A399" s="66"/>
      <c r="B399" s="44"/>
    </row>
    <row r="400" spans="1:2" ht="12.75" customHeight="1">
      <c r="A400" s="66"/>
      <c r="B400" s="44"/>
    </row>
    <row r="401" spans="1:2" ht="12.75" customHeight="1">
      <c r="A401" s="66"/>
      <c r="B401" s="44"/>
    </row>
    <row r="402" spans="1:2" ht="12.75" customHeight="1">
      <c r="A402" s="66"/>
      <c r="B402" s="44"/>
    </row>
    <row r="403" spans="1:2" ht="12.75" customHeight="1">
      <c r="A403" s="66"/>
      <c r="B403" s="44"/>
    </row>
    <row r="404" spans="1:2" ht="12.75" customHeight="1">
      <c r="A404" s="66"/>
      <c r="B404" s="44"/>
    </row>
    <row r="405" spans="1:2" ht="12.75" customHeight="1">
      <c r="A405" s="66"/>
      <c r="B405" s="44"/>
    </row>
    <row r="406" spans="1:2" ht="12.75" customHeight="1">
      <c r="A406" s="66"/>
      <c r="B406" s="44"/>
    </row>
    <row r="407" spans="1:2" ht="12.75" customHeight="1">
      <c r="A407" s="66"/>
      <c r="B407" s="44"/>
    </row>
    <row r="408" spans="1:2" ht="12.75" customHeight="1">
      <c r="A408" s="66"/>
      <c r="B408" s="44"/>
    </row>
    <row r="409" spans="1:2" ht="12.75" customHeight="1">
      <c r="A409" s="66"/>
      <c r="B409" s="44"/>
    </row>
    <row r="410" spans="1:2" ht="12.75" customHeight="1">
      <c r="A410" s="66"/>
      <c r="B410" s="44"/>
    </row>
    <row r="411" spans="1:2" ht="12.75" customHeight="1">
      <c r="A411" s="66"/>
      <c r="B411" s="44"/>
    </row>
    <row r="412" spans="1:2" ht="12.75" customHeight="1">
      <c r="A412" s="66"/>
      <c r="B412" s="44"/>
    </row>
    <row r="413" spans="1:2" ht="12.75" customHeight="1">
      <c r="A413" s="66"/>
      <c r="B413" s="44"/>
    </row>
    <row r="414" spans="1:2" ht="12.75" customHeight="1">
      <c r="A414" s="66"/>
      <c r="B414" s="44"/>
    </row>
    <row r="415" spans="1:2" ht="12.75" customHeight="1">
      <c r="A415" s="66"/>
      <c r="B415" s="44"/>
    </row>
    <row r="416" spans="1:2" ht="12.75" customHeight="1">
      <c r="A416" s="66"/>
      <c r="B416" s="44"/>
    </row>
    <row r="417" spans="1:2" ht="12.75" customHeight="1">
      <c r="A417" s="66"/>
      <c r="B417" s="44"/>
    </row>
    <row r="418" spans="1:2" ht="12.75" customHeight="1">
      <c r="A418" s="66"/>
      <c r="B418" s="44"/>
    </row>
    <row r="419" spans="1:2" ht="12.75" customHeight="1">
      <c r="A419" s="66"/>
      <c r="B419" s="44"/>
    </row>
    <row r="420" spans="1:2" ht="12.75" customHeight="1">
      <c r="A420" s="66"/>
      <c r="B420" s="44"/>
    </row>
    <row r="421" spans="1:2" ht="12.75" customHeight="1">
      <c r="A421" s="66"/>
      <c r="B421" s="44"/>
    </row>
    <row r="422" spans="1:2" ht="12.75" customHeight="1">
      <c r="A422" s="66"/>
      <c r="B422" s="44"/>
    </row>
    <row r="423" spans="1:2" ht="12.75" customHeight="1">
      <c r="A423" s="66"/>
      <c r="B423" s="44"/>
    </row>
    <row r="424" spans="1:2" ht="12.75" customHeight="1">
      <c r="A424" s="66"/>
      <c r="B424" s="44"/>
    </row>
    <row r="425" spans="1:2" ht="12.75" customHeight="1">
      <c r="A425" s="66"/>
      <c r="B425" s="44"/>
    </row>
    <row r="426" spans="1:2" ht="12.75" customHeight="1">
      <c r="A426" s="66"/>
      <c r="B426" s="44"/>
    </row>
    <row r="427" spans="1:2" ht="12.75" customHeight="1">
      <c r="A427" s="66"/>
      <c r="B427" s="44"/>
    </row>
    <row r="428" spans="1:2" ht="12.75" customHeight="1">
      <c r="A428" s="66"/>
      <c r="B428" s="44"/>
    </row>
    <row r="429" spans="1:2" ht="12.75" customHeight="1">
      <c r="A429" s="66"/>
      <c r="B429" s="44"/>
    </row>
    <row r="430" spans="1:2" ht="12.75" customHeight="1">
      <c r="A430" s="66"/>
      <c r="B430" s="44"/>
    </row>
    <row r="431" spans="1:2" ht="12.75" customHeight="1">
      <c r="A431" s="66"/>
      <c r="B431" s="44"/>
    </row>
    <row r="432" spans="1:2" ht="12.75" customHeight="1">
      <c r="A432" s="66"/>
      <c r="B432" s="44"/>
    </row>
    <row r="433" spans="1:2" ht="12.75" customHeight="1">
      <c r="A433" s="66"/>
      <c r="B433" s="44"/>
    </row>
    <row r="434" spans="1:2" ht="12.75" customHeight="1">
      <c r="A434" s="66"/>
      <c r="B434" s="44"/>
    </row>
    <row r="435" spans="1:2" ht="12.75" customHeight="1">
      <c r="A435" s="66"/>
      <c r="B435" s="44"/>
    </row>
    <row r="436" spans="1:2" ht="12.75" customHeight="1">
      <c r="A436" s="66"/>
      <c r="B436" s="44"/>
    </row>
    <row r="437" spans="1:2" ht="12.75" customHeight="1">
      <c r="A437" s="66"/>
      <c r="B437" s="44"/>
    </row>
    <row r="438" spans="1:2" ht="12.75" customHeight="1">
      <c r="A438" s="66"/>
      <c r="B438" s="44"/>
    </row>
    <row r="439" spans="1:2" ht="12.75" customHeight="1">
      <c r="A439" s="66"/>
      <c r="B439" s="44"/>
    </row>
    <row r="440" spans="1:2" ht="12.75" customHeight="1">
      <c r="A440" s="66"/>
      <c r="B440" s="44"/>
    </row>
    <row r="441" spans="1:2" ht="12.75" customHeight="1">
      <c r="A441" s="66"/>
      <c r="B441" s="44"/>
    </row>
    <row r="442" spans="1:2" ht="12.75" customHeight="1">
      <c r="A442" s="66"/>
      <c r="B442" s="44"/>
    </row>
    <row r="443" spans="1:2" ht="12.75" customHeight="1">
      <c r="A443" s="66"/>
      <c r="B443" s="44"/>
    </row>
    <row r="444" spans="1:2" ht="12.75" customHeight="1">
      <c r="A444" s="66"/>
      <c r="B444" s="44"/>
    </row>
    <row r="445" spans="1:2" ht="12.75" customHeight="1">
      <c r="A445" s="66"/>
      <c r="B445" s="44"/>
    </row>
    <row r="446" spans="1:2" ht="12.75" customHeight="1">
      <c r="A446" s="66"/>
      <c r="B446" s="44"/>
    </row>
    <row r="447" spans="1:2" ht="12.75" customHeight="1">
      <c r="A447" s="66"/>
      <c r="B447" s="44"/>
    </row>
    <row r="448" spans="1:2" ht="12.75" customHeight="1">
      <c r="A448" s="66"/>
      <c r="B448" s="44"/>
    </row>
    <row r="449" spans="1:2" ht="12.75" customHeight="1">
      <c r="A449" s="66"/>
      <c r="B449" s="44"/>
    </row>
    <row r="450" spans="1:2" ht="12.75" customHeight="1">
      <c r="A450" s="66"/>
      <c r="B450" s="44"/>
    </row>
    <row r="451" spans="1:2" ht="12.75" customHeight="1">
      <c r="A451" s="66"/>
      <c r="B451" s="44"/>
    </row>
    <row r="452" spans="1:2" ht="12.75" customHeight="1">
      <c r="A452" s="66"/>
      <c r="B452" s="44"/>
    </row>
    <row r="453" spans="1:2" ht="12.75" customHeight="1">
      <c r="A453" s="66"/>
      <c r="B453" s="44"/>
    </row>
    <row r="454" spans="1:2" ht="12.75" customHeight="1">
      <c r="A454" s="66"/>
      <c r="B454" s="44"/>
    </row>
    <row r="455" spans="1:2" ht="12.75" customHeight="1">
      <c r="A455" s="66"/>
      <c r="B455" s="44"/>
    </row>
    <row r="456" spans="1:2" ht="12.75" customHeight="1">
      <c r="A456" s="66"/>
      <c r="B456" s="44"/>
    </row>
    <row r="457" spans="1:2" ht="12.75" customHeight="1">
      <c r="A457" s="66"/>
      <c r="B457" s="44"/>
    </row>
    <row r="458" spans="1:2" ht="12.75" customHeight="1">
      <c r="A458" s="66"/>
      <c r="B458" s="44"/>
    </row>
    <row r="459" spans="1:2" ht="12.75" customHeight="1">
      <c r="A459" s="66"/>
      <c r="B459" s="44"/>
    </row>
    <row r="460" spans="1:2" ht="12.75" customHeight="1">
      <c r="A460" s="66"/>
      <c r="B460" s="44"/>
    </row>
    <row r="461" spans="1:2" ht="12.75" customHeight="1">
      <c r="A461" s="66"/>
      <c r="B461" s="44"/>
    </row>
    <row r="462" spans="1:2" ht="12.75" customHeight="1">
      <c r="A462" s="66"/>
      <c r="B462" s="44"/>
    </row>
    <row r="463" spans="1:2" ht="12.75" customHeight="1">
      <c r="A463" s="66"/>
      <c r="B463" s="44"/>
    </row>
    <row r="464" spans="1:2" ht="12.75" customHeight="1">
      <c r="A464" s="66"/>
      <c r="B464" s="44"/>
    </row>
    <row r="465" spans="1:2" ht="12.75" customHeight="1">
      <c r="A465" s="66"/>
      <c r="B465" s="44"/>
    </row>
    <row r="466" spans="1:2" ht="12.75" customHeight="1">
      <c r="A466" s="66"/>
      <c r="B466" s="44"/>
    </row>
    <row r="467" spans="1:2" ht="12.75" customHeight="1">
      <c r="A467" s="66"/>
      <c r="B467" s="44"/>
    </row>
    <row r="468" spans="1:2" ht="12.75" customHeight="1">
      <c r="A468" s="66"/>
      <c r="B468" s="44"/>
    </row>
    <row r="469" spans="1:2" ht="12.75" customHeight="1">
      <c r="A469" s="66"/>
      <c r="B469" s="44"/>
    </row>
    <row r="470" spans="1:2" ht="12.75" customHeight="1">
      <c r="A470" s="66"/>
      <c r="B470" s="44"/>
    </row>
    <row r="471" spans="1:2" ht="12.75" customHeight="1">
      <c r="A471" s="66"/>
      <c r="B471" s="44"/>
    </row>
    <row r="472" spans="1:2" ht="12.75" customHeight="1">
      <c r="A472" s="66"/>
      <c r="B472" s="44"/>
    </row>
    <row r="473" spans="1:2" ht="12.75" customHeight="1">
      <c r="A473" s="66"/>
      <c r="B473" s="44"/>
    </row>
    <row r="474" spans="1:2" ht="12.75" customHeight="1">
      <c r="A474" s="66"/>
      <c r="B474" s="44"/>
    </row>
    <row r="475" spans="1:2" ht="12.75" customHeight="1">
      <c r="A475" s="66"/>
      <c r="B475" s="44"/>
    </row>
    <row r="476" spans="1:2" ht="12.75" customHeight="1">
      <c r="A476" s="66"/>
      <c r="B476" s="44"/>
    </row>
    <row r="477" spans="1:2" ht="12.75" customHeight="1">
      <c r="A477" s="66"/>
      <c r="B477" s="44"/>
    </row>
    <row r="478" spans="1:2" ht="12.75" customHeight="1">
      <c r="A478" s="66"/>
      <c r="B478" s="44"/>
    </row>
    <row r="479" spans="1:2" ht="12.75" customHeight="1">
      <c r="A479" s="66"/>
      <c r="B479" s="44"/>
    </row>
    <row r="480" spans="1:2" ht="12.75" customHeight="1">
      <c r="A480" s="66"/>
      <c r="B480" s="44"/>
    </row>
    <row r="481" spans="1:2" ht="12.75" customHeight="1">
      <c r="A481" s="66"/>
      <c r="B481" s="44"/>
    </row>
    <row r="482" spans="1:2" ht="12.75" customHeight="1">
      <c r="A482" s="66"/>
      <c r="B482" s="44"/>
    </row>
    <row r="483" spans="1:2" ht="12.75" customHeight="1">
      <c r="A483" s="66"/>
      <c r="B483" s="44"/>
    </row>
    <row r="484" spans="1:2" ht="12.75" customHeight="1">
      <c r="A484" s="66"/>
      <c r="B484" s="44"/>
    </row>
    <row r="485" spans="1:2" ht="12.75" customHeight="1">
      <c r="A485" s="66"/>
      <c r="B485" s="44"/>
    </row>
    <row r="486" spans="1:2" ht="12.75" customHeight="1">
      <c r="A486" s="66"/>
      <c r="B486" s="44"/>
    </row>
    <row r="487" spans="1:2" ht="12.75" customHeight="1">
      <c r="A487" s="66"/>
      <c r="B487" s="44"/>
    </row>
    <row r="488" spans="1:2" ht="12.75" customHeight="1">
      <c r="A488" s="66"/>
      <c r="B488" s="44"/>
    </row>
    <row r="489" spans="1:2" ht="12.75" customHeight="1">
      <c r="A489" s="66"/>
      <c r="B489" s="44"/>
    </row>
    <row r="490" spans="1:2" ht="12.75" customHeight="1">
      <c r="A490" s="66"/>
      <c r="B490" s="44"/>
    </row>
    <row r="491" spans="1:2" ht="12.75" customHeight="1">
      <c r="A491" s="66"/>
      <c r="B491" s="44"/>
    </row>
    <row r="492" spans="1:2" ht="12.75" customHeight="1">
      <c r="A492" s="66"/>
      <c r="B492" s="44"/>
    </row>
    <row r="493" spans="1:2" ht="12.75" customHeight="1">
      <c r="A493" s="66"/>
      <c r="B493" s="44"/>
    </row>
    <row r="494" spans="1:2" ht="12.75" customHeight="1">
      <c r="A494" s="66"/>
      <c r="B494" s="44"/>
    </row>
    <row r="495" spans="1:2" ht="12.75" customHeight="1">
      <c r="A495" s="66"/>
      <c r="B495" s="44"/>
    </row>
    <row r="496" spans="1:2" ht="12.75" customHeight="1">
      <c r="A496" s="66"/>
      <c r="B496" s="44"/>
    </row>
    <row r="497" spans="1:2" ht="12.75" customHeight="1">
      <c r="A497" s="66"/>
      <c r="B497" s="44"/>
    </row>
    <row r="498" spans="1:2" ht="12.75" customHeight="1">
      <c r="A498" s="66"/>
      <c r="B498" s="44"/>
    </row>
    <row r="499" spans="1:2" ht="12.75" customHeight="1">
      <c r="A499" s="66"/>
      <c r="B499" s="44"/>
    </row>
    <row r="500" spans="1:2" ht="12.75" customHeight="1">
      <c r="A500" s="66"/>
      <c r="B500" s="44"/>
    </row>
    <row r="501" spans="1:2" ht="12.75" customHeight="1">
      <c r="A501" s="66"/>
      <c r="B501" s="44"/>
    </row>
    <row r="502" spans="1:2" ht="12.75" customHeight="1">
      <c r="A502" s="66"/>
      <c r="B502" s="44"/>
    </row>
    <row r="503" spans="1:2" ht="12.75" customHeight="1">
      <c r="A503" s="66"/>
      <c r="B503" s="44"/>
    </row>
    <row r="504" spans="1:2" ht="12.75" customHeight="1">
      <c r="A504" s="66"/>
      <c r="B504" s="44"/>
    </row>
    <row r="505" spans="1:2" ht="12.75" customHeight="1">
      <c r="A505" s="66"/>
      <c r="B505" s="44"/>
    </row>
    <row r="506" spans="1:2" ht="12.75" customHeight="1">
      <c r="A506" s="66"/>
      <c r="B506" s="44"/>
    </row>
    <row r="507" spans="1:2" ht="12.75" customHeight="1">
      <c r="A507" s="66"/>
      <c r="B507" s="44"/>
    </row>
    <row r="508" spans="1:2" ht="12.75" customHeight="1">
      <c r="A508" s="66"/>
      <c r="B508" s="44"/>
    </row>
    <row r="509" spans="1:2" ht="12.75" customHeight="1">
      <c r="A509" s="66"/>
      <c r="B509" s="44"/>
    </row>
    <row r="510" spans="1:2" ht="12.75" customHeight="1">
      <c r="A510" s="66"/>
      <c r="B510" s="44"/>
    </row>
    <row r="511" spans="1:2" ht="12.75" customHeight="1">
      <c r="A511" s="66"/>
      <c r="B511" s="44"/>
    </row>
    <row r="512" spans="1:2" ht="12.75" customHeight="1">
      <c r="A512" s="66"/>
      <c r="B512" s="44"/>
    </row>
    <row r="513" spans="1:2" ht="12.75" customHeight="1">
      <c r="A513" s="66"/>
      <c r="B513" s="44"/>
    </row>
    <row r="514" spans="1:2" ht="12.75" customHeight="1">
      <c r="A514" s="66"/>
      <c r="B514" s="44"/>
    </row>
    <row r="515" spans="1:2" ht="12.75" customHeight="1">
      <c r="A515" s="66"/>
      <c r="B515" s="44"/>
    </row>
    <row r="516" spans="1:2" ht="12.75" customHeight="1">
      <c r="A516" s="66"/>
      <c r="B516" s="44"/>
    </row>
    <row r="517" spans="1:2" ht="12.75" customHeight="1">
      <c r="A517" s="66"/>
      <c r="B517" s="44"/>
    </row>
    <row r="518" spans="1:2" ht="12.75" customHeight="1">
      <c r="A518" s="66"/>
      <c r="B518" s="44"/>
    </row>
    <row r="519" spans="1:2" ht="12.75" customHeight="1">
      <c r="A519" s="66"/>
      <c r="B519" s="44"/>
    </row>
    <row r="520" spans="1:2" ht="12.75" customHeight="1">
      <c r="A520" s="66"/>
      <c r="B520" s="44"/>
    </row>
    <row r="521" spans="1:2" ht="12.75" customHeight="1">
      <c r="A521" s="66"/>
      <c r="B521" s="44"/>
    </row>
    <row r="522" spans="1:2" ht="12.75" customHeight="1">
      <c r="A522" s="66"/>
      <c r="B522" s="44"/>
    </row>
    <row r="523" spans="1:2" ht="12.75" customHeight="1">
      <c r="A523" s="66"/>
      <c r="B523" s="44"/>
    </row>
    <row r="524" spans="1:2" ht="12.75" customHeight="1">
      <c r="A524" s="66"/>
      <c r="B524" s="44"/>
    </row>
    <row r="525" spans="1:2" ht="12.75" customHeight="1">
      <c r="A525" s="66"/>
      <c r="B525" s="44"/>
    </row>
    <row r="526" spans="1:2" ht="12.75" customHeight="1">
      <c r="A526" s="66"/>
      <c r="B526" s="44"/>
    </row>
    <row r="527" spans="1:2" ht="12.75" customHeight="1">
      <c r="A527" s="66"/>
      <c r="B527" s="44"/>
    </row>
    <row r="528" spans="1:2" ht="12.75" customHeight="1">
      <c r="A528" s="66"/>
      <c r="B528" s="44"/>
    </row>
    <row r="529" spans="1:2" ht="12.75" customHeight="1">
      <c r="A529" s="66"/>
      <c r="B529" s="44"/>
    </row>
    <row r="530" spans="1:2" ht="12.75" customHeight="1">
      <c r="A530" s="66"/>
      <c r="B530" s="44"/>
    </row>
    <row r="531" spans="1:2" ht="12.75" customHeight="1">
      <c r="A531" s="66"/>
      <c r="B531" s="44"/>
    </row>
    <row r="532" spans="1:2" ht="12.75" customHeight="1">
      <c r="A532" s="66"/>
      <c r="B532" s="44"/>
    </row>
    <row r="533" spans="1:2" ht="12.75" customHeight="1">
      <c r="A533" s="66"/>
      <c r="B533" s="44"/>
    </row>
    <row r="534" spans="1:2" ht="12.75" customHeight="1">
      <c r="A534" s="66"/>
      <c r="B534" s="44"/>
    </row>
    <row r="535" spans="1:2" ht="12.75" customHeight="1">
      <c r="A535" s="66"/>
      <c r="B535" s="44"/>
    </row>
    <row r="536" spans="1:2" ht="12.75" customHeight="1">
      <c r="A536" s="66"/>
      <c r="B536" s="44"/>
    </row>
    <row r="537" spans="1:2" ht="12.75" customHeight="1">
      <c r="A537" s="66"/>
      <c r="B537" s="44"/>
    </row>
    <row r="538" spans="1:2" ht="12.75" customHeight="1">
      <c r="A538" s="66"/>
      <c r="B538" s="44"/>
    </row>
    <row r="539" spans="1:2" ht="12.75" customHeight="1">
      <c r="A539" s="66"/>
      <c r="B539" s="44"/>
    </row>
    <row r="540" spans="1:2" ht="12.75" customHeight="1">
      <c r="A540" s="66"/>
      <c r="B540" s="44"/>
    </row>
    <row r="541" spans="1:2" ht="12.75" customHeight="1">
      <c r="A541" s="66"/>
      <c r="B541" s="44"/>
    </row>
    <row r="542" spans="1:2" ht="12.75" customHeight="1">
      <c r="A542" s="66"/>
      <c r="B542" s="44"/>
    </row>
    <row r="543" spans="1:2" ht="12.75" customHeight="1">
      <c r="A543" s="66"/>
      <c r="B543" s="44"/>
    </row>
    <row r="544" spans="1:2" ht="12.75" customHeight="1">
      <c r="A544" s="66"/>
      <c r="B544" s="44"/>
    </row>
    <row r="545" spans="1:2" ht="12.75" customHeight="1">
      <c r="A545" s="66"/>
      <c r="B545" s="44"/>
    </row>
    <row r="546" spans="1:2" ht="12.75" customHeight="1">
      <c r="A546" s="66"/>
      <c r="B546" s="44"/>
    </row>
    <row r="547" spans="1:2" ht="12.75" customHeight="1">
      <c r="A547" s="66"/>
      <c r="B547" s="44"/>
    </row>
    <row r="548" spans="1:2" ht="12.75" customHeight="1">
      <c r="A548" s="66"/>
      <c r="B548" s="44"/>
    </row>
    <row r="549" spans="1:2" ht="12.75" customHeight="1">
      <c r="A549" s="66"/>
      <c r="B549" s="44"/>
    </row>
    <row r="550" spans="1:2" ht="12.75" customHeight="1">
      <c r="A550" s="66"/>
      <c r="B550" s="44"/>
    </row>
    <row r="551" spans="1:2" ht="12.75" customHeight="1">
      <c r="A551" s="66"/>
      <c r="B551" s="44"/>
    </row>
    <row r="552" spans="1:2" ht="12.75" customHeight="1">
      <c r="A552" s="66"/>
      <c r="B552" s="44"/>
    </row>
    <row r="553" spans="1:2" ht="12.75" customHeight="1">
      <c r="A553" s="66"/>
      <c r="B553" s="44"/>
    </row>
    <row r="554" spans="1:2" ht="12.75" customHeight="1">
      <c r="A554" s="66"/>
      <c r="B554" s="44"/>
    </row>
    <row r="555" spans="1:2" ht="12.75" customHeight="1">
      <c r="A555" s="66"/>
      <c r="B555" s="44"/>
    </row>
    <row r="556" spans="1:2" ht="12.75" customHeight="1">
      <c r="A556" s="66"/>
      <c r="B556" s="44"/>
    </row>
    <row r="557" spans="1:2" ht="12.75" customHeight="1">
      <c r="A557" s="66"/>
      <c r="B557" s="44"/>
    </row>
    <row r="558" spans="1:2" ht="12.75" customHeight="1">
      <c r="A558" s="66"/>
      <c r="B558" s="44"/>
    </row>
    <row r="559" spans="1:2" ht="12.75" customHeight="1">
      <c r="A559" s="66"/>
      <c r="B559" s="44"/>
    </row>
    <row r="560" spans="1:2" ht="12.75" customHeight="1">
      <c r="A560" s="66"/>
      <c r="B560" s="44"/>
    </row>
    <row r="561" spans="1:2" ht="12.75" customHeight="1">
      <c r="A561" s="66"/>
      <c r="B561" s="44"/>
    </row>
    <row r="562" spans="1:2" ht="12.75" customHeight="1">
      <c r="A562" s="66"/>
      <c r="B562" s="44"/>
    </row>
    <row r="563" spans="1:2" ht="12.75" customHeight="1">
      <c r="A563" s="66"/>
      <c r="B563" s="44"/>
    </row>
    <row r="564" spans="1:2" ht="12.75" customHeight="1">
      <c r="A564" s="66"/>
      <c r="B564" s="44"/>
    </row>
    <row r="565" spans="1:2" ht="12.75" customHeight="1">
      <c r="A565" s="66"/>
      <c r="B565" s="44"/>
    </row>
    <row r="566" spans="1:2" ht="12.75" customHeight="1">
      <c r="A566" s="66"/>
      <c r="B566" s="44"/>
    </row>
    <row r="567" spans="1:2" ht="12.75" customHeight="1">
      <c r="A567" s="66"/>
      <c r="B567" s="44"/>
    </row>
    <row r="568" spans="1:2" ht="12.75" customHeight="1">
      <c r="A568" s="66"/>
      <c r="B568" s="44"/>
    </row>
    <row r="569" spans="1:2" ht="12.75" customHeight="1">
      <c r="A569" s="66"/>
      <c r="B569" s="44"/>
    </row>
    <row r="570" spans="1:2" ht="12.75" customHeight="1">
      <c r="A570" s="66"/>
      <c r="B570" s="44"/>
    </row>
    <row r="571" spans="1:2" ht="12.75" customHeight="1">
      <c r="A571" s="66"/>
      <c r="B571" s="44"/>
    </row>
    <row r="572" spans="1:2" ht="12.75" customHeight="1">
      <c r="A572" s="66"/>
      <c r="B572" s="44"/>
    </row>
    <row r="573" spans="1:2" ht="12.75" customHeight="1">
      <c r="A573" s="66"/>
      <c r="B573" s="44"/>
    </row>
    <row r="574" spans="1:2" ht="12.75" customHeight="1">
      <c r="A574" s="66"/>
      <c r="B574" s="44"/>
    </row>
    <row r="575" spans="1:2" ht="12.75" customHeight="1">
      <c r="A575" s="66"/>
      <c r="B575" s="44"/>
    </row>
    <row r="576" spans="1:2" ht="12.75" customHeight="1">
      <c r="A576" s="66"/>
      <c r="B576" s="44"/>
    </row>
    <row r="577" spans="1:2" ht="12.75" customHeight="1">
      <c r="A577" s="66"/>
      <c r="B577" s="44"/>
    </row>
    <row r="578" spans="1:2" ht="12.75" customHeight="1">
      <c r="A578" s="66"/>
      <c r="B578" s="44"/>
    </row>
    <row r="579" spans="1:2" ht="12.75" customHeight="1">
      <c r="A579" s="66"/>
      <c r="B579" s="44"/>
    </row>
    <row r="580" spans="1:2" ht="12.75" customHeight="1">
      <c r="A580" s="66"/>
      <c r="B580" s="44"/>
    </row>
    <row r="581" spans="1:2" ht="12.75" customHeight="1">
      <c r="A581" s="66"/>
      <c r="B581" s="44"/>
    </row>
    <row r="582" spans="1:2" ht="12.75" customHeight="1">
      <c r="A582" s="66"/>
      <c r="B582" s="44"/>
    </row>
    <row r="583" spans="1:2" ht="12.75" customHeight="1">
      <c r="A583" s="66"/>
      <c r="B583" s="44"/>
    </row>
    <row r="584" spans="1:2" ht="12.75" customHeight="1">
      <c r="A584" s="66"/>
      <c r="B584" s="44"/>
    </row>
    <row r="585" spans="1:2" ht="12.75" customHeight="1">
      <c r="A585" s="66"/>
      <c r="B585" s="44"/>
    </row>
    <row r="586" spans="1:2" ht="12.75" customHeight="1">
      <c r="A586" s="66"/>
      <c r="B586" s="44"/>
    </row>
    <row r="587" spans="1:2" ht="12.75" customHeight="1">
      <c r="A587" s="66"/>
      <c r="B587" s="44"/>
    </row>
    <row r="588" spans="1:2" ht="12.75" customHeight="1">
      <c r="A588" s="66"/>
      <c r="B588" s="44"/>
    </row>
    <row r="589" spans="1:2" ht="12.75" customHeight="1">
      <c r="A589" s="66"/>
      <c r="B589" s="44"/>
    </row>
    <row r="590" spans="1:2" ht="12.75" customHeight="1">
      <c r="A590" s="66"/>
      <c r="B590" s="44"/>
    </row>
    <row r="591" spans="1:2" ht="12.75" customHeight="1">
      <c r="A591" s="66"/>
      <c r="B591" s="44"/>
    </row>
    <row r="592" spans="1:2" ht="12.75" customHeight="1">
      <c r="A592" s="66"/>
      <c r="B592" s="44"/>
    </row>
    <row r="593" spans="1:2" ht="12.75" customHeight="1">
      <c r="A593" s="66"/>
      <c r="B593" s="44"/>
    </row>
    <row r="594" spans="1:2" ht="12.75" customHeight="1">
      <c r="A594" s="66"/>
      <c r="B594" s="44"/>
    </row>
    <row r="595" spans="1:2" ht="12.75" customHeight="1">
      <c r="A595" s="66"/>
      <c r="B595" s="44"/>
    </row>
    <row r="596" spans="1:2" ht="12.75" customHeight="1">
      <c r="A596" s="66"/>
      <c r="B596" s="44"/>
    </row>
    <row r="597" spans="1:2" ht="12.75" customHeight="1">
      <c r="A597" s="66"/>
      <c r="B597" s="44"/>
    </row>
    <row r="598" spans="1:2" ht="12.75" customHeight="1">
      <c r="A598" s="66"/>
      <c r="B598" s="44"/>
    </row>
    <row r="599" spans="1:2" ht="12.75" customHeight="1">
      <c r="A599" s="66"/>
      <c r="B599" s="44"/>
    </row>
    <row r="600" spans="1:2" ht="12.75" customHeight="1">
      <c r="A600" s="66"/>
      <c r="B600" s="44"/>
    </row>
    <row r="601" spans="1:2" ht="12.75" customHeight="1">
      <c r="A601" s="66"/>
      <c r="B601" s="44"/>
    </row>
    <row r="602" spans="1:2" ht="12.75" customHeight="1">
      <c r="A602" s="66"/>
      <c r="B602" s="44"/>
    </row>
    <row r="603" spans="1:2" ht="12.75" customHeight="1">
      <c r="A603" s="66"/>
      <c r="B603" s="44"/>
    </row>
    <row r="604" spans="1:2" ht="12.75" customHeight="1">
      <c r="A604" s="66"/>
      <c r="B604" s="44"/>
    </row>
    <row r="605" spans="1:2" ht="12.75" customHeight="1">
      <c r="A605" s="66"/>
      <c r="B605" s="44"/>
    </row>
    <row r="606" spans="1:2" ht="12.75" customHeight="1">
      <c r="A606" s="66"/>
      <c r="B606" s="44"/>
    </row>
    <row r="607" spans="1:2" ht="12.75" customHeight="1">
      <c r="A607" s="66"/>
      <c r="B607" s="44"/>
    </row>
    <row r="608" spans="1:2" ht="12.75" customHeight="1">
      <c r="A608" s="66"/>
      <c r="B608" s="44"/>
    </row>
    <row r="609" spans="1:2" ht="12.75" customHeight="1">
      <c r="A609" s="66"/>
      <c r="B609" s="44"/>
    </row>
    <row r="610" spans="1:2" ht="12.75" customHeight="1">
      <c r="A610" s="66"/>
      <c r="B610" s="44"/>
    </row>
    <row r="611" spans="1:2" ht="12.75" customHeight="1">
      <c r="A611" s="66"/>
      <c r="B611" s="44"/>
    </row>
    <row r="612" spans="1:2" ht="12.75" customHeight="1">
      <c r="A612" s="66"/>
      <c r="B612" s="44"/>
    </row>
    <row r="613" spans="1:2" ht="12.75" customHeight="1">
      <c r="A613" s="66"/>
      <c r="B613" s="44"/>
    </row>
    <row r="614" spans="1:2" ht="12.75" customHeight="1">
      <c r="A614" s="66"/>
      <c r="B614" s="44"/>
    </row>
    <row r="615" spans="1:2" ht="12.75" customHeight="1">
      <c r="A615" s="66"/>
      <c r="B615" s="44"/>
    </row>
    <row r="616" spans="1:2" ht="12.75" customHeight="1">
      <c r="A616" s="66"/>
      <c r="B616" s="44"/>
    </row>
    <row r="617" spans="1:2" ht="12.75" customHeight="1">
      <c r="A617" s="66"/>
      <c r="B617" s="44"/>
    </row>
    <row r="618" spans="1:2" ht="12.75" customHeight="1">
      <c r="A618" s="66"/>
      <c r="B618" s="44"/>
    </row>
    <row r="619" spans="1:2" ht="12.75" customHeight="1">
      <c r="A619" s="66"/>
      <c r="B619" s="44"/>
    </row>
    <row r="620" spans="1:2" ht="12.75" customHeight="1">
      <c r="A620" s="66"/>
      <c r="B620" s="44"/>
    </row>
    <row r="621" spans="1:2" ht="12.75" customHeight="1">
      <c r="A621" s="66"/>
      <c r="B621" s="44"/>
    </row>
    <row r="622" spans="1:2" ht="12.75" customHeight="1">
      <c r="A622" s="66"/>
      <c r="B622" s="44"/>
    </row>
    <row r="623" spans="1:2" ht="12.75" customHeight="1">
      <c r="A623" s="66"/>
      <c r="B623" s="44"/>
    </row>
    <row r="624" spans="1:2" ht="12.75" customHeight="1">
      <c r="A624" s="66"/>
      <c r="B624" s="44"/>
    </row>
    <row r="625" spans="1:2" ht="12.75" customHeight="1">
      <c r="A625" s="66"/>
      <c r="B625" s="44"/>
    </row>
    <row r="626" spans="1:2" ht="12.75" customHeight="1">
      <c r="A626" s="66"/>
      <c r="B626" s="44"/>
    </row>
    <row r="627" spans="1:2" ht="12.75" customHeight="1">
      <c r="A627" s="66"/>
      <c r="B627" s="44"/>
    </row>
    <row r="628" spans="1:2" ht="12.75" customHeight="1">
      <c r="A628" s="66"/>
      <c r="B628" s="44"/>
    </row>
    <row r="629" spans="1:2" ht="12.75" customHeight="1">
      <c r="A629" s="66"/>
      <c r="B629" s="44"/>
    </row>
    <row r="630" spans="1:2" ht="12.75" customHeight="1">
      <c r="A630" s="66"/>
      <c r="B630" s="44"/>
    </row>
    <row r="631" spans="1:2" ht="12.75" customHeight="1">
      <c r="A631" s="66"/>
      <c r="B631" s="44"/>
    </row>
    <row r="632" spans="1:2" ht="12.75" customHeight="1">
      <c r="A632" s="66"/>
      <c r="B632" s="44"/>
    </row>
    <row r="633" spans="1:2" ht="12.75" customHeight="1">
      <c r="A633" s="66"/>
      <c r="B633" s="44"/>
    </row>
    <row r="634" spans="1:2" ht="12.75" customHeight="1">
      <c r="A634" s="66"/>
      <c r="B634" s="44"/>
    </row>
    <row r="635" spans="1:2" ht="12.75" customHeight="1">
      <c r="A635" s="66"/>
      <c r="B635" s="44"/>
    </row>
    <row r="636" spans="1:2" ht="12.75" customHeight="1">
      <c r="A636" s="66"/>
      <c r="B636" s="44"/>
    </row>
    <row r="637" spans="1:2" ht="12.75" customHeight="1">
      <c r="A637" s="66"/>
      <c r="B637" s="44"/>
    </row>
    <row r="638" spans="1:2" ht="12.75" customHeight="1">
      <c r="A638" s="66"/>
      <c r="B638" s="44"/>
    </row>
    <row r="639" spans="1:2" ht="12.75" customHeight="1">
      <c r="A639" s="66"/>
      <c r="B639" s="44"/>
    </row>
    <row r="640" spans="1:2" ht="12.75" customHeight="1">
      <c r="A640" s="66"/>
      <c r="B640" s="44"/>
    </row>
    <row r="641" spans="1:2" ht="12.75" customHeight="1">
      <c r="A641" s="66"/>
      <c r="B641" s="44"/>
    </row>
    <row r="642" spans="1:2" ht="12.75" customHeight="1">
      <c r="A642" s="66"/>
      <c r="B642" s="44"/>
    </row>
    <row r="643" spans="1:2" ht="12.75" customHeight="1">
      <c r="A643" s="66"/>
      <c r="B643" s="44"/>
    </row>
    <row r="644" spans="1:2" ht="12.75" customHeight="1">
      <c r="A644" s="66"/>
      <c r="B644" s="44"/>
    </row>
    <row r="645" spans="1:2" ht="12.75" customHeight="1">
      <c r="A645" s="66"/>
      <c r="B645" s="44"/>
    </row>
    <row r="646" spans="1:2" ht="12.75" customHeight="1">
      <c r="A646" s="66"/>
      <c r="B646" s="44"/>
    </row>
    <row r="647" spans="1:2" ht="12.75" customHeight="1">
      <c r="A647" s="66"/>
      <c r="B647" s="44"/>
    </row>
    <row r="648" spans="1:2" ht="12.75" customHeight="1">
      <c r="A648" s="66"/>
      <c r="B648" s="44"/>
    </row>
    <row r="649" spans="1:2" ht="12.75" customHeight="1">
      <c r="A649" s="66"/>
      <c r="B649" s="44"/>
    </row>
    <row r="650" spans="1:2" ht="12.75" customHeight="1">
      <c r="A650" s="66"/>
      <c r="B650" s="44"/>
    </row>
    <row r="651" spans="1:2" ht="12.75" customHeight="1">
      <c r="A651" s="66"/>
      <c r="B651" s="44"/>
    </row>
    <row r="652" spans="1:2" ht="12.75" customHeight="1">
      <c r="A652" s="66"/>
      <c r="B652" s="44"/>
    </row>
    <row r="653" spans="1:2" ht="12.75" customHeight="1">
      <c r="A653" s="66"/>
      <c r="B653" s="44"/>
    </row>
    <row r="654" spans="1:2" ht="12.75" customHeight="1">
      <c r="A654" s="66"/>
      <c r="B654" s="44"/>
    </row>
    <row r="655" spans="1:2" ht="12.75" customHeight="1">
      <c r="A655" s="66"/>
      <c r="B655" s="44"/>
    </row>
    <row r="656" spans="1:2" ht="12.75" customHeight="1">
      <c r="A656" s="66"/>
      <c r="B656" s="44"/>
    </row>
    <row r="657" spans="1:2" ht="12.75" customHeight="1">
      <c r="A657" s="66"/>
      <c r="B657" s="44"/>
    </row>
    <row r="658" spans="1:2" ht="12.75" customHeight="1">
      <c r="A658" s="66"/>
      <c r="B658" s="44"/>
    </row>
    <row r="659" spans="1:2" ht="12.75" customHeight="1">
      <c r="A659" s="66"/>
      <c r="B659" s="44"/>
    </row>
    <row r="660" spans="1:2" ht="12.75" customHeight="1">
      <c r="A660" s="66"/>
      <c r="B660" s="44"/>
    </row>
    <row r="661" spans="1:2" ht="12.75" customHeight="1">
      <c r="A661" s="66"/>
      <c r="B661" s="44"/>
    </row>
    <row r="662" spans="1:2" ht="12.75" customHeight="1">
      <c r="A662" s="66"/>
      <c r="B662" s="44"/>
    </row>
    <row r="663" spans="1:2" ht="12.75" customHeight="1">
      <c r="A663" s="66"/>
      <c r="B663" s="44"/>
    </row>
    <row r="664" spans="1:2" ht="12.75" customHeight="1">
      <c r="A664" s="66"/>
      <c r="B664" s="44"/>
    </row>
    <row r="665" spans="1:2" ht="12.75" customHeight="1">
      <c r="A665" s="66"/>
      <c r="B665" s="44"/>
    </row>
    <row r="666" spans="1:2" ht="12.75" customHeight="1">
      <c r="A666" s="66"/>
      <c r="B666" s="44"/>
    </row>
    <row r="667" spans="1:2" ht="12.75" customHeight="1">
      <c r="A667" s="66"/>
      <c r="B667" s="44"/>
    </row>
    <row r="668" spans="1:2" ht="12.75" customHeight="1">
      <c r="A668" s="66"/>
      <c r="B668" s="44"/>
    </row>
    <row r="669" spans="1:2" ht="12.75" customHeight="1">
      <c r="A669" s="66"/>
      <c r="B669" s="44"/>
    </row>
    <row r="670" spans="1:2" ht="12.75" customHeight="1">
      <c r="A670" s="66"/>
      <c r="B670" s="44"/>
    </row>
    <row r="671" spans="1:2" ht="12.75" customHeight="1">
      <c r="A671" s="66"/>
      <c r="B671" s="44"/>
    </row>
    <row r="672" spans="1:2" ht="12.75" customHeight="1">
      <c r="A672" s="66"/>
      <c r="B672" s="44"/>
    </row>
    <row r="673" spans="1:2" ht="12.75" customHeight="1">
      <c r="A673" s="66"/>
      <c r="B673" s="44"/>
    </row>
    <row r="674" spans="1:2" ht="12.75" customHeight="1">
      <c r="A674" s="66"/>
      <c r="B674" s="44"/>
    </row>
    <row r="675" spans="1:2" ht="12.75" customHeight="1">
      <c r="A675" s="66"/>
      <c r="B675" s="44"/>
    </row>
    <row r="676" spans="1:2" ht="12.75" customHeight="1">
      <c r="A676" s="66"/>
      <c r="B676" s="44"/>
    </row>
    <row r="677" spans="1:2" ht="12.75" customHeight="1">
      <c r="A677" s="66"/>
      <c r="B677" s="44"/>
    </row>
    <row r="678" spans="1:2" ht="12.75" customHeight="1">
      <c r="A678" s="66"/>
      <c r="B678" s="44"/>
    </row>
    <row r="679" spans="1:2" ht="12.75" customHeight="1">
      <c r="A679" s="66"/>
      <c r="B679" s="44"/>
    </row>
    <row r="680" spans="1:2" ht="12.75" customHeight="1">
      <c r="A680" s="66"/>
      <c r="B680" s="44"/>
    </row>
    <row r="681" spans="1:2" ht="12.75" customHeight="1">
      <c r="A681" s="66"/>
      <c r="B681" s="44"/>
    </row>
    <row r="682" spans="1:2" ht="12.75" customHeight="1">
      <c r="A682" s="66"/>
      <c r="B682" s="44"/>
    </row>
    <row r="683" spans="1:2" ht="12.75" customHeight="1">
      <c r="A683" s="66"/>
      <c r="B683" s="44"/>
    </row>
    <row r="684" spans="1:2" ht="12.75" customHeight="1">
      <c r="A684" s="66"/>
      <c r="B684" s="44"/>
    </row>
    <row r="685" spans="1:2" ht="12.75" customHeight="1">
      <c r="A685" s="66"/>
      <c r="B685" s="44"/>
    </row>
    <row r="686" spans="1:2" ht="12.75" customHeight="1">
      <c r="A686" s="66"/>
      <c r="B686" s="44"/>
    </row>
    <row r="687" spans="1:2" ht="12.75" customHeight="1">
      <c r="A687" s="66"/>
      <c r="B687" s="44"/>
    </row>
    <row r="688" spans="1:2" ht="12.75" customHeight="1">
      <c r="A688" s="66"/>
      <c r="B688" s="44"/>
    </row>
    <row r="689" spans="1:2" ht="12.75" customHeight="1">
      <c r="A689" s="66"/>
      <c r="B689" s="44"/>
    </row>
    <row r="690" spans="1:2" ht="12.75" customHeight="1">
      <c r="A690" s="66"/>
      <c r="B690" s="44"/>
    </row>
    <row r="691" spans="1:2" ht="12.75" customHeight="1">
      <c r="A691" s="66"/>
      <c r="B691" s="44"/>
    </row>
    <row r="692" spans="1:2" ht="12.75" customHeight="1">
      <c r="A692" s="66"/>
      <c r="B692" s="44"/>
    </row>
    <row r="693" spans="1:2" ht="12.75" customHeight="1">
      <c r="A693" s="66"/>
      <c r="B693" s="44"/>
    </row>
    <row r="694" spans="1:2" ht="12.75" customHeight="1">
      <c r="A694" s="66"/>
      <c r="B694" s="44"/>
    </row>
    <row r="695" spans="1:2" ht="12.75" customHeight="1">
      <c r="A695" s="66"/>
      <c r="B695" s="44"/>
    </row>
    <row r="696" spans="1:2" ht="12.75" customHeight="1">
      <c r="A696" s="66"/>
      <c r="B696" s="44"/>
    </row>
    <row r="697" spans="1:2" ht="12.75" customHeight="1">
      <c r="A697" s="66"/>
      <c r="B697" s="44"/>
    </row>
    <row r="698" spans="1:2" ht="12.75" customHeight="1">
      <c r="A698" s="66"/>
      <c r="B698" s="44"/>
    </row>
    <row r="699" spans="1:2" ht="12.75" customHeight="1">
      <c r="A699" s="66"/>
      <c r="B699" s="44"/>
    </row>
    <row r="700" spans="1:2" ht="12.75" customHeight="1">
      <c r="A700" s="66"/>
      <c r="B700" s="44"/>
    </row>
    <row r="701" spans="1:2" ht="12.75" customHeight="1">
      <c r="A701" s="66"/>
      <c r="B701" s="44"/>
    </row>
    <row r="702" spans="1:2" ht="12.75" customHeight="1">
      <c r="A702" s="66"/>
      <c r="B702" s="44"/>
    </row>
    <row r="703" spans="1:2" ht="12.75" customHeight="1">
      <c r="A703" s="66"/>
      <c r="B703" s="44"/>
    </row>
    <row r="704" spans="1:2" ht="12.75" customHeight="1">
      <c r="A704" s="66"/>
      <c r="B704" s="44"/>
    </row>
    <row r="705" spans="1:2" ht="12.75" customHeight="1">
      <c r="A705" s="66"/>
      <c r="B705" s="44"/>
    </row>
    <row r="706" spans="1:2" ht="12.75" customHeight="1">
      <c r="A706" s="66"/>
      <c r="B706" s="44"/>
    </row>
    <row r="707" spans="1:2" ht="12.75" customHeight="1">
      <c r="A707" s="66"/>
      <c r="B707" s="44"/>
    </row>
    <row r="708" spans="1:2" ht="12.75" customHeight="1">
      <c r="A708" s="66"/>
      <c r="B708" s="44"/>
    </row>
    <row r="709" spans="1:2" ht="12.75" customHeight="1">
      <c r="A709" s="66"/>
      <c r="B709" s="44"/>
    </row>
    <row r="710" spans="1:2" ht="12.75" customHeight="1">
      <c r="A710" s="66"/>
      <c r="B710" s="44"/>
    </row>
    <row r="711" spans="1:2" ht="12.75" customHeight="1">
      <c r="A711" s="66"/>
      <c r="B711" s="44"/>
    </row>
    <row r="712" spans="1:2" ht="12.75" customHeight="1">
      <c r="A712" s="66"/>
      <c r="B712" s="44"/>
    </row>
    <row r="713" spans="1:2" ht="12.75" customHeight="1">
      <c r="A713" s="66"/>
      <c r="B713" s="44"/>
    </row>
    <row r="714" spans="1:2" ht="12.75" customHeight="1">
      <c r="A714" s="66"/>
      <c r="B714" s="44"/>
    </row>
    <row r="715" spans="1:2" ht="12.75" customHeight="1">
      <c r="A715" s="66"/>
      <c r="B715" s="44"/>
    </row>
    <row r="716" spans="1:2" ht="12.75" customHeight="1">
      <c r="A716" s="66"/>
      <c r="B716" s="44"/>
    </row>
    <row r="717" spans="1:2" ht="12.75" customHeight="1">
      <c r="A717" s="66"/>
      <c r="B717" s="44"/>
    </row>
    <row r="718" spans="1:2" ht="12.75" customHeight="1">
      <c r="A718" s="66"/>
      <c r="B718" s="44"/>
    </row>
    <row r="719" spans="1:2" ht="12.75" customHeight="1">
      <c r="A719" s="66"/>
      <c r="B719" s="44"/>
    </row>
    <row r="720" spans="1:2" ht="12.75" customHeight="1">
      <c r="A720" s="66"/>
      <c r="B720" s="44"/>
    </row>
    <row r="721" spans="1:2" ht="12.75" customHeight="1">
      <c r="A721" s="66"/>
      <c r="B721" s="44"/>
    </row>
    <row r="722" spans="1:2" ht="12.75" customHeight="1">
      <c r="A722" s="66"/>
      <c r="B722" s="44"/>
    </row>
    <row r="723" spans="1:2" ht="12.75" customHeight="1">
      <c r="A723" s="66"/>
      <c r="B723" s="44"/>
    </row>
    <row r="724" spans="1:2" ht="12.75" customHeight="1">
      <c r="A724" s="66"/>
      <c r="B724" s="44"/>
    </row>
    <row r="725" spans="1:2" ht="12.75" customHeight="1">
      <c r="A725" s="66"/>
      <c r="B725" s="44"/>
    </row>
    <row r="726" spans="1:2" ht="12.75" customHeight="1">
      <c r="A726" s="66"/>
      <c r="B726" s="44"/>
    </row>
    <row r="727" spans="1:2" ht="12.75" customHeight="1">
      <c r="A727" s="66"/>
      <c r="B727" s="44"/>
    </row>
    <row r="728" spans="1:2" ht="12.75" customHeight="1">
      <c r="A728" s="66"/>
      <c r="B728" s="44"/>
    </row>
    <row r="729" spans="1:2" ht="12.75" customHeight="1">
      <c r="A729" s="66"/>
      <c r="B729" s="44"/>
    </row>
    <row r="730" spans="1:2" ht="12.75" customHeight="1">
      <c r="A730" s="66"/>
      <c r="B730" s="44"/>
    </row>
    <row r="731" spans="1:2" ht="12.75" customHeight="1">
      <c r="A731" s="66"/>
      <c r="B731" s="44"/>
    </row>
    <row r="732" spans="1:2" ht="12.75" customHeight="1">
      <c r="A732" s="66"/>
      <c r="B732" s="44"/>
    </row>
    <row r="733" spans="1:2" ht="12.75" customHeight="1">
      <c r="A733" s="66"/>
      <c r="B733" s="44"/>
    </row>
    <row r="734" spans="1:2" ht="12.75" customHeight="1">
      <c r="A734" s="66"/>
      <c r="B734" s="44"/>
    </row>
    <row r="735" spans="1:2" ht="12.75" customHeight="1">
      <c r="A735" s="66"/>
      <c r="B735" s="44"/>
    </row>
    <row r="736" spans="1:2" ht="12.75" customHeight="1">
      <c r="A736" s="66"/>
      <c r="B736" s="44"/>
    </row>
    <row r="737" spans="1:2" ht="12.75" customHeight="1">
      <c r="A737" s="66"/>
      <c r="B737" s="44"/>
    </row>
    <row r="738" spans="1:2" ht="12.75" customHeight="1">
      <c r="A738" s="66"/>
      <c r="B738" s="44"/>
    </row>
    <row r="739" spans="1:2" ht="12.75" customHeight="1">
      <c r="A739" s="66"/>
      <c r="B739" s="44"/>
    </row>
    <row r="740" spans="1:2" ht="12.75" customHeight="1">
      <c r="A740" s="66"/>
      <c r="B740" s="44"/>
    </row>
    <row r="741" spans="1:2" ht="12.75" customHeight="1">
      <c r="A741" s="66"/>
      <c r="B741" s="44"/>
    </row>
    <row r="742" spans="1:2" ht="12.75" customHeight="1">
      <c r="A742" s="66"/>
      <c r="B742" s="44"/>
    </row>
    <row r="743" spans="1:2" ht="12.75" customHeight="1">
      <c r="A743" s="66"/>
      <c r="B743" s="44"/>
    </row>
    <row r="744" spans="1:2" ht="12.75" customHeight="1">
      <c r="A744" s="66"/>
      <c r="B744" s="44"/>
    </row>
    <row r="745" spans="1:2" ht="12.75" customHeight="1">
      <c r="A745" s="66"/>
      <c r="B745" s="44"/>
    </row>
    <row r="746" spans="1:2" ht="12.75" customHeight="1">
      <c r="A746" s="66"/>
      <c r="B746" s="44"/>
    </row>
    <row r="747" spans="1:2" ht="12.75" customHeight="1">
      <c r="A747" s="66"/>
      <c r="B747" s="44"/>
    </row>
    <row r="748" spans="1:2" ht="12.75" customHeight="1">
      <c r="A748" s="66"/>
      <c r="B748" s="44"/>
    </row>
    <row r="749" spans="1:2" ht="12.75" customHeight="1">
      <c r="A749" s="66"/>
      <c r="B749" s="44"/>
    </row>
    <row r="750" spans="1:2" ht="12.75" customHeight="1">
      <c r="A750" s="66"/>
      <c r="B750" s="44"/>
    </row>
    <row r="751" spans="1:2" ht="12.75" customHeight="1">
      <c r="A751" s="66"/>
      <c r="B751" s="44"/>
    </row>
    <row r="752" spans="1:2" ht="12.75" customHeight="1">
      <c r="A752" s="66"/>
      <c r="B752" s="44"/>
    </row>
    <row r="753" spans="1:2" ht="12.75" customHeight="1">
      <c r="A753" s="66"/>
      <c r="B753" s="44"/>
    </row>
    <row r="754" spans="1:2" ht="12.75" customHeight="1">
      <c r="A754" s="66"/>
      <c r="B754" s="44"/>
    </row>
    <row r="755" spans="1:2" ht="12.75" customHeight="1">
      <c r="A755" s="66"/>
      <c r="B755" s="44"/>
    </row>
    <row r="756" spans="1:2" ht="12.75" customHeight="1">
      <c r="A756" s="66"/>
      <c r="B756" s="44"/>
    </row>
    <row r="757" spans="1:2" ht="12.75" customHeight="1">
      <c r="A757" s="66"/>
      <c r="B757" s="44"/>
    </row>
    <row r="758" spans="1:2" ht="12.75" customHeight="1">
      <c r="A758" s="66"/>
      <c r="B758" s="44"/>
    </row>
    <row r="759" spans="1:2" ht="12.75" customHeight="1">
      <c r="A759" s="66"/>
      <c r="B759" s="44"/>
    </row>
    <row r="760" spans="1:2" ht="12.75" customHeight="1">
      <c r="A760" s="66"/>
      <c r="B760" s="44"/>
    </row>
    <row r="761" spans="1:2" ht="12.75" customHeight="1">
      <c r="A761" s="66"/>
      <c r="B761" s="44"/>
    </row>
    <row r="762" spans="1:2" ht="12.75" customHeight="1">
      <c r="A762" s="66"/>
      <c r="B762" s="44"/>
    </row>
    <row r="763" spans="1:2" ht="12.75" customHeight="1">
      <c r="A763" s="66"/>
      <c r="B763" s="44"/>
    </row>
    <row r="764" spans="1:2" ht="12.75" customHeight="1">
      <c r="A764" s="66"/>
      <c r="B764" s="44"/>
    </row>
    <row r="765" spans="1:2" ht="12.75" customHeight="1">
      <c r="A765" s="66"/>
      <c r="B765" s="44"/>
    </row>
    <row r="766" spans="1:2" ht="12.75" customHeight="1">
      <c r="A766" s="66"/>
      <c r="B766" s="44"/>
    </row>
    <row r="767" spans="1:2" ht="12.75" customHeight="1">
      <c r="A767" s="66"/>
      <c r="B767" s="44"/>
    </row>
    <row r="768" spans="1:2" ht="12.75" customHeight="1">
      <c r="A768" s="66"/>
      <c r="B768" s="44"/>
    </row>
    <row r="769" spans="1:2" ht="12.75" customHeight="1">
      <c r="A769" s="66"/>
      <c r="B769" s="44"/>
    </row>
    <row r="770" spans="1:2" ht="12.75" customHeight="1">
      <c r="A770" s="66"/>
      <c r="B770" s="44"/>
    </row>
    <row r="771" spans="1:2" ht="12.75" customHeight="1">
      <c r="A771" s="66"/>
      <c r="B771" s="44"/>
    </row>
    <row r="772" spans="1:2" ht="12.75" customHeight="1">
      <c r="A772" s="66"/>
      <c r="B772" s="44"/>
    </row>
    <row r="773" spans="1:2" ht="12.75" customHeight="1">
      <c r="A773" s="66"/>
      <c r="B773" s="44"/>
    </row>
    <row r="774" spans="1:2" ht="12.75" customHeight="1">
      <c r="A774" s="66"/>
      <c r="B774" s="44"/>
    </row>
    <row r="775" spans="1:2" ht="12.75" customHeight="1">
      <c r="A775" s="66"/>
      <c r="B775" s="44"/>
    </row>
    <row r="776" spans="1:2" ht="12.75" customHeight="1">
      <c r="A776" s="66"/>
      <c r="B776" s="44"/>
    </row>
    <row r="777" spans="1:2" ht="12.75" customHeight="1">
      <c r="A777" s="66"/>
      <c r="B777" s="44"/>
    </row>
    <row r="778" spans="1:2" ht="12.75" customHeight="1">
      <c r="A778" s="66"/>
      <c r="B778" s="44"/>
    </row>
    <row r="779" spans="1:2" ht="12.75" customHeight="1">
      <c r="A779" s="66"/>
      <c r="B779" s="44"/>
    </row>
    <row r="780" spans="1:2" ht="12.75" customHeight="1">
      <c r="A780" s="66"/>
      <c r="B780" s="44"/>
    </row>
    <row r="781" spans="1:2" ht="12.75" customHeight="1">
      <c r="A781" s="66"/>
      <c r="B781" s="44"/>
    </row>
    <row r="782" spans="1:2" ht="12.75" customHeight="1">
      <c r="A782" s="66"/>
      <c r="B782" s="44"/>
    </row>
    <row r="783" spans="1:2" ht="12.75" customHeight="1">
      <c r="A783" s="66"/>
      <c r="B783" s="44"/>
    </row>
    <row r="784" spans="1:2" ht="12.75" customHeight="1">
      <c r="A784" s="66"/>
      <c r="B784" s="44"/>
    </row>
    <row r="785" spans="1:2" ht="12.75" customHeight="1">
      <c r="A785" s="66"/>
      <c r="B785" s="44"/>
    </row>
    <row r="786" spans="1:2" ht="12.75" customHeight="1">
      <c r="A786" s="66"/>
      <c r="B786" s="44"/>
    </row>
    <row r="787" spans="1:2" ht="12.75" customHeight="1">
      <c r="A787" s="66"/>
      <c r="B787" s="44"/>
    </row>
    <row r="788" spans="1:2" ht="12.75" customHeight="1">
      <c r="A788" s="66"/>
      <c r="B788" s="44"/>
    </row>
    <row r="789" spans="1:2" ht="12.75" customHeight="1">
      <c r="A789" s="66"/>
      <c r="B789" s="44"/>
    </row>
    <row r="790" spans="1:2" ht="12.75" customHeight="1">
      <c r="A790" s="66"/>
      <c r="B790" s="44"/>
    </row>
    <row r="791" spans="1:2" ht="12.75" customHeight="1">
      <c r="A791" s="66"/>
      <c r="B791" s="44"/>
    </row>
    <row r="792" spans="1:2" ht="12.75" customHeight="1">
      <c r="A792" s="66"/>
      <c r="B792" s="44"/>
    </row>
    <row r="793" spans="1:2" ht="12.75" customHeight="1">
      <c r="A793" s="66"/>
      <c r="B793" s="44"/>
    </row>
    <row r="794" spans="1:2" ht="12.75" customHeight="1">
      <c r="A794" s="66"/>
      <c r="B794" s="44"/>
    </row>
    <row r="795" spans="1:2" ht="12.75" customHeight="1">
      <c r="A795" s="66"/>
      <c r="B795" s="44"/>
    </row>
    <row r="796" spans="1:2" ht="12.75" customHeight="1">
      <c r="A796" s="66"/>
      <c r="B796" s="44"/>
    </row>
    <row r="797" spans="1:2" ht="12.75" customHeight="1">
      <c r="A797" s="66"/>
      <c r="B797" s="44"/>
    </row>
    <row r="798" spans="1:2" ht="12.75" customHeight="1">
      <c r="A798" s="66"/>
      <c r="B798" s="44"/>
    </row>
    <row r="799" spans="1:2" ht="12.75" customHeight="1">
      <c r="A799" s="66"/>
      <c r="B799" s="44"/>
    </row>
    <row r="800" spans="1:2" ht="12.75" customHeight="1">
      <c r="A800" s="66"/>
      <c r="B800" s="44"/>
    </row>
    <row r="801" spans="1:2" ht="12.75" customHeight="1">
      <c r="A801" s="66"/>
      <c r="B801" s="44"/>
    </row>
    <row r="802" spans="1:2" ht="12.75" customHeight="1">
      <c r="A802" s="66"/>
      <c r="B802" s="44"/>
    </row>
    <row r="803" spans="1:2" ht="12.75" customHeight="1">
      <c r="A803" s="66"/>
      <c r="B803" s="44"/>
    </row>
    <row r="804" spans="1:2" ht="12.75" customHeight="1">
      <c r="A804" s="66"/>
      <c r="B804" s="44"/>
    </row>
    <row r="805" spans="1:2" ht="12.75" customHeight="1">
      <c r="A805" s="66"/>
      <c r="B805" s="44"/>
    </row>
    <row r="806" spans="1:2" ht="12.75" customHeight="1">
      <c r="A806" s="66"/>
      <c r="B806" s="44"/>
    </row>
    <row r="807" spans="1:2" ht="12.75" customHeight="1">
      <c r="A807" s="66"/>
      <c r="B807" s="44"/>
    </row>
    <row r="808" spans="1:2" ht="12.75" customHeight="1">
      <c r="A808" s="66"/>
      <c r="B808" s="44"/>
    </row>
    <row r="809" spans="1:2" ht="12.75" customHeight="1">
      <c r="A809" s="66"/>
      <c r="B809" s="44"/>
    </row>
    <row r="810" spans="1:2" ht="12.75" customHeight="1">
      <c r="A810" s="66"/>
      <c r="B810" s="44"/>
    </row>
    <row r="811" spans="1:2" ht="12.75" customHeight="1">
      <c r="A811" s="66"/>
      <c r="B811" s="44"/>
    </row>
    <row r="812" spans="1:2" ht="12.75" customHeight="1">
      <c r="A812" s="66"/>
      <c r="B812" s="44"/>
    </row>
    <row r="813" spans="1:2" ht="12.75" customHeight="1">
      <c r="A813" s="66"/>
      <c r="B813" s="44"/>
    </row>
    <row r="814" spans="1:2" ht="12.75" customHeight="1">
      <c r="A814" s="66"/>
      <c r="B814" s="44"/>
    </row>
    <row r="815" spans="1:2" ht="12.75" customHeight="1">
      <c r="A815" s="66"/>
      <c r="B815" s="44"/>
    </row>
    <row r="816" spans="1:2" ht="12.75" customHeight="1">
      <c r="A816" s="66"/>
      <c r="B816" s="44"/>
    </row>
    <row r="817" spans="1:2" ht="12.75" customHeight="1">
      <c r="A817" s="66"/>
      <c r="B817" s="44"/>
    </row>
    <row r="818" spans="1:2" ht="12.75" customHeight="1">
      <c r="A818" s="66"/>
      <c r="B818" s="44"/>
    </row>
    <row r="819" spans="1:2" ht="12.75" customHeight="1">
      <c r="A819" s="66"/>
      <c r="B819" s="44"/>
    </row>
    <row r="820" spans="1:2" ht="12.75" customHeight="1">
      <c r="A820" s="66"/>
      <c r="B820" s="44"/>
    </row>
    <row r="821" spans="1:2" ht="12.75" customHeight="1">
      <c r="A821" s="66"/>
      <c r="B821" s="44"/>
    </row>
    <row r="822" spans="1:2" ht="12.75" customHeight="1">
      <c r="A822" s="66"/>
      <c r="B822" s="44"/>
    </row>
    <row r="823" spans="1:2" ht="12.75" customHeight="1">
      <c r="A823" s="66"/>
      <c r="B823" s="44"/>
    </row>
    <row r="824" spans="1:2" ht="12.75" customHeight="1">
      <c r="A824" s="66"/>
      <c r="B824" s="44"/>
    </row>
    <row r="825" spans="1:2" ht="12.75" customHeight="1">
      <c r="A825" s="66"/>
      <c r="B825" s="44"/>
    </row>
    <row r="826" spans="1:2" ht="12.75" customHeight="1">
      <c r="A826" s="66"/>
      <c r="B826" s="44"/>
    </row>
    <row r="827" spans="1:2" ht="12.75" customHeight="1">
      <c r="A827" s="66"/>
      <c r="B827" s="44"/>
    </row>
    <row r="828" spans="1:2" ht="12.75" customHeight="1">
      <c r="A828" s="66"/>
      <c r="B828" s="44"/>
    </row>
    <row r="829" spans="1:2" ht="12.75" customHeight="1">
      <c r="A829" s="66"/>
      <c r="B829" s="44"/>
    </row>
    <row r="830" spans="1:2" ht="12.75" customHeight="1">
      <c r="A830" s="66"/>
      <c r="B830" s="44"/>
    </row>
    <row r="831" spans="1:2" ht="12.75" customHeight="1">
      <c r="A831" s="66"/>
      <c r="B831" s="44"/>
    </row>
    <row r="832" spans="1:2" ht="12.75" customHeight="1">
      <c r="A832" s="66"/>
      <c r="B832" s="44"/>
    </row>
    <row r="833" spans="1:2" ht="12.75" customHeight="1">
      <c r="A833" s="66"/>
      <c r="B833" s="44"/>
    </row>
    <row r="834" spans="1:2" ht="12.75" customHeight="1">
      <c r="A834" s="66"/>
      <c r="B834" s="44"/>
    </row>
    <row r="835" spans="1:2" ht="12.75" customHeight="1">
      <c r="A835" s="66"/>
      <c r="B835" s="44"/>
    </row>
    <row r="836" spans="1:2" ht="12.75" customHeight="1">
      <c r="A836" s="66"/>
      <c r="B836" s="44"/>
    </row>
    <row r="837" spans="1:2" ht="12.75" customHeight="1">
      <c r="A837" s="66"/>
      <c r="B837" s="44"/>
    </row>
    <row r="838" spans="1:2" ht="12.75" customHeight="1">
      <c r="A838" s="66"/>
      <c r="B838" s="44"/>
    </row>
    <row r="839" spans="1:2" ht="12.75" customHeight="1">
      <c r="A839" s="66"/>
      <c r="B839" s="44"/>
    </row>
    <row r="840" spans="1:2" ht="12.75" customHeight="1">
      <c r="A840" s="66"/>
      <c r="B840" s="44"/>
    </row>
    <row r="841" spans="1:2" ht="12.75" customHeight="1">
      <c r="A841" s="66"/>
      <c r="B841" s="44"/>
    </row>
    <row r="842" spans="1:2" ht="12.75" customHeight="1">
      <c r="A842" s="66"/>
      <c r="B842" s="44"/>
    </row>
    <row r="843" spans="1:2" ht="12.75" customHeight="1">
      <c r="A843" s="66"/>
      <c r="B843" s="44"/>
    </row>
    <row r="844" spans="1:2" ht="12.75" customHeight="1">
      <c r="A844" s="66"/>
      <c r="B844" s="44"/>
    </row>
    <row r="845" spans="1:2" ht="12.75" customHeight="1">
      <c r="A845" s="66"/>
      <c r="B845" s="44"/>
    </row>
    <row r="846" spans="1:2" ht="12.75" customHeight="1">
      <c r="A846" s="66"/>
      <c r="B846" s="44"/>
    </row>
    <row r="847" spans="1:2" ht="12.75" customHeight="1">
      <c r="A847" s="66"/>
      <c r="B847" s="44"/>
    </row>
    <row r="848" spans="1:2" ht="12.75" customHeight="1">
      <c r="A848" s="66"/>
      <c r="B848" s="44"/>
    </row>
    <row r="849" spans="1:2" ht="12.75" customHeight="1">
      <c r="A849" s="66"/>
      <c r="B849" s="44"/>
    </row>
    <row r="850" spans="1:2" ht="12.75" customHeight="1">
      <c r="A850" s="66"/>
      <c r="B850" s="44"/>
    </row>
    <row r="851" spans="1:2" ht="12.75" customHeight="1">
      <c r="A851" s="66"/>
      <c r="B851" s="44"/>
    </row>
    <row r="852" spans="1:2" ht="12.75" customHeight="1">
      <c r="A852" s="66"/>
      <c r="B852" s="44"/>
    </row>
    <row r="853" spans="1:2" ht="12.75" customHeight="1">
      <c r="A853" s="66"/>
      <c r="B853" s="44"/>
    </row>
    <row r="854" spans="1:2" ht="12.75" customHeight="1">
      <c r="A854" s="66"/>
      <c r="B854" s="44"/>
    </row>
    <row r="855" spans="1:2" ht="12.75" customHeight="1">
      <c r="A855" s="66"/>
      <c r="B855" s="44"/>
    </row>
    <row r="856" spans="1:2" ht="12.75" customHeight="1">
      <c r="A856" s="66"/>
      <c r="B856" s="44"/>
    </row>
    <row r="857" spans="1:2" ht="12.75" customHeight="1">
      <c r="A857" s="66"/>
      <c r="B857" s="44"/>
    </row>
    <row r="858" spans="1:2" ht="12.75" customHeight="1">
      <c r="A858" s="66"/>
      <c r="B858" s="44"/>
    </row>
    <row r="859" spans="1:2" ht="12.75" customHeight="1">
      <c r="A859" s="66"/>
      <c r="B859" s="44"/>
    </row>
    <row r="860" spans="1:2" ht="12.75" customHeight="1">
      <c r="A860" s="66"/>
      <c r="B860" s="44"/>
    </row>
    <row r="861" spans="1:2" ht="12.75" customHeight="1">
      <c r="A861" s="66"/>
      <c r="B861" s="44"/>
    </row>
    <row r="862" spans="1:2" ht="12.75" customHeight="1">
      <c r="A862" s="66"/>
      <c r="B862" s="44"/>
    </row>
    <row r="863" spans="1:2" ht="12.75" customHeight="1">
      <c r="A863" s="66"/>
      <c r="B863" s="44"/>
    </row>
    <row r="864" spans="1:2" ht="12.75" customHeight="1">
      <c r="A864" s="66"/>
      <c r="B864" s="44"/>
    </row>
    <row r="865" spans="1:2" ht="12.75" customHeight="1">
      <c r="A865" s="66"/>
      <c r="B865" s="44"/>
    </row>
    <row r="866" spans="1:2" ht="12.75" customHeight="1">
      <c r="A866" s="66"/>
      <c r="B866" s="44"/>
    </row>
    <row r="867" spans="1:2" ht="12.75" customHeight="1">
      <c r="A867" s="66"/>
      <c r="B867" s="44"/>
    </row>
    <row r="868" spans="1:2" ht="12.75" customHeight="1">
      <c r="A868" s="66"/>
      <c r="B868" s="44"/>
    </row>
    <row r="869" spans="1:2" ht="12.75" customHeight="1">
      <c r="A869" s="66"/>
      <c r="B869" s="44"/>
    </row>
    <row r="870" spans="1:2" ht="12.75" customHeight="1">
      <c r="A870" s="66"/>
      <c r="B870" s="44"/>
    </row>
    <row r="871" spans="1:2" ht="12.75" customHeight="1">
      <c r="A871" s="66"/>
      <c r="B871" s="44"/>
    </row>
    <row r="872" spans="1:2" ht="12.75" customHeight="1">
      <c r="A872" s="66"/>
      <c r="B872" s="44"/>
    </row>
    <row r="873" spans="1:2" ht="12.75" customHeight="1">
      <c r="A873" s="66"/>
      <c r="B873" s="44"/>
    </row>
    <row r="874" spans="1:2" ht="12.75" customHeight="1">
      <c r="A874" s="66"/>
      <c r="B874" s="44"/>
    </row>
    <row r="875" spans="1:2" ht="12.75" customHeight="1">
      <c r="A875" s="66"/>
      <c r="B875" s="44"/>
    </row>
    <row r="876" spans="1:2" ht="12.75" customHeight="1">
      <c r="A876" s="66"/>
      <c r="B876" s="44"/>
    </row>
    <row r="877" spans="1:2" ht="12.75" customHeight="1">
      <c r="A877" s="66"/>
      <c r="B877" s="44"/>
    </row>
    <row r="878" spans="1:2" ht="12.75" customHeight="1">
      <c r="A878" s="66"/>
      <c r="B878" s="44"/>
    </row>
    <row r="879" spans="1:2" ht="12.75" customHeight="1">
      <c r="A879" s="66"/>
      <c r="B879" s="44"/>
    </row>
    <row r="880" spans="1:2" ht="12.75" customHeight="1">
      <c r="A880" s="66"/>
      <c r="B880" s="44"/>
    </row>
    <row r="881" spans="1:2" ht="12.75" customHeight="1">
      <c r="A881" s="66"/>
      <c r="B881" s="44"/>
    </row>
    <row r="882" spans="1:2" ht="12.75" customHeight="1">
      <c r="A882" s="66"/>
      <c r="B882" s="44"/>
    </row>
    <row r="883" spans="1:2" ht="12.75" customHeight="1">
      <c r="A883" s="66"/>
      <c r="B883" s="44"/>
    </row>
    <row r="884" spans="1:2" ht="12.75" customHeight="1">
      <c r="A884" s="66"/>
      <c r="B884" s="44"/>
    </row>
    <row r="885" spans="1:2" ht="12.75" customHeight="1">
      <c r="A885" s="66"/>
      <c r="B885" s="44"/>
    </row>
    <row r="886" spans="1:2" ht="12.75" customHeight="1">
      <c r="A886" s="66"/>
      <c r="B886" s="44"/>
    </row>
    <row r="887" spans="1:2" ht="12.75" customHeight="1">
      <c r="A887" s="66"/>
      <c r="B887" s="44"/>
    </row>
    <row r="888" spans="1:2" ht="12.75" customHeight="1">
      <c r="A888" s="66"/>
      <c r="B888" s="44"/>
    </row>
    <row r="889" spans="1:2" ht="12.75" customHeight="1">
      <c r="A889" s="66"/>
      <c r="B889" s="44"/>
    </row>
    <row r="890" spans="1:2" ht="12.75" customHeight="1">
      <c r="A890" s="66"/>
      <c r="B890" s="44"/>
    </row>
    <row r="891" spans="1:2" ht="12.75" customHeight="1">
      <c r="A891" s="66"/>
      <c r="B891" s="44"/>
    </row>
    <row r="892" spans="1:2" ht="12.75" customHeight="1">
      <c r="A892" s="66"/>
      <c r="B892" s="44"/>
    </row>
    <row r="893" spans="1:2" ht="12.75" customHeight="1">
      <c r="A893" s="66"/>
      <c r="B893" s="44"/>
    </row>
    <row r="894" spans="1:2" ht="12.75" customHeight="1">
      <c r="A894" s="66"/>
      <c r="B894" s="44"/>
    </row>
    <row r="895" spans="1:2" ht="12.75" customHeight="1">
      <c r="A895" s="66"/>
      <c r="B895" s="44"/>
    </row>
    <row r="896" spans="1:2" ht="12.75" customHeight="1">
      <c r="A896" s="66"/>
      <c r="B896" s="44"/>
    </row>
    <row r="897" spans="1:2" ht="12.75" customHeight="1">
      <c r="A897" s="66"/>
      <c r="B897" s="44"/>
    </row>
    <row r="898" spans="1:2" ht="12.75" customHeight="1">
      <c r="A898" s="66"/>
      <c r="B898" s="44"/>
    </row>
    <row r="899" spans="1:2" ht="12.75" customHeight="1">
      <c r="A899" s="66"/>
      <c r="B899" s="44"/>
    </row>
    <row r="900" spans="1:2" ht="12.75" customHeight="1">
      <c r="A900" s="66"/>
      <c r="B900" s="44"/>
    </row>
    <row r="901" spans="1:2" ht="12.75" customHeight="1">
      <c r="A901" s="66"/>
      <c r="B901" s="44"/>
    </row>
    <row r="902" spans="1:2" ht="12.75" customHeight="1">
      <c r="A902" s="66"/>
      <c r="B902" s="44"/>
    </row>
    <row r="903" spans="1:2" ht="12.75" customHeight="1">
      <c r="A903" s="66"/>
      <c r="B903" s="44"/>
    </row>
    <row r="904" spans="1:2" ht="12.75" customHeight="1">
      <c r="A904" s="66"/>
      <c r="B904" s="44"/>
    </row>
    <row r="905" spans="1:2" ht="12.75" customHeight="1">
      <c r="A905" s="66"/>
      <c r="B905" s="44"/>
    </row>
    <row r="906" spans="1:2" ht="12.75" customHeight="1">
      <c r="A906" s="66"/>
      <c r="B906" s="44"/>
    </row>
    <row r="907" spans="1:2" ht="12.75" customHeight="1">
      <c r="A907" s="66"/>
      <c r="B907" s="44"/>
    </row>
    <row r="908" spans="1:2" ht="12.75" customHeight="1">
      <c r="A908" s="66"/>
      <c r="B908" s="44"/>
    </row>
    <row r="909" spans="1:2" ht="12.75" customHeight="1">
      <c r="A909" s="66"/>
      <c r="B909" s="44"/>
    </row>
    <row r="910" spans="1:2" ht="12.75" customHeight="1">
      <c r="A910" s="66"/>
      <c r="B910" s="44"/>
    </row>
    <row r="911" spans="1:2" ht="12.75" customHeight="1">
      <c r="A911" s="66"/>
      <c r="B911" s="44"/>
    </row>
    <row r="912" spans="1:2" ht="12.75" customHeight="1">
      <c r="A912" s="66"/>
      <c r="B912" s="44"/>
    </row>
    <row r="913" spans="1:2" ht="12.75" customHeight="1">
      <c r="A913" s="66"/>
      <c r="B913" s="44"/>
    </row>
    <row r="914" spans="1:2" ht="12.75" customHeight="1">
      <c r="A914" s="66"/>
      <c r="B914" s="44"/>
    </row>
    <row r="915" spans="1:2" ht="12.75" customHeight="1">
      <c r="A915" s="66"/>
      <c r="B915" s="44"/>
    </row>
    <row r="916" spans="1:2" ht="12.75" customHeight="1">
      <c r="A916" s="66"/>
      <c r="B916" s="44"/>
    </row>
    <row r="917" spans="1:2" ht="12.75" customHeight="1">
      <c r="A917" s="66"/>
      <c r="B917" s="44"/>
    </row>
    <row r="918" spans="1:2" ht="12.75" customHeight="1">
      <c r="A918" s="66"/>
      <c r="B918" s="44"/>
    </row>
    <row r="919" spans="1:2" ht="12.75" customHeight="1">
      <c r="A919" s="66"/>
      <c r="B919" s="44"/>
    </row>
    <row r="920" spans="1:2" ht="12.75" customHeight="1">
      <c r="A920" s="66"/>
      <c r="B920" s="44"/>
    </row>
    <row r="921" spans="1:2" ht="12.75" customHeight="1">
      <c r="A921" s="66"/>
      <c r="B921" s="44"/>
    </row>
    <row r="922" spans="1:2" ht="12.75" customHeight="1">
      <c r="A922" s="66"/>
      <c r="B922" s="44"/>
    </row>
    <row r="923" spans="1:2" ht="12.75" customHeight="1">
      <c r="A923" s="66"/>
      <c r="B923" s="44"/>
    </row>
    <row r="924" spans="1:2" ht="12.75" customHeight="1">
      <c r="A924" s="66"/>
      <c r="B924" s="44"/>
    </row>
    <row r="925" spans="1:2" ht="12.75" customHeight="1">
      <c r="A925" s="66"/>
      <c r="B925" s="44"/>
    </row>
    <row r="926" spans="1:2" ht="12.75" customHeight="1">
      <c r="A926" s="66"/>
      <c r="B926" s="44"/>
    </row>
    <row r="927" spans="1:2" ht="12.75" customHeight="1">
      <c r="A927" s="66"/>
      <c r="B927" s="44"/>
    </row>
    <row r="928" spans="1:2" ht="12.75" customHeight="1">
      <c r="A928" s="66"/>
      <c r="B928" s="44"/>
    </row>
    <row r="929" spans="1:2" ht="12.75" customHeight="1">
      <c r="A929" s="66"/>
      <c r="B929" s="44"/>
    </row>
    <row r="930" spans="1:2" ht="12.75" customHeight="1">
      <c r="A930" s="66"/>
      <c r="B930" s="44"/>
    </row>
    <row r="931" spans="1:2" ht="12.75" customHeight="1">
      <c r="A931" s="66"/>
      <c r="B931" s="44"/>
    </row>
    <row r="932" spans="1:2" ht="12.75" customHeight="1">
      <c r="A932" s="66"/>
      <c r="B932" s="44"/>
    </row>
    <row r="933" spans="1:2" ht="12.75" customHeight="1">
      <c r="A933" s="66"/>
      <c r="B933" s="44"/>
    </row>
    <row r="934" spans="1:2" ht="12.75" customHeight="1">
      <c r="A934" s="66"/>
      <c r="B934" s="44"/>
    </row>
    <row r="935" spans="1:2" ht="12.75" customHeight="1">
      <c r="A935" s="66"/>
      <c r="B935" s="44"/>
    </row>
    <row r="936" spans="1:2" ht="12.75" customHeight="1">
      <c r="A936" s="66"/>
      <c r="B936" s="44"/>
    </row>
    <row r="937" spans="1:2" ht="12.75" customHeight="1">
      <c r="A937" s="66"/>
      <c r="B937" s="44"/>
    </row>
    <row r="938" spans="1:2" ht="12.75" customHeight="1">
      <c r="A938" s="66"/>
      <c r="B938" s="44"/>
    </row>
    <row r="939" spans="1:2" ht="12.75" customHeight="1">
      <c r="A939" s="66"/>
      <c r="B939" s="44"/>
    </row>
    <row r="940" spans="1:2" ht="12.75" customHeight="1">
      <c r="A940" s="66"/>
      <c r="B940" s="44"/>
    </row>
    <row r="941" spans="1:2" ht="12.75" customHeight="1">
      <c r="A941" s="66"/>
      <c r="B941" s="44"/>
    </row>
    <row r="942" spans="1:2" ht="12.75" customHeight="1">
      <c r="A942" s="66"/>
      <c r="B942" s="44"/>
    </row>
    <row r="943" spans="1:2" ht="12.75" customHeight="1">
      <c r="A943" s="66"/>
      <c r="B943" s="44"/>
    </row>
    <row r="944" spans="1:2" ht="12.75" customHeight="1">
      <c r="A944" s="66"/>
      <c r="B944" s="44"/>
    </row>
    <row r="945" spans="1:2" ht="12.75" customHeight="1">
      <c r="A945" s="66"/>
      <c r="B945" s="44"/>
    </row>
    <row r="946" spans="1:2" ht="12.75" customHeight="1">
      <c r="A946" s="66"/>
      <c r="B946" s="44"/>
    </row>
    <row r="947" spans="1:2" ht="12.75" customHeight="1">
      <c r="A947" s="66"/>
      <c r="B947" s="44"/>
    </row>
    <row r="948" spans="1:2" ht="12.75" customHeight="1">
      <c r="A948" s="66"/>
      <c r="B948" s="44"/>
    </row>
    <row r="949" spans="1:2" ht="12.75" customHeight="1">
      <c r="A949" s="66"/>
      <c r="B949" s="44"/>
    </row>
    <row r="950" spans="1:2" ht="12.75" customHeight="1">
      <c r="A950" s="66"/>
      <c r="B950" s="44"/>
    </row>
    <row r="951" spans="1:2" ht="12.75" customHeight="1">
      <c r="A951" s="66"/>
      <c r="B951" s="44"/>
    </row>
    <row r="952" spans="1:2" ht="12.75" customHeight="1">
      <c r="A952" s="66"/>
      <c r="B952" s="44"/>
    </row>
    <row r="953" spans="1:2" ht="12.75" customHeight="1">
      <c r="A953" s="66"/>
      <c r="B953" s="44"/>
    </row>
    <row r="954" spans="1:2" ht="12.75" customHeight="1">
      <c r="A954" s="66"/>
      <c r="B954" s="44"/>
    </row>
    <row r="955" spans="1:2" ht="12.75" customHeight="1">
      <c r="A955" s="66"/>
      <c r="B955" s="44"/>
    </row>
    <row r="956" spans="1:2" ht="12.75" customHeight="1">
      <c r="A956" s="66"/>
      <c r="B956" s="44"/>
    </row>
    <row r="957" spans="1:2" ht="12.75" customHeight="1">
      <c r="A957" s="66"/>
      <c r="B957" s="44"/>
    </row>
    <row r="958" spans="1:2" ht="12.75" customHeight="1">
      <c r="A958" s="66"/>
      <c r="B958" s="44"/>
    </row>
    <row r="959" spans="1:2" ht="12.75" customHeight="1">
      <c r="A959" s="66"/>
      <c r="B959" s="44"/>
    </row>
    <row r="960" spans="1:2" ht="12.75" customHeight="1">
      <c r="A960" s="66"/>
      <c r="B960" s="44"/>
    </row>
    <row r="961" spans="1:2" ht="12.75" customHeight="1">
      <c r="A961" s="66"/>
      <c r="B961" s="44"/>
    </row>
    <row r="962" spans="1:2" ht="12.75" customHeight="1">
      <c r="A962" s="66"/>
      <c r="B962" s="44"/>
    </row>
    <row r="963" spans="1:2" ht="12.75" customHeight="1">
      <c r="A963" s="66"/>
      <c r="B963" s="44"/>
    </row>
    <row r="964" spans="1:2" ht="12.75" customHeight="1">
      <c r="A964" s="66"/>
      <c r="B964" s="44"/>
    </row>
    <row r="965" spans="1:2" ht="12.75" customHeight="1">
      <c r="A965" s="66"/>
      <c r="B965" s="44"/>
    </row>
    <row r="966" spans="1:2" ht="12.75" customHeight="1">
      <c r="A966" s="66"/>
      <c r="B966" s="44"/>
    </row>
    <row r="967" spans="1:2" ht="12.75" customHeight="1">
      <c r="A967" s="66"/>
      <c r="B967" s="44"/>
    </row>
    <row r="968" spans="1:2" ht="12.75" customHeight="1">
      <c r="A968" s="66"/>
      <c r="B968" s="44"/>
    </row>
    <row r="969" spans="1:2" ht="12.75" customHeight="1">
      <c r="A969" s="66"/>
      <c r="B969" s="44"/>
    </row>
    <row r="970" spans="1:2" ht="12.75" customHeight="1">
      <c r="A970" s="66"/>
      <c r="B970" s="44"/>
    </row>
    <row r="971" spans="1:2" ht="12.75" customHeight="1">
      <c r="A971" s="66"/>
      <c r="B971" s="44"/>
    </row>
    <row r="972" spans="1:2" ht="12.75" customHeight="1">
      <c r="A972" s="66"/>
      <c r="B972" s="44"/>
    </row>
    <row r="973" spans="1:2" ht="12.75" customHeight="1">
      <c r="A973" s="66"/>
      <c r="B973" s="44"/>
    </row>
    <row r="974" spans="1:2" ht="12.75" customHeight="1">
      <c r="A974" s="66"/>
      <c r="B974" s="44"/>
    </row>
    <row r="975" spans="1:2" ht="12.75" customHeight="1">
      <c r="A975" s="66"/>
      <c r="B975" s="44"/>
    </row>
    <row r="976" spans="1:2" ht="12.75" customHeight="1">
      <c r="A976" s="66"/>
      <c r="B976" s="44"/>
    </row>
    <row r="977" spans="1:2" ht="12.75" customHeight="1">
      <c r="A977" s="66"/>
      <c r="B977" s="44"/>
    </row>
    <row r="978" spans="1:2" ht="12.75" customHeight="1">
      <c r="A978" s="66"/>
      <c r="B978" s="44"/>
    </row>
    <row r="979" spans="1:2" ht="12.75" customHeight="1">
      <c r="A979" s="66"/>
      <c r="B979" s="44"/>
    </row>
    <row r="980" spans="1:2" ht="12.75" customHeight="1">
      <c r="A980" s="66"/>
      <c r="B980" s="44"/>
    </row>
    <row r="981" spans="1:2" ht="12.75" customHeight="1">
      <c r="A981" s="66"/>
      <c r="B981" s="44"/>
    </row>
    <row r="982" spans="1:2" ht="12.75" customHeight="1">
      <c r="A982" s="66"/>
      <c r="B982" s="44"/>
    </row>
    <row r="983" spans="1:2" ht="12.75" customHeight="1">
      <c r="A983" s="66"/>
      <c r="B983" s="44"/>
    </row>
    <row r="984" spans="1:2" ht="12.75" customHeight="1">
      <c r="A984" s="66"/>
      <c r="B984" s="44"/>
    </row>
    <row r="985" spans="1:2" ht="12.75" customHeight="1">
      <c r="A985" s="66"/>
      <c r="B985" s="44"/>
    </row>
    <row r="986" spans="1:2" ht="12.75" customHeight="1">
      <c r="A986" s="66"/>
      <c r="B986" s="44"/>
    </row>
    <row r="987" spans="1:2" ht="12.75" customHeight="1">
      <c r="A987" s="66"/>
      <c r="B987" s="44"/>
    </row>
    <row r="988" spans="1:2" ht="12.75" customHeight="1">
      <c r="A988" s="66"/>
      <c r="B988" s="44"/>
    </row>
    <row r="989" spans="1:2" ht="12.75" customHeight="1">
      <c r="A989" s="66"/>
      <c r="B989" s="44"/>
    </row>
    <row r="990" spans="1:2" ht="12.75" customHeight="1">
      <c r="A990" s="66"/>
      <c r="B990" s="44"/>
    </row>
    <row r="991" spans="1:2" ht="12.75" customHeight="1">
      <c r="A991" s="66"/>
      <c r="B991" s="44"/>
    </row>
    <row r="992" spans="1:2" ht="12.75" customHeight="1">
      <c r="A992" s="66"/>
      <c r="B992" s="44"/>
    </row>
    <row r="993" spans="1:2" ht="12.75" customHeight="1">
      <c r="A993" s="66"/>
      <c r="B993" s="44"/>
    </row>
    <row r="994" spans="1:2" ht="12.75" customHeight="1">
      <c r="A994" s="66"/>
      <c r="B994" s="44"/>
    </row>
    <row r="995" spans="1:2" ht="12.75" customHeight="1">
      <c r="A995" s="66"/>
      <c r="B995" s="44"/>
    </row>
    <row r="996" spans="1:2" ht="12.75" customHeight="1">
      <c r="A996" s="66"/>
      <c r="B996" s="44"/>
    </row>
    <row r="997" spans="1:2" ht="12.75" customHeight="1">
      <c r="A997" s="66"/>
      <c r="B997" s="44"/>
    </row>
    <row r="998" spans="1:2" ht="12.75" customHeight="1">
      <c r="A998" s="66"/>
      <c r="B998" s="44"/>
    </row>
    <row r="999" spans="1:2" ht="12.75" customHeight="1">
      <c r="A999" s="66"/>
      <c r="B999" s="44"/>
    </row>
    <row r="1000" spans="1:2" ht="12.75" customHeight="1">
      <c r="A1000" s="66"/>
      <c r="B1000" s="44"/>
    </row>
    <row r="1001" spans="1:2" ht="12.75" customHeight="1">
      <c r="A1001" s="66"/>
      <c r="B1001" s="44"/>
    </row>
    <row r="1002" spans="1:2" ht="12.75" customHeight="1">
      <c r="A1002" s="66"/>
      <c r="B1002" s="44"/>
    </row>
    <row r="1003" spans="1:2" ht="12.75" customHeight="1">
      <c r="A1003" s="66"/>
      <c r="B1003" s="44"/>
    </row>
    <row r="1004" spans="1:2" ht="12.75" customHeight="1">
      <c r="A1004" s="66"/>
      <c r="B1004" s="44"/>
    </row>
    <row r="1005" spans="1:2" ht="12.75" customHeight="1">
      <c r="A1005" s="66"/>
      <c r="B1005" s="44"/>
    </row>
    <row r="1006" spans="1:2" ht="12.75" customHeight="1">
      <c r="A1006" s="66"/>
      <c r="B1006" s="44"/>
    </row>
    <row r="1007" spans="1:2" ht="12.75" customHeight="1">
      <c r="A1007" s="66"/>
      <c r="B1007" s="44"/>
    </row>
    <row r="1008" spans="1:2" ht="12.75" customHeight="1">
      <c r="A1008" s="66"/>
      <c r="B1008" s="44"/>
    </row>
    <row r="1009" spans="1:2" ht="12.75" customHeight="1">
      <c r="A1009" s="66"/>
      <c r="B1009" s="44"/>
    </row>
    <row r="1010" spans="1:2" ht="12.75" customHeight="1">
      <c r="A1010" s="66"/>
      <c r="B1010" s="44"/>
    </row>
    <row r="1011" spans="1:2" ht="12.75" customHeight="1">
      <c r="A1011" s="66"/>
      <c r="B1011" s="44"/>
    </row>
    <row r="1012" spans="1:2" ht="12.75" customHeight="1">
      <c r="A1012" s="66"/>
      <c r="B1012" s="44"/>
    </row>
    <row r="1013" spans="1:2" ht="12.75" customHeight="1">
      <c r="A1013" s="66"/>
      <c r="B1013" s="44"/>
    </row>
    <row r="1014" spans="1:2" ht="12.75" customHeight="1">
      <c r="A1014" s="66"/>
      <c r="B1014" s="44"/>
    </row>
    <row r="1015" spans="1:2" ht="12.75" customHeight="1">
      <c r="A1015" s="66"/>
      <c r="B1015" s="44"/>
    </row>
    <row r="1016" spans="1:2" ht="12.75" customHeight="1">
      <c r="A1016" s="66"/>
      <c r="B1016" s="44"/>
    </row>
    <row r="1017" spans="1:2" ht="12.75" customHeight="1">
      <c r="A1017" s="66"/>
      <c r="B1017" s="44"/>
    </row>
    <row r="1018" spans="1:2" ht="12.75" customHeight="1">
      <c r="A1018" s="66"/>
      <c r="B1018" s="44"/>
    </row>
    <row r="1019" spans="1:2" ht="12.75" customHeight="1">
      <c r="A1019" s="66"/>
      <c r="B1019" s="44"/>
    </row>
    <row r="1020" spans="1:2" ht="12.75" customHeight="1">
      <c r="A1020" s="66"/>
      <c r="B1020" s="44"/>
    </row>
    <row r="1021" spans="1:2" ht="12.75" customHeight="1">
      <c r="A1021" s="66"/>
      <c r="B1021" s="44"/>
    </row>
  </sheetData>
  <mergeCells count="7">
    <mergeCell ref="B150:E150"/>
    <mergeCell ref="A152:F152"/>
    <mergeCell ref="A1:F1"/>
    <mergeCell ref="A2:F2"/>
    <mergeCell ref="A25:E25"/>
    <mergeCell ref="B50:E50"/>
    <mergeCell ref="A112:E112"/>
  </mergeCells>
  <pageMargins left="0.7" right="0.7" top="0.75" bottom="0.75" header="0" footer="0"/>
  <pageSetup orientation="landscape" r:id="rId1"/>
  <headerFooter>
    <oddHeader>&amp;L&amp;C&amp;R</oddHeader>
    <oddFooter>&amp;L&amp;C&amp;R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34CD6-F124-EF98-0BD5-CDBE1708CAC8}">
  <dimension ref="A1:L1403"/>
  <sheetViews>
    <sheetView topLeftCell="A1283" zoomScaleNormal="100" workbookViewId="0">
      <selection activeCell="I473" sqref="I473"/>
    </sheetView>
  </sheetViews>
  <sheetFormatPr baseColWidth="10" defaultColWidth="12.6640625" defaultRowHeight="15" customHeight="1"/>
  <cols>
    <col min="1" max="1" width="18.6640625" customWidth="1"/>
    <col min="2" max="6" width="11.6640625" customWidth="1"/>
    <col min="7" max="7" width="14.5546875" style="192" customWidth="1"/>
    <col min="8" max="8" width="10" customWidth="1"/>
    <col min="9" max="9" width="16.44140625" customWidth="1"/>
    <col min="10" max="10" width="12.88671875" customWidth="1"/>
    <col min="11" max="26" width="10" customWidth="1"/>
  </cols>
  <sheetData>
    <row r="1" spans="1:12" ht="15" customHeight="1">
      <c r="A1" s="468" t="s">
        <v>174</v>
      </c>
      <c r="B1" s="457"/>
      <c r="C1" s="457"/>
      <c r="D1" s="457"/>
      <c r="E1" s="457"/>
      <c r="F1" s="457"/>
      <c r="G1" s="457"/>
    </row>
    <row r="2" spans="1:12" ht="12.75" customHeight="1" thickBot="1">
      <c r="A2" s="77"/>
      <c r="B2" s="77"/>
      <c r="C2" s="77"/>
      <c r="D2" s="77"/>
      <c r="E2" s="77"/>
      <c r="F2" s="77"/>
    </row>
    <row r="3" spans="1:12" ht="12.75" customHeight="1">
      <c r="A3" s="404" t="s">
        <v>175</v>
      </c>
      <c r="B3" s="405"/>
      <c r="C3" s="405"/>
      <c r="D3" s="428"/>
      <c r="E3" s="428"/>
      <c r="F3" s="428"/>
      <c r="G3" s="429"/>
    </row>
    <row r="4" spans="1:12" ht="12.75" customHeight="1">
      <c r="A4" s="406" t="s">
        <v>496</v>
      </c>
      <c r="B4" s="401"/>
      <c r="C4" s="401"/>
      <c r="D4" s="401"/>
      <c r="E4" s="195"/>
      <c r="F4" s="402" t="s">
        <v>177</v>
      </c>
      <c r="G4" s="430">
        <f t="shared" ref="G4:G1319" ca="1" si="0">+TODAY()</f>
        <v>46289</v>
      </c>
    </row>
    <row r="5" spans="1:12" ht="12.75" customHeight="1">
      <c r="A5" s="406"/>
      <c r="B5" s="426"/>
      <c r="C5" s="426"/>
      <c r="D5" s="426"/>
      <c r="E5" s="426"/>
      <c r="F5" s="426"/>
      <c r="G5" s="431"/>
    </row>
    <row r="6" spans="1:12" ht="12.75" customHeight="1">
      <c r="A6" s="406" t="s">
        <v>178</v>
      </c>
      <c r="B6" s="401" t="s">
        <v>10</v>
      </c>
      <c r="C6" s="401"/>
      <c r="D6" s="401"/>
      <c r="E6" s="401"/>
      <c r="F6" s="401"/>
      <c r="G6" s="417"/>
    </row>
    <row r="7" spans="1:12" ht="12.75" customHeight="1">
      <c r="A7" s="406"/>
      <c r="B7" s="401"/>
      <c r="C7" s="402" t="s">
        <v>179</v>
      </c>
      <c r="D7" s="169">
        <v>4704</v>
      </c>
      <c r="E7" s="402" t="s">
        <v>180</v>
      </c>
      <c r="F7" s="169" t="s">
        <v>337</v>
      </c>
      <c r="G7" s="417"/>
    </row>
    <row r="8" spans="1:12" ht="12.75" customHeight="1">
      <c r="A8" s="406" t="s">
        <v>182</v>
      </c>
      <c r="B8" s="401"/>
      <c r="C8" s="401"/>
      <c r="D8" s="401"/>
      <c r="E8" s="401"/>
      <c r="F8" s="401"/>
      <c r="G8" s="417"/>
    </row>
    <row r="9" spans="1:12" ht="12.75" customHeight="1">
      <c r="A9" s="408" t="s">
        <v>111</v>
      </c>
      <c r="B9" s="169" t="s">
        <v>183</v>
      </c>
      <c r="C9" s="169" t="s">
        <v>184</v>
      </c>
      <c r="D9" s="169" t="s">
        <v>185</v>
      </c>
      <c r="E9" s="169" t="s">
        <v>186</v>
      </c>
      <c r="F9" s="401"/>
      <c r="G9" s="417"/>
    </row>
    <row r="10" spans="1:12" ht="12.75" customHeight="1">
      <c r="A10" s="406" t="s">
        <v>187</v>
      </c>
      <c r="B10" s="401"/>
      <c r="C10" s="401"/>
      <c r="D10" s="401"/>
      <c r="E10" s="403">
        <f t="shared" ref="E10:E1325" si="1">G38*0.05</f>
        <v>113.75</v>
      </c>
      <c r="F10" s="401"/>
      <c r="G10" s="417"/>
      <c r="K10" t="s">
        <v>188</v>
      </c>
      <c r="L10">
        <v>150000</v>
      </c>
    </row>
    <row r="11" spans="1:12" ht="12.75" customHeight="1">
      <c r="A11" s="406"/>
      <c r="B11" s="401"/>
      <c r="C11" s="401"/>
      <c r="D11" s="401"/>
      <c r="E11" s="403"/>
      <c r="F11" s="401"/>
      <c r="G11" s="417"/>
      <c r="K11" t="s">
        <v>190</v>
      </c>
      <c r="L11">
        <v>100000</v>
      </c>
    </row>
    <row r="12" spans="1:12" ht="12.75" customHeight="1">
      <c r="A12" s="406"/>
      <c r="B12" s="401"/>
      <c r="C12" s="401"/>
      <c r="D12" s="401"/>
      <c r="E12" s="403"/>
      <c r="F12" s="401"/>
      <c r="G12" s="417"/>
      <c r="K12" t="s">
        <v>192</v>
      </c>
      <c r="L12">
        <v>120000</v>
      </c>
    </row>
    <row r="13" spans="1:12" ht="12.75" customHeight="1">
      <c r="A13" s="406"/>
      <c r="B13" s="401"/>
      <c r="C13" s="401"/>
      <c r="D13" s="401"/>
      <c r="E13" s="401"/>
      <c r="F13" s="402" t="s">
        <v>189</v>
      </c>
      <c r="G13" s="417">
        <f t="shared" ref="G13:G1328" si="2">E10+E11+E12+E13</f>
        <v>113.75</v>
      </c>
      <c r="K13" t="s">
        <v>196</v>
      </c>
      <c r="L13">
        <v>120000</v>
      </c>
    </row>
    <row r="14" spans="1:12" ht="12.75" customHeight="1">
      <c r="A14" s="406" t="s">
        <v>191</v>
      </c>
      <c r="B14" s="401"/>
      <c r="C14" s="401"/>
      <c r="D14" s="401"/>
      <c r="E14" s="401"/>
      <c r="F14" s="401"/>
      <c r="G14" s="417"/>
    </row>
    <row r="15" spans="1:12" ht="12.75" customHeight="1">
      <c r="A15" s="408" t="s">
        <v>111</v>
      </c>
      <c r="B15" s="169" t="s">
        <v>193</v>
      </c>
      <c r="C15" s="169" t="s">
        <v>194</v>
      </c>
      <c r="D15" s="169" t="s">
        <v>195</v>
      </c>
      <c r="E15" s="169" t="s">
        <v>186</v>
      </c>
      <c r="F15" s="401"/>
      <c r="G15" s="417"/>
    </row>
    <row r="16" spans="1:12" ht="12.75" customHeight="1">
      <c r="A16" s="406"/>
      <c r="B16" s="169"/>
      <c r="C16" s="401"/>
      <c r="D16" s="401"/>
      <c r="E16" s="401"/>
      <c r="F16" s="401"/>
      <c r="G16" s="417"/>
    </row>
    <row r="17" spans="1:7" ht="12.75" customHeight="1">
      <c r="A17" s="406"/>
      <c r="B17" s="169"/>
      <c r="C17" s="401"/>
      <c r="D17" s="401"/>
      <c r="E17" s="401"/>
      <c r="F17" s="401"/>
      <c r="G17" s="417"/>
    </row>
    <row r="18" spans="1:7" ht="12.75" customHeight="1">
      <c r="A18" s="406"/>
      <c r="B18" s="169"/>
      <c r="C18" s="401"/>
      <c r="D18" s="401"/>
      <c r="E18" s="401"/>
      <c r="F18" s="401"/>
      <c r="G18" s="417"/>
    </row>
    <row r="19" spans="1:7" ht="12.75" customHeight="1">
      <c r="A19" s="406"/>
      <c r="B19" s="169"/>
      <c r="C19" s="401"/>
      <c r="D19" s="401"/>
      <c r="E19" s="401"/>
      <c r="F19" s="401"/>
      <c r="G19" s="417"/>
    </row>
    <row r="20" spans="1:7" ht="12.75" customHeight="1">
      <c r="A20" s="406"/>
      <c r="B20" s="401"/>
      <c r="C20" s="401"/>
      <c r="D20" s="401"/>
      <c r="E20" s="401"/>
      <c r="F20" s="401"/>
      <c r="G20" s="417"/>
    </row>
    <row r="21" spans="1:7" ht="12.75" customHeight="1">
      <c r="A21" s="406"/>
      <c r="B21" s="401"/>
      <c r="C21" s="401"/>
      <c r="D21" s="401"/>
      <c r="E21" s="401"/>
      <c r="F21" s="401"/>
      <c r="G21" s="417"/>
    </row>
    <row r="22" spans="1:7" ht="12.75" customHeight="1">
      <c r="A22" s="406"/>
      <c r="B22" s="401"/>
      <c r="C22" s="401"/>
      <c r="D22" s="401"/>
      <c r="E22" s="401"/>
      <c r="F22" s="402" t="s">
        <v>189</v>
      </c>
      <c r="G22" s="417"/>
    </row>
    <row r="23" spans="1:7" ht="12.75" customHeight="1">
      <c r="A23" s="406" t="s">
        <v>197</v>
      </c>
      <c r="B23" s="401"/>
      <c r="C23" s="401"/>
      <c r="D23" s="401"/>
      <c r="E23" s="401"/>
      <c r="F23" s="401"/>
      <c r="G23" s="417"/>
    </row>
    <row r="24" spans="1:7" ht="12.75" customHeight="1">
      <c r="A24" s="408" t="s">
        <v>198</v>
      </c>
      <c r="B24" s="169" t="s">
        <v>199</v>
      </c>
      <c r="C24" s="169" t="s">
        <v>200</v>
      </c>
      <c r="D24" s="169" t="s">
        <v>201</v>
      </c>
      <c r="E24" s="169" t="s">
        <v>186</v>
      </c>
      <c r="F24" s="401"/>
      <c r="G24" s="417"/>
    </row>
    <row r="25" spans="1:7" ht="12.75" customHeight="1">
      <c r="A25" s="406"/>
      <c r="B25" s="401"/>
      <c r="C25" s="401"/>
      <c r="D25" s="401"/>
      <c r="E25" s="403">
        <v>1164.3269230769233</v>
      </c>
      <c r="F25" s="401"/>
      <c r="G25" s="417"/>
    </row>
    <row r="26" spans="1:7" ht="12.75" customHeight="1">
      <c r="A26" s="406"/>
      <c r="B26" s="401"/>
      <c r="C26" s="401"/>
      <c r="D26" s="401"/>
      <c r="E26" s="401"/>
      <c r="F26" s="401"/>
      <c r="G26" s="417"/>
    </row>
    <row r="27" spans="1:7" ht="12.75" customHeight="1">
      <c r="A27" s="406"/>
      <c r="B27" s="401"/>
      <c r="C27" s="401"/>
      <c r="D27" s="401"/>
      <c r="E27" s="401"/>
      <c r="F27" s="401"/>
      <c r="G27" s="417"/>
    </row>
    <row r="28" spans="1:7" ht="12.75" customHeight="1">
      <c r="A28" s="406"/>
      <c r="B28" s="401"/>
      <c r="C28" s="401"/>
      <c r="D28" s="401"/>
      <c r="E28" s="401"/>
      <c r="F28" s="401"/>
      <c r="G28" s="417"/>
    </row>
    <row r="29" spans="1:7" ht="12.75" customHeight="1">
      <c r="A29" s="406"/>
      <c r="B29" s="401"/>
      <c r="C29" s="401"/>
      <c r="D29" s="401"/>
      <c r="E29" s="401"/>
      <c r="F29" s="402" t="s">
        <v>189</v>
      </c>
      <c r="G29" s="417">
        <f>+E25</f>
        <v>1164.3269230769233</v>
      </c>
    </row>
    <row r="30" spans="1:7" ht="12.75" customHeight="1">
      <c r="A30" s="406" t="s">
        <v>202</v>
      </c>
      <c r="B30" s="401"/>
      <c r="C30" s="401"/>
      <c r="D30" s="401"/>
      <c r="E30" s="401"/>
      <c r="F30" s="401"/>
      <c r="G30" s="417"/>
    </row>
    <row r="31" spans="1:7" ht="12.75" customHeight="1">
      <c r="A31" s="408" t="s">
        <v>203</v>
      </c>
      <c r="B31" s="169" t="s">
        <v>204</v>
      </c>
      <c r="C31" s="169" t="s">
        <v>205</v>
      </c>
      <c r="D31" s="169" t="s">
        <v>206</v>
      </c>
      <c r="E31" s="169" t="s">
        <v>207</v>
      </c>
      <c r="F31" s="169" t="s">
        <v>208</v>
      </c>
      <c r="G31" s="417"/>
    </row>
    <row r="32" spans="1:7" ht="12.75" customHeight="1">
      <c r="A32" s="410" t="s">
        <v>497</v>
      </c>
      <c r="B32" s="401">
        <v>650000</v>
      </c>
      <c r="C32" s="401">
        <f>B32*0.75</f>
        <v>487500</v>
      </c>
      <c r="D32" s="401">
        <f t="shared" ref="D32:D1347" si="3">B32+C32</f>
        <v>1137500</v>
      </c>
      <c r="E32" s="401">
        <v>500</v>
      </c>
      <c r="F32" s="403">
        <f t="shared" ref="F32:F1347" si="4">D32/E32</f>
        <v>2275</v>
      </c>
      <c r="G32" s="417"/>
    </row>
    <row r="33" spans="1:9" ht="12.75" customHeight="1">
      <c r="A33" s="410"/>
      <c r="B33" s="401"/>
      <c r="C33" s="403"/>
      <c r="D33" s="403"/>
      <c r="E33" s="401"/>
      <c r="F33" s="403"/>
      <c r="G33" s="417"/>
    </row>
    <row r="34" spans="1:9" ht="12.75" customHeight="1">
      <c r="A34" s="406"/>
      <c r="B34" s="401"/>
      <c r="C34" s="401"/>
      <c r="D34" s="401"/>
      <c r="E34" s="401"/>
      <c r="F34" s="401"/>
      <c r="G34" s="417"/>
    </row>
    <row r="35" spans="1:9" ht="12.75" customHeight="1">
      <c r="A35" s="406"/>
      <c r="B35" s="401"/>
      <c r="C35" s="401"/>
      <c r="D35" s="401"/>
      <c r="E35" s="401"/>
      <c r="F35" s="401"/>
      <c r="G35" s="417"/>
    </row>
    <row r="36" spans="1:9" ht="12.75" customHeight="1">
      <c r="A36" s="406"/>
      <c r="B36" s="401"/>
      <c r="C36" s="401"/>
      <c r="D36" s="401"/>
      <c r="E36" s="401"/>
      <c r="F36" s="401"/>
      <c r="G36" s="417"/>
    </row>
    <row r="37" spans="1:9" ht="12.75" customHeight="1">
      <c r="A37" s="406"/>
      <c r="B37" s="401"/>
      <c r="C37" s="401"/>
      <c r="D37" s="401"/>
      <c r="E37" s="401"/>
      <c r="F37" s="401"/>
      <c r="G37" s="417"/>
    </row>
    <row r="38" spans="1:9" ht="12.75" customHeight="1">
      <c r="A38" s="406"/>
      <c r="B38" s="401"/>
      <c r="C38" s="401"/>
      <c r="D38" s="401"/>
      <c r="E38" s="401"/>
      <c r="F38" s="402" t="s">
        <v>189</v>
      </c>
      <c r="G38" s="447">
        <f t="shared" ref="G38:G1353" si="5">F32+F33+F34+F35+F36+F37</f>
        <v>2275</v>
      </c>
    </row>
    <row r="39" spans="1:9" ht="12.75" customHeight="1">
      <c r="A39" s="406"/>
      <c r="B39" s="401"/>
      <c r="C39" s="401"/>
      <c r="D39" s="401"/>
      <c r="E39" s="401"/>
      <c r="F39" s="401"/>
      <c r="G39" s="417"/>
    </row>
    <row r="40" spans="1:9" ht="12.75" customHeight="1">
      <c r="A40" s="406" t="s">
        <v>209</v>
      </c>
      <c r="B40" s="401"/>
      <c r="C40" s="401" t="s">
        <v>210</v>
      </c>
      <c r="D40" s="471" t="s">
        <v>211</v>
      </c>
      <c r="E40" s="472"/>
      <c r="F40" s="472"/>
      <c r="G40" s="417">
        <f t="shared" ref="G40:G1355" si="6">G13+G22+G29+G38</f>
        <v>3553.0769230769233</v>
      </c>
      <c r="I40">
        <v>4619</v>
      </c>
    </row>
    <row r="41" spans="1:9" ht="12.75" customHeight="1">
      <c r="A41" s="406"/>
      <c r="B41" s="401"/>
      <c r="C41" s="401"/>
      <c r="D41" s="401"/>
      <c r="E41" s="401"/>
      <c r="F41" s="401"/>
      <c r="G41" s="417"/>
    </row>
    <row r="42" spans="1:9" ht="12.75" customHeight="1">
      <c r="A42" s="406"/>
      <c r="B42" s="401"/>
      <c r="C42" s="401"/>
      <c r="D42" s="401"/>
      <c r="E42" s="401" t="s">
        <v>212</v>
      </c>
      <c r="F42" s="401"/>
      <c r="G42" s="417">
        <f t="shared" ref="G42:G1357" si="7">0.3*G40</f>
        <v>1065.9230769230769</v>
      </c>
    </row>
    <row r="43" spans="1:9" ht="12.75" customHeight="1">
      <c r="A43" s="406"/>
      <c r="B43" s="401"/>
      <c r="C43" s="401"/>
      <c r="D43" s="401"/>
      <c r="E43" s="401"/>
      <c r="F43" s="401"/>
      <c r="G43" s="417"/>
    </row>
    <row r="44" spans="1:9" ht="12.75" customHeight="1" thickBot="1">
      <c r="A44" s="411" t="s">
        <v>213</v>
      </c>
      <c r="B44" s="412"/>
      <c r="C44" s="412"/>
      <c r="D44" s="469" t="s">
        <v>214</v>
      </c>
      <c r="E44" s="470"/>
      <c r="F44" s="470"/>
      <c r="G44" s="418">
        <f t="shared" ref="G44:G1359" si="8">G40+G42</f>
        <v>4619</v>
      </c>
    </row>
    <row r="45" spans="1:9" ht="15" customHeight="1">
      <c r="A45" s="468" t="s">
        <v>174</v>
      </c>
      <c r="B45" s="457"/>
      <c r="C45" s="457"/>
      <c r="D45" s="457"/>
      <c r="E45" s="457"/>
      <c r="F45" s="457"/>
      <c r="G45" s="457"/>
    </row>
    <row r="46" spans="1:9" ht="12.75" customHeight="1" thickBot="1">
      <c r="A46" s="77"/>
      <c r="B46" s="77"/>
      <c r="C46" s="77"/>
      <c r="D46" s="77"/>
      <c r="E46" s="77"/>
      <c r="F46" s="77"/>
      <c r="G46" s="420"/>
    </row>
    <row r="47" spans="1:9" ht="12.75" customHeight="1">
      <c r="A47" s="404" t="s">
        <v>175</v>
      </c>
      <c r="B47" s="405"/>
      <c r="C47" s="405"/>
      <c r="D47" s="428"/>
      <c r="E47" s="428"/>
      <c r="F47" s="428"/>
      <c r="G47" s="429"/>
    </row>
    <row r="48" spans="1:9" ht="12.75" customHeight="1">
      <c r="A48" s="406" t="str">
        <f t="shared" ref="A48:B209" si="9">+A4</f>
        <v xml:space="preserve">OBRA N° Conducción - Red de Distribución  </v>
      </c>
      <c r="B48" s="401"/>
      <c r="C48" s="401"/>
      <c r="D48" s="401"/>
      <c r="E48" s="195"/>
      <c r="F48" s="402" t="s">
        <v>177</v>
      </c>
      <c r="G48" s="430">
        <f t="shared" ca="1" si="0"/>
        <v>46289</v>
      </c>
    </row>
    <row r="49" spans="1:7" ht="12.75" customHeight="1">
      <c r="A49" s="406"/>
      <c r="B49" s="426"/>
      <c r="C49" s="426"/>
      <c r="D49" s="426"/>
      <c r="E49" s="426"/>
      <c r="F49" s="426"/>
      <c r="G49" s="431"/>
    </row>
    <row r="50" spans="1:7" ht="12.75" customHeight="1">
      <c r="A50" s="406" t="s">
        <v>498</v>
      </c>
      <c r="B50" s="401" t="s">
        <v>225</v>
      </c>
      <c r="C50" s="401"/>
      <c r="D50" s="401"/>
      <c r="E50" s="401"/>
      <c r="F50" s="401"/>
      <c r="G50" s="417"/>
    </row>
    <row r="51" spans="1:7" ht="12.75" customHeight="1">
      <c r="A51" s="406"/>
      <c r="B51" s="401"/>
      <c r="C51" s="401" t="s">
        <v>179</v>
      </c>
      <c r="D51" s="169">
        <v>2002</v>
      </c>
      <c r="E51" s="401" t="s">
        <v>180</v>
      </c>
      <c r="F51" s="401" t="s">
        <v>226</v>
      </c>
      <c r="G51" s="417"/>
    </row>
    <row r="52" spans="1:7" ht="12.75" customHeight="1">
      <c r="A52" s="406" t="s">
        <v>182</v>
      </c>
      <c r="B52" s="401"/>
      <c r="C52" s="401"/>
      <c r="D52" s="401"/>
      <c r="E52" s="401"/>
      <c r="F52" s="401"/>
      <c r="G52" s="417"/>
    </row>
    <row r="53" spans="1:7" ht="12.75" customHeight="1">
      <c r="A53" s="408" t="s">
        <v>111</v>
      </c>
      <c r="B53" s="169" t="s">
        <v>183</v>
      </c>
      <c r="C53" s="169" t="s">
        <v>184</v>
      </c>
      <c r="D53" s="169" t="s">
        <v>185</v>
      </c>
      <c r="E53" s="169" t="s">
        <v>186</v>
      </c>
      <c r="F53" s="401"/>
      <c r="G53" s="417"/>
    </row>
    <row r="54" spans="1:7" ht="12.75" customHeight="1">
      <c r="A54" s="406" t="s">
        <v>187</v>
      </c>
      <c r="B54" s="401"/>
      <c r="C54" s="401"/>
      <c r="D54" s="401"/>
      <c r="E54" s="403">
        <f t="shared" si="1"/>
        <v>3231.2534721177763</v>
      </c>
      <c r="F54" s="401"/>
      <c r="G54" s="417"/>
    </row>
    <row r="55" spans="1:7" ht="12.75" customHeight="1">
      <c r="A55" s="406"/>
      <c r="B55" s="401"/>
      <c r="C55" s="401"/>
      <c r="D55" s="401"/>
      <c r="E55" s="401"/>
      <c r="F55" s="401"/>
      <c r="G55" s="417"/>
    </row>
    <row r="56" spans="1:7" ht="12.75" customHeight="1">
      <c r="A56" s="406"/>
      <c r="B56" s="401"/>
      <c r="C56" s="401"/>
      <c r="D56" s="401"/>
      <c r="E56" s="401"/>
      <c r="F56" s="401"/>
      <c r="G56" s="417"/>
    </row>
    <row r="57" spans="1:7" ht="12.75" customHeight="1">
      <c r="A57" s="406"/>
      <c r="B57" s="401"/>
      <c r="C57" s="401"/>
      <c r="D57" s="401"/>
      <c r="E57" s="401"/>
      <c r="F57" s="401" t="s">
        <v>189</v>
      </c>
      <c r="G57" s="417">
        <f t="shared" si="2"/>
        <v>3231.2534721177763</v>
      </c>
    </row>
    <row r="58" spans="1:7" ht="12.75" customHeight="1">
      <c r="A58" s="406" t="s">
        <v>191</v>
      </c>
      <c r="B58" s="401"/>
      <c r="C58" s="401"/>
      <c r="D58" s="401"/>
      <c r="E58" s="401"/>
      <c r="F58" s="401"/>
      <c r="G58" s="417"/>
    </row>
    <row r="59" spans="1:7" ht="12.75" customHeight="1">
      <c r="A59" s="408" t="s">
        <v>111</v>
      </c>
      <c r="B59" s="169" t="s">
        <v>193</v>
      </c>
      <c r="C59" s="169" t="s">
        <v>194</v>
      </c>
      <c r="D59" s="169" t="s">
        <v>195</v>
      </c>
      <c r="E59" s="169" t="s">
        <v>186</v>
      </c>
      <c r="F59" s="401"/>
      <c r="G59" s="417"/>
    </row>
    <row r="60" spans="1:7" ht="12.75" customHeight="1">
      <c r="A60" s="406"/>
      <c r="B60" s="401"/>
      <c r="C60" s="401"/>
      <c r="D60" s="401"/>
      <c r="E60" s="401"/>
      <c r="F60" s="401"/>
      <c r="G60" s="417"/>
    </row>
    <row r="61" spans="1:7" ht="12" customHeight="1">
      <c r="A61" s="406"/>
      <c r="B61" s="401"/>
      <c r="C61" s="401"/>
      <c r="D61" s="401"/>
      <c r="E61" s="401"/>
      <c r="F61" s="401"/>
      <c r="G61" s="417"/>
    </row>
    <row r="62" spans="1:7" ht="12.75" customHeight="1">
      <c r="A62" s="406"/>
      <c r="B62" s="401"/>
      <c r="C62" s="401"/>
      <c r="D62" s="401"/>
      <c r="E62" s="401"/>
      <c r="F62" s="401"/>
      <c r="G62" s="417"/>
    </row>
    <row r="63" spans="1:7" ht="12.75" customHeight="1">
      <c r="A63" s="406"/>
      <c r="B63" s="401"/>
      <c r="C63" s="401"/>
      <c r="D63" s="401"/>
      <c r="E63" s="401"/>
      <c r="F63" s="401"/>
      <c r="G63" s="417"/>
    </row>
    <row r="64" spans="1:7" ht="12.75" customHeight="1">
      <c r="A64" s="406"/>
      <c r="B64" s="401"/>
      <c r="C64" s="401"/>
      <c r="D64" s="401"/>
      <c r="E64" s="401"/>
      <c r="F64" s="401"/>
      <c r="G64" s="417"/>
    </row>
    <row r="65" spans="1:7" ht="12.75" customHeight="1">
      <c r="A65" s="406"/>
      <c r="B65" s="401"/>
      <c r="C65" s="401"/>
      <c r="D65" s="401"/>
      <c r="E65" s="401"/>
      <c r="F65" s="401"/>
      <c r="G65" s="417"/>
    </row>
    <row r="66" spans="1:7" ht="12.75" customHeight="1">
      <c r="A66" s="406"/>
      <c r="B66" s="401"/>
      <c r="C66" s="401"/>
      <c r="D66" s="401"/>
      <c r="E66" s="401"/>
      <c r="F66" s="401" t="s">
        <v>189</v>
      </c>
      <c r="G66" s="417">
        <f t="shared" ref="G66:G1337" si="10">E60+E61+E62+E63+E64+E65+E66</f>
        <v>0</v>
      </c>
    </row>
    <row r="67" spans="1:7" ht="12.75" customHeight="1">
      <c r="A67" s="406" t="s">
        <v>197</v>
      </c>
      <c r="B67" s="401"/>
      <c r="C67" s="401"/>
      <c r="D67" s="401"/>
      <c r="E67" s="401"/>
      <c r="F67" s="401"/>
      <c r="G67" s="417"/>
    </row>
    <row r="68" spans="1:7" ht="12.75" customHeight="1">
      <c r="A68" s="408" t="s">
        <v>198</v>
      </c>
      <c r="B68" s="169" t="s">
        <v>199</v>
      </c>
      <c r="C68" s="169" t="s">
        <v>200</v>
      </c>
      <c r="D68" s="169" t="s">
        <v>201</v>
      </c>
      <c r="E68" s="169" t="s">
        <v>186</v>
      </c>
      <c r="F68" s="401"/>
      <c r="G68" s="417"/>
    </row>
    <row r="69" spans="1:7" ht="12.75" customHeight="1">
      <c r="A69" s="406"/>
      <c r="B69" s="401"/>
      <c r="C69" s="401"/>
      <c r="D69" s="401"/>
      <c r="E69" s="401"/>
      <c r="F69" s="401"/>
      <c r="G69" s="417"/>
    </row>
    <row r="70" spans="1:7" ht="12.75" customHeight="1">
      <c r="A70" s="406"/>
      <c r="B70" s="401"/>
      <c r="C70" s="401"/>
      <c r="D70" s="401"/>
      <c r="E70" s="401"/>
      <c r="F70" s="401"/>
      <c r="G70" s="417"/>
    </row>
    <row r="71" spans="1:7" ht="12.75" customHeight="1">
      <c r="A71" s="406"/>
      <c r="B71" s="401"/>
      <c r="C71" s="401"/>
      <c r="D71" s="401"/>
      <c r="E71" s="401"/>
      <c r="F71" s="401"/>
      <c r="G71" s="417"/>
    </row>
    <row r="72" spans="1:7" ht="12.75" customHeight="1">
      <c r="A72" s="406"/>
      <c r="B72" s="401"/>
      <c r="C72" s="401"/>
      <c r="D72" s="401"/>
      <c r="E72" s="401"/>
      <c r="F72" s="401"/>
      <c r="G72" s="417"/>
    </row>
    <row r="73" spans="1:7" ht="12.75" customHeight="1">
      <c r="A73" s="406"/>
      <c r="B73" s="401"/>
      <c r="C73" s="401"/>
      <c r="D73" s="401"/>
      <c r="E73" s="401"/>
      <c r="F73" s="401" t="s">
        <v>189</v>
      </c>
      <c r="G73" s="417">
        <f t="shared" ref="G73:G1344" si="11">E69+E70+E71+E72+E73</f>
        <v>0</v>
      </c>
    </row>
    <row r="74" spans="1:7" ht="12.75" customHeight="1">
      <c r="A74" s="406" t="s">
        <v>202</v>
      </c>
      <c r="B74" s="401"/>
      <c r="C74" s="401"/>
      <c r="D74" s="401"/>
      <c r="E74" s="401"/>
      <c r="F74" s="401"/>
      <c r="G74" s="417"/>
    </row>
    <row r="75" spans="1:7" ht="12.75" customHeight="1">
      <c r="A75" s="408" t="s">
        <v>203</v>
      </c>
      <c r="B75" s="169" t="s">
        <v>204</v>
      </c>
      <c r="C75" s="169" t="s">
        <v>205</v>
      </c>
      <c r="D75" s="169" t="s">
        <v>206</v>
      </c>
      <c r="E75" s="169" t="s">
        <v>207</v>
      </c>
      <c r="F75" s="169" t="s">
        <v>208</v>
      </c>
      <c r="G75" s="417"/>
    </row>
    <row r="76" spans="1:7" ht="12.75" customHeight="1">
      <c r="A76" s="406" t="s">
        <v>227</v>
      </c>
      <c r="B76" s="401">
        <v>1600000</v>
      </c>
      <c r="C76" s="403">
        <v>120000</v>
      </c>
      <c r="D76" s="403">
        <v>252037.77544120338</v>
      </c>
      <c r="E76" s="401">
        <v>3.9000000714276499</v>
      </c>
      <c r="F76" s="403">
        <f t="shared" si="4"/>
        <v>64625.069442355525</v>
      </c>
      <c r="G76" s="417"/>
    </row>
    <row r="77" spans="1:7" ht="12.75" customHeight="1">
      <c r="A77" s="406"/>
      <c r="B77" s="401"/>
      <c r="C77" s="401"/>
      <c r="D77" s="401"/>
      <c r="E77" s="401"/>
      <c r="F77" s="401"/>
      <c r="G77" s="417"/>
    </row>
    <row r="78" spans="1:7" ht="12.75" customHeight="1">
      <c r="A78" s="406"/>
      <c r="B78" s="401"/>
      <c r="C78" s="401"/>
      <c r="D78" s="401"/>
      <c r="E78" s="401"/>
      <c r="F78" s="401"/>
      <c r="G78" s="417"/>
    </row>
    <row r="79" spans="1:7" ht="12.75" customHeight="1">
      <c r="A79" s="406"/>
      <c r="B79" s="401"/>
      <c r="C79" s="401"/>
      <c r="D79" s="401"/>
      <c r="E79" s="401"/>
      <c r="F79" s="401"/>
      <c r="G79" s="417"/>
    </row>
    <row r="80" spans="1:7" ht="12.75" customHeight="1">
      <c r="A80" s="406"/>
      <c r="B80" s="401"/>
      <c r="C80" s="401"/>
      <c r="D80" s="401"/>
      <c r="E80" s="401"/>
      <c r="F80" s="401"/>
      <c r="G80" s="417"/>
    </row>
    <row r="81" spans="1:9" ht="12.75" customHeight="1">
      <c r="A81" s="406"/>
      <c r="B81" s="401"/>
      <c r="C81" s="401"/>
      <c r="D81" s="401"/>
      <c r="E81" s="401"/>
      <c r="F81" s="401"/>
      <c r="G81" s="417"/>
    </row>
    <row r="82" spans="1:9" ht="12.75" customHeight="1">
      <c r="A82" s="406"/>
      <c r="B82" s="401"/>
      <c r="C82" s="401"/>
      <c r="D82" s="401"/>
      <c r="E82" s="401"/>
      <c r="F82" s="401" t="s">
        <v>189</v>
      </c>
      <c r="G82" s="417">
        <f t="shared" si="5"/>
        <v>64625.069442355525</v>
      </c>
    </row>
    <row r="83" spans="1:9" ht="12.75" customHeight="1">
      <c r="A83" s="406"/>
      <c r="B83" s="401"/>
      <c r="C83" s="401"/>
      <c r="D83" s="401"/>
      <c r="E83" s="401"/>
      <c r="F83" s="401"/>
      <c r="G83" s="417"/>
    </row>
    <row r="84" spans="1:9" ht="12.75" customHeight="1">
      <c r="A84" s="406" t="s">
        <v>209</v>
      </c>
      <c r="B84" s="401"/>
      <c r="C84" s="401" t="s">
        <v>210</v>
      </c>
      <c r="D84" s="471" t="s">
        <v>211</v>
      </c>
      <c r="E84" s="472"/>
      <c r="F84" s="472"/>
      <c r="G84" s="417">
        <f t="shared" si="6"/>
        <v>67856.322914473305</v>
      </c>
      <c r="I84">
        <v>88213.22</v>
      </c>
    </row>
    <row r="85" spans="1:9" ht="12.75" customHeight="1">
      <c r="A85" s="406"/>
      <c r="B85" s="401"/>
      <c r="C85" s="401"/>
      <c r="D85" s="401"/>
      <c r="E85" s="401"/>
      <c r="F85" s="401"/>
      <c r="G85" s="417"/>
    </row>
    <row r="86" spans="1:9" ht="12.75" customHeight="1">
      <c r="A86" s="406"/>
      <c r="B86" s="401"/>
      <c r="C86" s="401"/>
      <c r="D86" s="401"/>
      <c r="E86" s="401" t="s">
        <v>212</v>
      </c>
      <c r="F86" s="401"/>
      <c r="G86" s="417">
        <f t="shared" si="7"/>
        <v>20356.89687434199</v>
      </c>
    </row>
    <row r="87" spans="1:9" ht="12.75" customHeight="1">
      <c r="A87" s="406"/>
      <c r="B87" s="401"/>
      <c r="C87" s="401"/>
      <c r="D87" s="401"/>
      <c r="E87" s="401"/>
      <c r="F87" s="401"/>
      <c r="G87" s="417"/>
    </row>
    <row r="88" spans="1:9" ht="12.75" customHeight="1" thickBot="1">
      <c r="A88" s="411" t="s">
        <v>213</v>
      </c>
      <c r="B88" s="412"/>
      <c r="C88" s="412"/>
      <c r="D88" s="469" t="s">
        <v>214</v>
      </c>
      <c r="E88" s="470"/>
      <c r="F88" s="470"/>
      <c r="G88" s="418">
        <f t="shared" si="8"/>
        <v>88213.219788815302</v>
      </c>
    </row>
    <row r="89" spans="1:9" ht="15" customHeight="1">
      <c r="A89" s="468" t="s">
        <v>174</v>
      </c>
      <c r="B89" s="457"/>
      <c r="C89" s="457"/>
      <c r="D89" s="457"/>
      <c r="E89" s="457"/>
      <c r="F89" s="457"/>
      <c r="G89" s="457"/>
    </row>
    <row r="90" spans="1:9" ht="15" customHeight="1" thickBot="1">
      <c r="A90" s="73"/>
      <c r="B90" s="73"/>
      <c r="C90" s="73"/>
      <c r="D90" s="73"/>
      <c r="E90" s="73"/>
      <c r="F90" s="73"/>
      <c r="G90" s="440"/>
    </row>
    <row r="91" spans="1:9" ht="12.75" customHeight="1">
      <c r="A91" s="404" t="s">
        <v>175</v>
      </c>
      <c r="B91" s="405"/>
      <c r="C91" s="405"/>
      <c r="D91" s="428"/>
      <c r="E91" s="428"/>
      <c r="F91" s="428"/>
      <c r="G91" s="429"/>
    </row>
    <row r="92" spans="1:9" ht="12.75" customHeight="1">
      <c r="A92" s="406" t="str">
        <f>+A4</f>
        <v xml:space="preserve">OBRA N° Conducción - Red de Distribución  </v>
      </c>
      <c r="B92" s="401"/>
      <c r="C92" s="401"/>
      <c r="D92" s="401"/>
      <c r="E92" s="195"/>
      <c r="F92" s="402" t="s">
        <v>177</v>
      </c>
      <c r="G92" s="430">
        <f t="shared" ca="1" si="0"/>
        <v>46289</v>
      </c>
    </row>
    <row r="93" spans="1:9" ht="12.75" customHeight="1">
      <c r="A93" s="406"/>
      <c r="B93" s="426"/>
      <c r="C93" s="426"/>
      <c r="D93" s="426"/>
      <c r="E93" s="426"/>
      <c r="F93" s="426"/>
      <c r="G93" s="431"/>
    </row>
    <row r="94" spans="1:9" ht="12.75" customHeight="1">
      <c r="A94" s="406" t="s">
        <v>371</v>
      </c>
      <c r="B94" s="401" t="s">
        <v>229</v>
      </c>
      <c r="C94" s="401"/>
      <c r="D94" s="401"/>
      <c r="E94" s="401"/>
      <c r="F94" s="401"/>
      <c r="G94" s="417"/>
    </row>
    <row r="95" spans="1:9" ht="12.75" customHeight="1">
      <c r="A95" s="406"/>
      <c r="B95" s="401"/>
      <c r="C95" s="401" t="s">
        <v>179</v>
      </c>
      <c r="D95" s="401">
        <v>6</v>
      </c>
      <c r="E95" s="401" t="s">
        <v>180</v>
      </c>
      <c r="F95" s="401" t="s">
        <v>226</v>
      </c>
      <c r="G95" s="417"/>
    </row>
    <row r="96" spans="1:9" ht="12.75" customHeight="1">
      <c r="A96" s="406" t="s">
        <v>182</v>
      </c>
      <c r="B96" s="401"/>
      <c r="C96" s="401"/>
      <c r="D96" s="401"/>
      <c r="E96" s="401"/>
      <c r="F96" s="401"/>
      <c r="G96" s="417"/>
    </row>
    <row r="97" spans="1:7" ht="12.75" customHeight="1">
      <c r="A97" s="408" t="s">
        <v>111</v>
      </c>
      <c r="B97" s="169" t="s">
        <v>183</v>
      </c>
      <c r="C97" s="169" t="s">
        <v>184</v>
      </c>
      <c r="D97" s="169" t="s">
        <v>185</v>
      </c>
      <c r="E97" s="169" t="s">
        <v>186</v>
      </c>
      <c r="F97" s="401"/>
      <c r="G97" s="417"/>
    </row>
    <row r="98" spans="1:7" ht="12.75" customHeight="1">
      <c r="A98" s="406" t="s">
        <v>187</v>
      </c>
      <c r="B98" s="401"/>
      <c r="C98" s="401"/>
      <c r="D98" s="401"/>
      <c r="E98" s="403">
        <v>11181</v>
      </c>
      <c r="F98" s="401"/>
      <c r="G98" s="417"/>
    </row>
    <row r="99" spans="1:7" ht="12.75" customHeight="1">
      <c r="A99" s="406"/>
      <c r="B99" s="401"/>
      <c r="C99" s="401"/>
      <c r="D99" s="401"/>
      <c r="E99" s="401"/>
      <c r="F99" s="401"/>
      <c r="G99" s="417"/>
    </row>
    <row r="100" spans="1:7" ht="12.75" customHeight="1">
      <c r="A100" s="406"/>
      <c r="B100" s="401"/>
      <c r="C100" s="401"/>
      <c r="D100" s="401"/>
      <c r="E100" s="401"/>
      <c r="F100" s="401"/>
      <c r="G100" s="417"/>
    </row>
    <row r="101" spans="1:7" ht="12.75" customHeight="1">
      <c r="A101" s="406"/>
      <c r="B101" s="401"/>
      <c r="C101" s="401"/>
      <c r="D101" s="401"/>
      <c r="E101" s="401"/>
      <c r="F101" s="401" t="s">
        <v>189</v>
      </c>
      <c r="G101" s="417">
        <f t="shared" si="2"/>
        <v>11181</v>
      </c>
    </row>
    <row r="102" spans="1:7" ht="12.75" customHeight="1">
      <c r="A102" s="406" t="s">
        <v>191</v>
      </c>
      <c r="B102" s="401"/>
      <c r="C102" s="401"/>
      <c r="D102" s="401"/>
      <c r="E102" s="401"/>
      <c r="F102" s="401"/>
      <c r="G102" s="417"/>
    </row>
    <row r="103" spans="1:7" ht="12.75" customHeight="1">
      <c r="A103" s="408" t="s">
        <v>111</v>
      </c>
      <c r="B103" s="169" t="s">
        <v>193</v>
      </c>
      <c r="C103" s="169" t="s">
        <v>194</v>
      </c>
      <c r="D103" s="169" t="s">
        <v>195</v>
      </c>
      <c r="E103" s="169" t="s">
        <v>186</v>
      </c>
      <c r="F103" s="401"/>
      <c r="G103" s="417"/>
    </row>
    <row r="104" spans="1:7" ht="12.75" customHeight="1">
      <c r="A104" s="406" t="s">
        <v>230</v>
      </c>
      <c r="B104" s="169" t="s">
        <v>231</v>
      </c>
      <c r="C104" s="401">
        <v>75000</v>
      </c>
      <c r="D104" s="401">
        <v>1</v>
      </c>
      <c r="E104" s="401">
        <v>40000</v>
      </c>
      <c r="F104" s="401"/>
      <c r="G104" s="417"/>
    </row>
    <row r="105" spans="1:7" ht="12.75" customHeight="1">
      <c r="A105" s="406"/>
      <c r="B105" s="401"/>
      <c r="C105" s="401"/>
      <c r="D105" s="401"/>
      <c r="E105" s="401"/>
      <c r="F105" s="401"/>
      <c r="G105" s="417"/>
    </row>
    <row r="106" spans="1:7" ht="12.75" customHeight="1">
      <c r="A106" s="406"/>
      <c r="B106" s="401"/>
      <c r="C106" s="401"/>
      <c r="D106" s="401"/>
      <c r="E106" s="401"/>
      <c r="F106" s="401"/>
      <c r="G106" s="417"/>
    </row>
    <row r="107" spans="1:7" ht="12.75" customHeight="1">
      <c r="A107" s="406"/>
      <c r="B107" s="401"/>
      <c r="C107" s="401"/>
      <c r="D107" s="401"/>
      <c r="E107" s="401"/>
      <c r="F107" s="401"/>
      <c r="G107" s="417"/>
    </row>
    <row r="108" spans="1:7" ht="12.75" customHeight="1">
      <c r="A108" s="406"/>
      <c r="B108" s="401"/>
      <c r="C108" s="401"/>
      <c r="D108" s="401"/>
      <c r="E108" s="401"/>
      <c r="F108" s="401"/>
      <c r="G108" s="417"/>
    </row>
    <row r="109" spans="1:7" ht="12.75" customHeight="1">
      <c r="A109" s="406"/>
      <c r="B109" s="401"/>
      <c r="C109" s="401"/>
      <c r="D109" s="401"/>
      <c r="E109" s="401"/>
      <c r="F109" s="401" t="s">
        <v>189</v>
      </c>
      <c r="G109" s="417">
        <f t="shared" ref="G109:G593" si="12">E104+E105+E106+E107+E108+E109</f>
        <v>40000</v>
      </c>
    </row>
    <row r="110" spans="1:7" ht="12.75" customHeight="1">
      <c r="A110" s="406" t="s">
        <v>197</v>
      </c>
      <c r="B110" s="401"/>
      <c r="C110" s="401"/>
      <c r="D110" s="401"/>
      <c r="E110" s="401"/>
      <c r="F110" s="401"/>
      <c r="G110" s="417"/>
    </row>
    <row r="111" spans="1:7" ht="12.75" customHeight="1">
      <c r="A111" s="408" t="s">
        <v>198</v>
      </c>
      <c r="B111" s="169" t="s">
        <v>199</v>
      </c>
      <c r="C111" s="169" t="s">
        <v>200</v>
      </c>
      <c r="D111" s="169" t="s">
        <v>201</v>
      </c>
      <c r="E111" s="169" t="s">
        <v>186</v>
      </c>
      <c r="F111" s="401"/>
      <c r="G111" s="417"/>
    </row>
    <row r="112" spans="1:7" ht="12.75" customHeight="1">
      <c r="A112" s="406" t="s">
        <v>232</v>
      </c>
      <c r="B112" s="401"/>
      <c r="C112" s="401"/>
      <c r="D112" s="401"/>
      <c r="E112" s="401"/>
      <c r="F112" s="401"/>
      <c r="G112" s="417"/>
    </row>
    <row r="113" spans="1:9" ht="12.75" customHeight="1">
      <c r="A113" s="406"/>
      <c r="B113" s="401"/>
      <c r="C113" s="401"/>
      <c r="D113" s="401"/>
      <c r="E113" s="401"/>
      <c r="F113" s="401"/>
      <c r="G113" s="417"/>
    </row>
    <row r="114" spans="1:9" ht="12.75" customHeight="1">
      <c r="A114" s="406"/>
      <c r="B114" s="401"/>
      <c r="C114" s="401"/>
      <c r="D114" s="401"/>
      <c r="E114" s="401"/>
      <c r="F114" s="401"/>
      <c r="G114" s="417"/>
    </row>
    <row r="115" spans="1:9" ht="12.75" customHeight="1">
      <c r="A115" s="406"/>
      <c r="B115" s="401"/>
      <c r="C115" s="401"/>
      <c r="D115" s="401"/>
      <c r="E115" s="401"/>
      <c r="F115" s="401"/>
      <c r="G115" s="417"/>
    </row>
    <row r="116" spans="1:9" ht="12.75" customHeight="1">
      <c r="A116" s="406"/>
      <c r="B116" s="401"/>
      <c r="C116" s="401"/>
      <c r="D116" s="401"/>
      <c r="E116" s="401"/>
      <c r="F116" s="401" t="s">
        <v>189</v>
      </c>
      <c r="G116" s="417">
        <f t="shared" si="11"/>
        <v>0</v>
      </c>
    </row>
    <row r="117" spans="1:9" ht="12.75" customHeight="1">
      <c r="A117" s="406" t="s">
        <v>202</v>
      </c>
      <c r="B117" s="401"/>
      <c r="C117" s="401"/>
      <c r="D117" s="401"/>
      <c r="E117" s="401"/>
      <c r="F117" s="401"/>
      <c r="G117" s="417"/>
    </row>
    <row r="118" spans="1:9" ht="12.75" customHeight="1">
      <c r="A118" s="408" t="s">
        <v>203</v>
      </c>
      <c r="B118" s="169" t="s">
        <v>204</v>
      </c>
      <c r="C118" s="169" t="s">
        <v>205</v>
      </c>
      <c r="D118" s="169" t="s">
        <v>206</v>
      </c>
      <c r="E118" s="169" t="s">
        <v>207</v>
      </c>
      <c r="F118" s="169" t="s">
        <v>208</v>
      </c>
      <c r="G118" s="417"/>
    </row>
    <row r="119" spans="1:9" ht="12.75" customHeight="1">
      <c r="A119" s="406" t="s">
        <v>192</v>
      </c>
      <c r="B119" s="401">
        <v>120000</v>
      </c>
      <c r="C119" s="401">
        <f t="shared" ref="C119:C1347" si="13">0.75*B119</f>
        <v>90000</v>
      </c>
      <c r="D119" s="401">
        <v>265500</v>
      </c>
      <c r="E119" s="401">
        <v>2.1</v>
      </c>
      <c r="F119" s="403">
        <f t="shared" si="4"/>
        <v>126428.57142857142</v>
      </c>
      <c r="G119" s="417"/>
    </row>
    <row r="120" spans="1:9" ht="12.75" customHeight="1">
      <c r="A120" s="406" t="s">
        <v>190</v>
      </c>
      <c r="B120" s="401">
        <v>100000</v>
      </c>
      <c r="C120" s="403">
        <f t="shared" si="13"/>
        <v>75000</v>
      </c>
      <c r="D120" s="403">
        <v>140000</v>
      </c>
      <c r="E120" s="432">
        <v>2.1270046852196529</v>
      </c>
      <c r="F120" s="403">
        <f t="shared" si="4"/>
        <v>65820.259340680481</v>
      </c>
      <c r="G120" s="417"/>
    </row>
    <row r="121" spans="1:9" ht="12.75" customHeight="1">
      <c r="A121" s="406"/>
      <c r="B121" s="401"/>
      <c r="C121" s="401"/>
      <c r="D121" s="401"/>
      <c r="E121" s="401"/>
      <c r="F121" s="401"/>
      <c r="G121" s="417"/>
    </row>
    <row r="122" spans="1:9" ht="12.75" customHeight="1">
      <c r="A122" s="406"/>
      <c r="B122" s="401"/>
      <c r="C122" s="401"/>
      <c r="D122" s="401"/>
      <c r="E122" s="401"/>
      <c r="F122" s="401"/>
      <c r="G122" s="417"/>
    </row>
    <row r="123" spans="1:9" ht="12.75" customHeight="1">
      <c r="A123" s="406"/>
      <c r="B123" s="401"/>
      <c r="C123" s="401"/>
      <c r="D123" s="401"/>
      <c r="E123" s="401"/>
      <c r="F123" s="401"/>
      <c r="G123" s="417"/>
    </row>
    <row r="124" spans="1:9" ht="12.75" customHeight="1">
      <c r="A124" s="406"/>
      <c r="B124" s="401"/>
      <c r="C124" s="401"/>
      <c r="D124" s="401"/>
      <c r="E124" s="401"/>
      <c r="F124" s="401"/>
      <c r="G124" s="417"/>
    </row>
    <row r="125" spans="1:9" ht="12.75" customHeight="1">
      <c r="A125" s="406"/>
      <c r="B125" s="401"/>
      <c r="C125" s="401"/>
      <c r="D125" s="401"/>
      <c r="E125" s="401"/>
      <c r="F125" s="401"/>
      <c r="G125" s="417"/>
    </row>
    <row r="126" spans="1:9" ht="12.75" customHeight="1">
      <c r="A126" s="406"/>
      <c r="B126" s="401"/>
      <c r="C126" s="401"/>
      <c r="D126" s="401"/>
      <c r="E126" s="401"/>
      <c r="F126" s="401" t="s">
        <v>189</v>
      </c>
      <c r="G126" s="417">
        <f>F119+F120+F121+F122+F123+F124</f>
        <v>192248.83076925192</v>
      </c>
    </row>
    <row r="127" spans="1:9" ht="12.75" customHeight="1">
      <c r="A127" s="406"/>
      <c r="B127" s="401"/>
      <c r="C127" s="401"/>
      <c r="D127" s="401"/>
      <c r="E127" s="401"/>
      <c r="F127" s="401"/>
      <c r="G127" s="417"/>
    </row>
    <row r="128" spans="1:9" ht="12.75" customHeight="1">
      <c r="A128" s="406" t="s">
        <v>209</v>
      </c>
      <c r="B128" s="401"/>
      <c r="C128" s="401" t="s">
        <v>210</v>
      </c>
      <c r="D128" s="471" t="s">
        <v>211</v>
      </c>
      <c r="E128" s="472"/>
      <c r="F128" s="472"/>
      <c r="G128" s="417">
        <f>G101+G109+G116+G126</f>
        <v>243429.83076925192</v>
      </c>
      <c r="I128">
        <v>316458.78000000003</v>
      </c>
    </row>
    <row r="129" spans="1:7" ht="12.75" customHeight="1">
      <c r="A129" s="406"/>
      <c r="B129" s="401"/>
      <c r="C129" s="401"/>
      <c r="D129" s="401"/>
      <c r="E129" s="401"/>
      <c r="F129" s="401"/>
      <c r="G129" s="417"/>
    </row>
    <row r="130" spans="1:7" ht="12.75" customHeight="1">
      <c r="A130" s="406"/>
      <c r="B130" s="401"/>
      <c r="C130" s="401"/>
      <c r="D130" s="401"/>
      <c r="E130" s="401" t="s">
        <v>212</v>
      </c>
      <c r="F130" s="401"/>
      <c r="G130" s="417">
        <f t="shared" si="7"/>
        <v>73028.949230775572</v>
      </c>
    </row>
    <row r="131" spans="1:7" ht="12.75" customHeight="1">
      <c r="A131" s="406"/>
      <c r="B131" s="401"/>
      <c r="C131" s="401"/>
      <c r="D131" s="401"/>
      <c r="E131" s="401"/>
      <c r="F131" s="401"/>
      <c r="G131" s="417"/>
    </row>
    <row r="132" spans="1:7" ht="12.75" customHeight="1" thickBot="1">
      <c r="A132" s="411" t="s">
        <v>213</v>
      </c>
      <c r="B132" s="412"/>
      <c r="C132" s="412"/>
      <c r="D132" s="469" t="s">
        <v>214</v>
      </c>
      <c r="E132" s="470"/>
      <c r="F132" s="470"/>
      <c r="G132" s="418">
        <f t="shared" si="8"/>
        <v>316458.7800000275</v>
      </c>
    </row>
    <row r="133" spans="1:7" ht="15" customHeight="1">
      <c r="A133" s="468" t="s">
        <v>174</v>
      </c>
      <c r="B133" s="457"/>
      <c r="C133" s="457"/>
      <c r="D133" s="457"/>
      <c r="E133" s="457"/>
      <c r="F133" s="457"/>
      <c r="G133" s="457"/>
    </row>
    <row r="134" spans="1:7" ht="15" customHeight="1">
      <c r="A134" s="73"/>
      <c r="B134" s="73"/>
      <c r="C134" s="73"/>
      <c r="D134" s="73"/>
      <c r="E134" s="73"/>
      <c r="F134" s="73"/>
      <c r="G134" s="440"/>
    </row>
    <row r="135" spans="1:7" ht="12.75" customHeight="1">
      <c r="A135" s="1" t="s">
        <v>175</v>
      </c>
      <c r="B135" s="1"/>
      <c r="C135" s="1"/>
      <c r="D135" s="94"/>
      <c r="E135" s="94"/>
      <c r="F135" s="94"/>
      <c r="G135" s="414"/>
    </row>
    <row r="136" spans="1:7" ht="12.75" customHeight="1">
      <c r="A136" s="1" t="str">
        <f>+A4</f>
        <v xml:space="preserve">OBRA N° Conducción - Red de Distribución  </v>
      </c>
      <c r="B136" s="1"/>
      <c r="C136" s="1"/>
      <c r="D136" s="1"/>
      <c r="F136" s="95" t="s">
        <v>177</v>
      </c>
      <c r="G136" s="415">
        <f t="shared" ca="1" si="0"/>
        <v>46289</v>
      </c>
    </row>
    <row r="137" spans="1:7" ht="12.75" customHeight="1">
      <c r="A137" s="1"/>
      <c r="B137" s="94"/>
      <c r="C137" s="94"/>
      <c r="D137" s="94"/>
      <c r="E137" s="94"/>
      <c r="F137" s="94"/>
      <c r="G137" s="414"/>
    </row>
    <row r="138" spans="1:7" ht="12.75" customHeight="1">
      <c r="A138" s="1"/>
      <c r="B138" s="94"/>
      <c r="C138" s="94"/>
      <c r="D138" s="94"/>
      <c r="E138" s="94"/>
      <c r="F138" s="94"/>
      <c r="G138" s="414"/>
    </row>
    <row r="139" spans="1:7" ht="12.75" customHeight="1">
      <c r="A139" s="99" t="s">
        <v>224</v>
      </c>
      <c r="B139" s="100" t="s">
        <v>499</v>
      </c>
      <c r="C139" s="100"/>
      <c r="D139" s="100"/>
      <c r="E139" s="100"/>
      <c r="F139" s="100"/>
      <c r="G139" s="138"/>
    </row>
    <row r="140" spans="1:7" ht="12.75" customHeight="1">
      <c r="A140" s="102"/>
      <c r="B140" s="103"/>
      <c r="C140" s="103" t="s">
        <v>179</v>
      </c>
      <c r="D140" s="104">
        <v>1600</v>
      </c>
      <c r="E140" s="103" t="s">
        <v>180</v>
      </c>
      <c r="F140" s="103" t="s">
        <v>337</v>
      </c>
      <c r="G140" s="419"/>
    </row>
    <row r="141" spans="1:7" ht="12.75" customHeight="1">
      <c r="A141" s="1" t="s">
        <v>182</v>
      </c>
      <c r="B141" s="1"/>
      <c r="C141" s="1"/>
      <c r="D141" s="1"/>
      <c r="E141" s="1"/>
      <c r="F141" s="1"/>
      <c r="G141" s="420"/>
    </row>
    <row r="142" spans="1:7" ht="12.75" customHeight="1">
      <c r="A142" s="106" t="s">
        <v>111</v>
      </c>
      <c r="B142" s="107" t="s">
        <v>183</v>
      </c>
      <c r="C142" s="106" t="s">
        <v>184</v>
      </c>
      <c r="D142" s="107" t="s">
        <v>185</v>
      </c>
      <c r="E142" s="106" t="s">
        <v>186</v>
      </c>
      <c r="F142" s="108"/>
      <c r="G142" s="421"/>
    </row>
    <row r="143" spans="1:7" ht="12.75" customHeight="1">
      <c r="A143" s="110" t="s">
        <v>187</v>
      </c>
      <c r="B143" s="100"/>
      <c r="C143" s="110"/>
      <c r="D143" s="100"/>
      <c r="E143" s="111">
        <f t="shared" ref="E143:E886" si="14">G170*0.05</f>
        <v>243.05555555555557</v>
      </c>
      <c r="F143" s="112"/>
      <c r="G143" s="422"/>
    </row>
    <row r="144" spans="1:7" ht="12.75" customHeight="1">
      <c r="A144" s="110"/>
      <c r="B144" s="110"/>
      <c r="C144" s="110"/>
      <c r="D144" s="110"/>
      <c r="E144" s="101"/>
      <c r="F144" s="112"/>
      <c r="G144" s="422"/>
    </row>
    <row r="145" spans="1:7" ht="12.75" customHeight="1">
      <c r="A145" s="110"/>
      <c r="B145" s="110"/>
      <c r="C145" s="110"/>
      <c r="D145" s="110"/>
      <c r="E145" s="101"/>
      <c r="F145" s="112"/>
      <c r="G145" s="422"/>
    </row>
    <row r="146" spans="1:7" ht="12.75" customHeight="1">
      <c r="A146" s="110"/>
      <c r="B146" s="110"/>
      <c r="C146" s="110"/>
      <c r="D146" s="110"/>
      <c r="E146" s="101"/>
      <c r="F146" s="102" t="s">
        <v>189</v>
      </c>
      <c r="G146" s="419">
        <f t="shared" si="2"/>
        <v>243.05555555555557</v>
      </c>
    </row>
    <row r="147" spans="1:7" ht="12.75" customHeight="1">
      <c r="A147" s="1" t="s">
        <v>191</v>
      </c>
      <c r="B147" s="1"/>
      <c r="C147" s="1"/>
      <c r="D147" s="1"/>
      <c r="E147" s="1"/>
      <c r="F147" s="1"/>
      <c r="G147" s="420"/>
    </row>
    <row r="148" spans="1:7" ht="12.75" customHeight="1">
      <c r="A148" s="115" t="s">
        <v>111</v>
      </c>
      <c r="B148" s="106" t="s">
        <v>193</v>
      </c>
      <c r="C148" s="80" t="s">
        <v>194</v>
      </c>
      <c r="D148" s="106" t="s">
        <v>195</v>
      </c>
      <c r="E148" s="81" t="s">
        <v>186</v>
      </c>
      <c r="F148" s="108"/>
      <c r="G148" s="421"/>
    </row>
    <row r="149" spans="1:7" ht="12.75" customHeight="1">
      <c r="A149" s="110" t="s">
        <v>500</v>
      </c>
      <c r="B149" s="106" t="s">
        <v>459</v>
      </c>
      <c r="C149" s="111">
        <f>3950*1.19</f>
        <v>4700.5</v>
      </c>
      <c r="D149" s="110">
        <v>1.05</v>
      </c>
      <c r="E149" s="119">
        <f t="shared" ref="E149:E1290" si="15">C149*D149</f>
        <v>4935.5250000000005</v>
      </c>
      <c r="F149" s="112"/>
      <c r="G149" s="422"/>
    </row>
    <row r="150" spans="1:7" ht="12.75" customHeight="1">
      <c r="A150" s="63" t="s">
        <v>501</v>
      </c>
      <c r="B150" s="123" t="s">
        <v>256</v>
      </c>
      <c r="C150" s="125">
        <v>350</v>
      </c>
      <c r="D150" s="63">
        <v>1</v>
      </c>
      <c r="E150" s="119">
        <f t="shared" si="15"/>
        <v>350</v>
      </c>
      <c r="F150" s="112"/>
      <c r="G150" s="422"/>
    </row>
    <row r="151" spans="1:7" ht="12.75" customHeight="1">
      <c r="A151" s="110"/>
      <c r="B151" s="110"/>
      <c r="C151" s="110"/>
      <c r="D151" s="110"/>
      <c r="E151" s="101"/>
      <c r="F151" s="112"/>
      <c r="G151" s="422"/>
    </row>
    <row r="152" spans="1:7" ht="12.75" customHeight="1">
      <c r="A152" s="63"/>
      <c r="B152" s="63"/>
      <c r="C152" s="63"/>
      <c r="D152" s="63"/>
      <c r="E152" s="101"/>
      <c r="F152" s="112"/>
      <c r="G152" s="422"/>
    </row>
    <row r="153" spans="1:7" ht="12.75" customHeight="1">
      <c r="A153" s="110"/>
      <c r="B153" s="110"/>
      <c r="C153" s="110"/>
      <c r="D153" s="110"/>
      <c r="E153" s="101"/>
      <c r="F153" s="112"/>
      <c r="G153" s="422"/>
    </row>
    <row r="154" spans="1:7" ht="12.75" customHeight="1">
      <c r="A154" s="116"/>
      <c r="B154" s="116"/>
      <c r="C154" s="116"/>
      <c r="D154" s="116"/>
      <c r="E154" s="101"/>
      <c r="F154" s="102" t="s">
        <v>189</v>
      </c>
      <c r="G154" s="419">
        <f t="shared" si="12"/>
        <v>5285.5250000000005</v>
      </c>
    </row>
    <row r="155" spans="1:7" ht="12.75" customHeight="1">
      <c r="A155" s="1" t="s">
        <v>197</v>
      </c>
      <c r="B155" s="1"/>
      <c r="C155" s="1"/>
      <c r="D155" s="1"/>
      <c r="E155" s="1"/>
      <c r="F155" s="1"/>
      <c r="G155" s="420"/>
    </row>
    <row r="156" spans="1:7" ht="12.75" customHeight="1">
      <c r="A156" s="117" t="s">
        <v>198</v>
      </c>
      <c r="B156" s="117" t="s">
        <v>199</v>
      </c>
      <c r="C156" s="117" t="s">
        <v>200</v>
      </c>
      <c r="D156" s="117" t="s">
        <v>201</v>
      </c>
      <c r="E156" s="81" t="s">
        <v>186</v>
      </c>
      <c r="F156" s="108"/>
      <c r="G156" s="421"/>
    </row>
    <row r="157" spans="1:7" ht="12.75" customHeight="1">
      <c r="A157" s="110" t="s">
        <v>232</v>
      </c>
      <c r="B157" s="110"/>
      <c r="C157" s="110"/>
      <c r="D157" s="110"/>
      <c r="E157" s="101">
        <v>1000</v>
      </c>
      <c r="F157" s="112"/>
      <c r="G157" s="422"/>
    </row>
    <row r="158" spans="1:7" ht="12.75" customHeight="1">
      <c r="A158" s="63"/>
      <c r="B158" s="63"/>
      <c r="C158" s="63"/>
      <c r="D158" s="63"/>
      <c r="E158" s="113"/>
      <c r="F158" s="112"/>
      <c r="G158" s="422"/>
    </row>
    <row r="159" spans="1:7" ht="12.75" customHeight="1">
      <c r="A159" s="110"/>
      <c r="B159" s="110"/>
      <c r="C159" s="110"/>
      <c r="D159" s="110"/>
      <c r="E159" s="101"/>
      <c r="F159" s="112"/>
      <c r="G159" s="422"/>
    </row>
    <row r="160" spans="1:7" ht="12.75" customHeight="1">
      <c r="A160" s="110"/>
      <c r="B160" s="110"/>
      <c r="C160" s="110"/>
      <c r="D160" s="110"/>
      <c r="E160" s="101"/>
      <c r="F160" s="112"/>
      <c r="G160" s="422"/>
    </row>
    <row r="161" spans="1:7" ht="12.75" customHeight="1">
      <c r="A161" s="116"/>
      <c r="B161" s="116"/>
      <c r="C161" s="116"/>
      <c r="D161" s="116"/>
      <c r="E161" s="105"/>
      <c r="F161" s="102" t="s">
        <v>189</v>
      </c>
      <c r="G161" s="419">
        <f t="shared" si="11"/>
        <v>1000</v>
      </c>
    </row>
    <row r="162" spans="1:7" ht="12.75" customHeight="1">
      <c r="A162" s="1" t="s">
        <v>202</v>
      </c>
      <c r="B162" s="1"/>
      <c r="C162" s="1"/>
      <c r="D162" s="1"/>
      <c r="E162" s="1"/>
      <c r="F162" s="1"/>
      <c r="G162" s="420"/>
    </row>
    <row r="163" spans="1:7" ht="12.75" customHeight="1">
      <c r="A163" s="117" t="s">
        <v>203</v>
      </c>
      <c r="B163" s="80" t="s">
        <v>204</v>
      </c>
      <c r="C163" s="117" t="s">
        <v>205</v>
      </c>
      <c r="D163" s="80" t="s">
        <v>206</v>
      </c>
      <c r="E163" s="117" t="s">
        <v>207</v>
      </c>
      <c r="F163" s="80" t="s">
        <v>208</v>
      </c>
      <c r="G163" s="423"/>
    </row>
    <row r="164" spans="1:7" ht="12.75" customHeight="1">
      <c r="A164" s="110" t="s">
        <v>188</v>
      </c>
      <c r="B164" s="100">
        <v>150000</v>
      </c>
      <c r="C164" s="110">
        <f t="shared" si="13"/>
        <v>112500</v>
      </c>
      <c r="D164" s="100">
        <f t="shared" si="3"/>
        <v>262500</v>
      </c>
      <c r="E164" s="110">
        <v>90</v>
      </c>
      <c r="F164" s="119">
        <f t="shared" si="4"/>
        <v>2916.6666666666665</v>
      </c>
      <c r="G164" s="424"/>
    </row>
    <row r="165" spans="1:7" ht="12.75" customHeight="1">
      <c r="A165" s="63" t="s">
        <v>190</v>
      </c>
      <c r="B165" s="100">
        <v>100000</v>
      </c>
      <c r="C165" s="111">
        <f t="shared" si="13"/>
        <v>75000</v>
      </c>
      <c r="D165" s="120">
        <f t="shared" si="3"/>
        <v>175000</v>
      </c>
      <c r="E165" s="110">
        <v>90</v>
      </c>
      <c r="F165" s="119">
        <f t="shared" si="4"/>
        <v>1944.4444444444443</v>
      </c>
      <c r="G165" s="424"/>
    </row>
    <row r="166" spans="1:7" ht="12.75" customHeight="1">
      <c r="A166" s="110"/>
      <c r="B166" s="100"/>
      <c r="C166" s="110"/>
      <c r="D166" s="100"/>
      <c r="E166" s="110"/>
      <c r="F166" s="101"/>
      <c r="G166" s="424"/>
    </row>
    <row r="167" spans="1:7" ht="12.75" customHeight="1">
      <c r="A167" s="63"/>
      <c r="B167" s="1"/>
      <c r="C167" s="63"/>
      <c r="D167" s="1"/>
      <c r="E167" s="63"/>
      <c r="F167" s="101"/>
      <c r="G167" s="424"/>
    </row>
    <row r="168" spans="1:7" ht="12.75" customHeight="1">
      <c r="A168" s="110"/>
      <c r="B168" s="100"/>
      <c r="C168" s="110"/>
      <c r="D168" s="100"/>
      <c r="E168" s="110"/>
      <c r="F168" s="101"/>
      <c r="G168" s="424"/>
    </row>
    <row r="169" spans="1:7" ht="12.75" customHeight="1">
      <c r="A169" s="116"/>
      <c r="B169" s="103"/>
      <c r="C169" s="116"/>
      <c r="D169" s="103"/>
      <c r="E169" s="116"/>
      <c r="F169" s="101"/>
      <c r="G169" s="425"/>
    </row>
    <row r="170" spans="1:7" ht="12.75" customHeight="1">
      <c r="A170" s="1"/>
      <c r="B170" s="1"/>
      <c r="C170" s="1"/>
      <c r="D170" s="1"/>
      <c r="E170" s="1"/>
      <c r="F170" s="1" t="s">
        <v>189</v>
      </c>
      <c r="G170" s="225">
        <f t="shared" si="5"/>
        <v>4861.1111111111113</v>
      </c>
    </row>
    <row r="171" spans="1:7" ht="12.75" customHeight="1">
      <c r="A171" s="1"/>
      <c r="B171" s="1"/>
      <c r="C171" s="1"/>
      <c r="D171" s="1"/>
      <c r="E171" s="1"/>
      <c r="F171" s="1"/>
      <c r="G171" s="420"/>
    </row>
    <row r="172" spans="1:7" ht="12.75" customHeight="1">
      <c r="A172" s="103" t="s">
        <v>209</v>
      </c>
      <c r="B172" s="1"/>
      <c r="C172" s="1" t="s">
        <v>210</v>
      </c>
      <c r="D172" s="473" t="s">
        <v>211</v>
      </c>
      <c r="E172" s="457"/>
      <c r="F172" s="457"/>
      <c r="G172" s="225">
        <f t="shared" ref="G172:G611" si="16">G146+G154+G161+G170</f>
        <v>11389.691666666668</v>
      </c>
    </row>
    <row r="173" spans="1:7" ht="12.75" customHeight="1">
      <c r="A173" s="1"/>
      <c r="B173" s="1"/>
      <c r="C173" s="1"/>
      <c r="D173" s="1"/>
      <c r="E173" s="1"/>
      <c r="F173" s="1"/>
      <c r="G173" s="420"/>
    </row>
    <row r="174" spans="1:7" ht="12.75" customHeight="1">
      <c r="A174" s="1"/>
      <c r="B174" s="1"/>
      <c r="C174" s="1"/>
      <c r="D174" s="1"/>
      <c r="E174" s="1" t="s">
        <v>212</v>
      </c>
      <c r="F174" s="1"/>
      <c r="G174" s="225">
        <f t="shared" si="7"/>
        <v>3416.9075000000003</v>
      </c>
    </row>
    <row r="175" spans="1:7" ht="12.75" customHeight="1">
      <c r="A175" s="1"/>
      <c r="B175" s="1"/>
      <c r="C175" s="1"/>
      <c r="D175" s="1"/>
      <c r="E175" s="1"/>
      <c r="F175" s="1"/>
      <c r="G175" s="420"/>
    </row>
    <row r="176" spans="1:7" ht="12.75" customHeight="1">
      <c r="A176" s="103" t="s">
        <v>213</v>
      </c>
      <c r="B176" s="1"/>
      <c r="C176" s="1"/>
      <c r="D176" s="473" t="s">
        <v>214</v>
      </c>
      <c r="E176" s="457"/>
      <c r="F176" s="457"/>
      <c r="G176" s="225">
        <f t="shared" si="8"/>
        <v>14806.599166666667</v>
      </c>
    </row>
    <row r="177" spans="1:7" ht="15" customHeight="1" thickBot="1">
      <c r="A177" s="468" t="s">
        <v>174</v>
      </c>
      <c r="B177" s="457"/>
      <c r="C177" s="457"/>
      <c r="D177" s="457"/>
      <c r="E177" s="457"/>
      <c r="F177" s="457"/>
      <c r="G177" s="457"/>
    </row>
    <row r="178" spans="1:7" ht="15" customHeight="1">
      <c r="A178" s="449"/>
      <c r="B178" s="175"/>
      <c r="C178" s="175"/>
      <c r="D178" s="175"/>
      <c r="E178" s="175"/>
      <c r="F178" s="175"/>
      <c r="G178" s="450"/>
    </row>
    <row r="179" spans="1:7" ht="12.75" customHeight="1">
      <c r="A179" s="406" t="s">
        <v>175</v>
      </c>
      <c r="B179" s="401"/>
      <c r="C179" s="401"/>
      <c r="D179" s="426"/>
      <c r="E179" s="426"/>
      <c r="F179" s="426"/>
      <c r="G179" s="431"/>
    </row>
    <row r="180" spans="1:7" ht="12.75" customHeight="1">
      <c r="A180" s="406" t="str">
        <f>+A4</f>
        <v xml:space="preserve">OBRA N° Conducción - Red de Distribución  </v>
      </c>
      <c r="B180" s="401"/>
      <c r="C180" s="401"/>
      <c r="D180" s="401"/>
      <c r="E180" s="195"/>
      <c r="F180" s="402" t="s">
        <v>177</v>
      </c>
      <c r="G180" s="430">
        <f t="shared" ca="1" si="0"/>
        <v>46289</v>
      </c>
    </row>
    <row r="181" spans="1:7" ht="12.75" customHeight="1">
      <c r="A181" s="406"/>
      <c r="B181" s="426"/>
      <c r="C181" s="426"/>
      <c r="D181" s="426"/>
      <c r="E181" s="426"/>
      <c r="F181" s="426"/>
      <c r="G181" s="431"/>
    </row>
    <row r="182" spans="1:7" ht="12.75" customHeight="1">
      <c r="A182" s="406"/>
      <c r="B182" s="426"/>
      <c r="C182" s="426"/>
      <c r="D182" s="426"/>
      <c r="E182" s="426"/>
      <c r="F182" s="426"/>
      <c r="G182" s="431"/>
    </row>
    <row r="183" spans="1:7" ht="12.75" customHeight="1">
      <c r="A183" s="406" t="s">
        <v>228</v>
      </c>
      <c r="B183" s="401" t="s">
        <v>502</v>
      </c>
      <c r="C183" s="401"/>
      <c r="D183" s="401"/>
      <c r="E183" s="401"/>
      <c r="F183" s="401"/>
      <c r="G183" s="417"/>
    </row>
    <row r="184" spans="1:7" ht="12.75" customHeight="1">
      <c r="A184" s="406"/>
      <c r="B184" s="401"/>
      <c r="C184" s="401" t="s">
        <v>179</v>
      </c>
      <c r="D184" s="169">
        <v>100</v>
      </c>
      <c r="E184" s="401" t="s">
        <v>180</v>
      </c>
      <c r="F184" s="401" t="s">
        <v>337</v>
      </c>
      <c r="G184" s="417"/>
    </row>
    <row r="185" spans="1:7" ht="12.75" customHeight="1">
      <c r="A185" s="406" t="s">
        <v>182</v>
      </c>
      <c r="B185" s="401"/>
      <c r="C185" s="401"/>
      <c r="D185" s="401"/>
      <c r="E185" s="401"/>
      <c r="F185" s="401"/>
      <c r="G185" s="417"/>
    </row>
    <row r="186" spans="1:7" ht="12.75" customHeight="1">
      <c r="A186" s="408" t="s">
        <v>111</v>
      </c>
      <c r="B186" s="169" t="s">
        <v>183</v>
      </c>
      <c r="C186" s="169" t="s">
        <v>184</v>
      </c>
      <c r="D186" s="169" t="s">
        <v>185</v>
      </c>
      <c r="E186" s="169" t="s">
        <v>186</v>
      </c>
      <c r="F186" s="401"/>
      <c r="G186" s="417"/>
    </row>
    <row r="187" spans="1:7" ht="12.75" customHeight="1">
      <c r="A187" s="406" t="s">
        <v>187</v>
      </c>
      <c r="B187" s="401"/>
      <c r="C187" s="401"/>
      <c r="D187" s="401"/>
      <c r="E187" s="403">
        <f t="shared" si="14"/>
        <v>266.65449948862334</v>
      </c>
      <c r="F187" s="401"/>
      <c r="G187" s="417"/>
    </row>
    <row r="188" spans="1:7" ht="12.75" customHeight="1">
      <c r="A188" s="406"/>
      <c r="B188" s="401"/>
      <c r="C188" s="401"/>
      <c r="D188" s="401"/>
      <c r="E188" s="401"/>
      <c r="F188" s="401"/>
      <c r="G188" s="417"/>
    </row>
    <row r="189" spans="1:7" ht="12.75" customHeight="1">
      <c r="A189" s="406"/>
      <c r="B189" s="401"/>
      <c r="C189" s="401"/>
      <c r="D189" s="401"/>
      <c r="E189" s="401"/>
      <c r="F189" s="401"/>
      <c r="G189" s="417"/>
    </row>
    <row r="190" spans="1:7" ht="12.75" customHeight="1">
      <c r="A190" s="406"/>
      <c r="B190" s="401"/>
      <c r="C190" s="401"/>
      <c r="D190" s="401"/>
      <c r="E190" s="401"/>
      <c r="F190" s="401" t="s">
        <v>189</v>
      </c>
      <c r="G190" s="417">
        <f t="shared" si="2"/>
        <v>266.65449948862334</v>
      </c>
    </row>
    <row r="191" spans="1:7" ht="12.75" customHeight="1">
      <c r="A191" s="406" t="s">
        <v>191</v>
      </c>
      <c r="B191" s="401"/>
      <c r="C191" s="401"/>
      <c r="D191" s="401"/>
      <c r="E191" s="401"/>
      <c r="F191" s="401"/>
      <c r="G191" s="417"/>
    </row>
    <row r="192" spans="1:7" ht="12.75" customHeight="1">
      <c r="A192" s="408" t="s">
        <v>111</v>
      </c>
      <c r="B192" s="169" t="s">
        <v>193</v>
      </c>
      <c r="C192" s="169" t="s">
        <v>194</v>
      </c>
      <c r="D192" s="169" t="s">
        <v>195</v>
      </c>
      <c r="E192" s="169" t="s">
        <v>186</v>
      </c>
      <c r="F192" s="401"/>
      <c r="G192" s="417"/>
    </row>
    <row r="193" spans="1:7" ht="12.75" customHeight="1">
      <c r="A193" s="406" t="s">
        <v>503</v>
      </c>
      <c r="B193" s="169" t="s">
        <v>459</v>
      </c>
      <c r="C193" s="448">
        <f>3050*1.19</f>
        <v>3629.5</v>
      </c>
      <c r="D193" s="401">
        <v>1.05</v>
      </c>
      <c r="E193" s="403">
        <f t="shared" si="15"/>
        <v>3810.9750000000004</v>
      </c>
      <c r="F193" s="401"/>
      <c r="G193" s="417"/>
    </row>
    <row r="194" spans="1:7" ht="12.75" customHeight="1">
      <c r="A194" s="406" t="s">
        <v>486</v>
      </c>
      <c r="B194" s="169" t="s">
        <v>256</v>
      </c>
      <c r="C194" s="403">
        <f>((371+581)/3)*1.19</f>
        <v>377.62666666666661</v>
      </c>
      <c r="D194" s="401">
        <v>1</v>
      </c>
      <c r="E194" s="403">
        <f t="shared" si="15"/>
        <v>377.62666666666661</v>
      </c>
      <c r="F194" s="401"/>
      <c r="G194" s="417"/>
    </row>
    <row r="195" spans="1:7" ht="12.75" customHeight="1">
      <c r="A195" s="406" t="s">
        <v>285</v>
      </c>
      <c r="B195" s="169" t="s">
        <v>256</v>
      </c>
      <c r="C195" s="401">
        <v>400</v>
      </c>
      <c r="D195" s="401">
        <v>1</v>
      </c>
      <c r="E195" s="401">
        <f t="shared" si="15"/>
        <v>400</v>
      </c>
      <c r="F195" s="401"/>
      <c r="G195" s="417"/>
    </row>
    <row r="196" spans="1:7" ht="12.75" customHeight="1">
      <c r="A196" s="406"/>
      <c r="B196" s="401"/>
      <c r="C196" s="401"/>
      <c r="D196" s="401"/>
      <c r="E196" s="401"/>
      <c r="F196" s="401"/>
      <c r="G196" s="417"/>
    </row>
    <row r="197" spans="1:7" ht="12.75" customHeight="1">
      <c r="A197" s="406"/>
      <c r="B197" s="401"/>
      <c r="C197" s="401"/>
      <c r="D197" s="401"/>
      <c r="E197" s="401"/>
      <c r="F197" s="401"/>
      <c r="G197" s="417"/>
    </row>
    <row r="198" spans="1:7" ht="12.75" customHeight="1">
      <c r="A198" s="406"/>
      <c r="B198" s="401"/>
      <c r="C198" s="401"/>
      <c r="D198" s="401"/>
      <c r="E198" s="401"/>
      <c r="F198" s="401" t="s">
        <v>189</v>
      </c>
      <c r="G198" s="417">
        <f t="shared" si="12"/>
        <v>4588.6016666666674</v>
      </c>
    </row>
    <row r="199" spans="1:7" ht="12.75" customHeight="1">
      <c r="A199" s="406" t="s">
        <v>197</v>
      </c>
      <c r="B199" s="401"/>
      <c r="C199" s="401"/>
      <c r="D199" s="401"/>
      <c r="E199" s="401"/>
      <c r="F199" s="401"/>
      <c r="G199" s="417"/>
    </row>
    <row r="200" spans="1:7" ht="12.75" customHeight="1">
      <c r="A200" s="408" t="s">
        <v>198</v>
      </c>
      <c r="B200" s="169" t="s">
        <v>199</v>
      </c>
      <c r="C200" s="169" t="s">
        <v>200</v>
      </c>
      <c r="D200" s="169" t="s">
        <v>201</v>
      </c>
      <c r="E200" s="169" t="s">
        <v>186</v>
      </c>
      <c r="F200" s="401"/>
      <c r="G200" s="417"/>
    </row>
    <row r="201" spans="1:7" ht="12.75" customHeight="1">
      <c r="A201" s="406" t="s">
        <v>232</v>
      </c>
      <c r="B201" s="401"/>
      <c r="C201" s="401"/>
      <c r="D201" s="401"/>
      <c r="E201" s="401"/>
      <c r="F201" s="401"/>
      <c r="G201" s="417"/>
    </row>
    <row r="202" spans="1:7" ht="12.75" customHeight="1">
      <c r="A202" s="406"/>
      <c r="B202" s="401"/>
      <c r="C202" s="401"/>
      <c r="D202" s="401"/>
      <c r="E202" s="401"/>
      <c r="F202" s="401"/>
      <c r="G202" s="417"/>
    </row>
    <row r="203" spans="1:7" ht="12.75" customHeight="1">
      <c r="A203" s="406"/>
      <c r="B203" s="401"/>
      <c r="C203" s="401"/>
      <c r="D203" s="401"/>
      <c r="E203" s="401"/>
      <c r="F203" s="401"/>
      <c r="G203" s="417"/>
    </row>
    <row r="204" spans="1:7" ht="12.75" customHeight="1">
      <c r="A204" s="406"/>
      <c r="B204" s="401"/>
      <c r="C204" s="401"/>
      <c r="D204" s="401"/>
      <c r="E204" s="401"/>
      <c r="F204" s="401"/>
      <c r="G204" s="417"/>
    </row>
    <row r="205" spans="1:7" ht="12.75" customHeight="1">
      <c r="A205" s="406"/>
      <c r="B205" s="401"/>
      <c r="C205" s="401"/>
      <c r="D205" s="401"/>
      <c r="E205" s="401"/>
      <c r="F205" s="401" t="s">
        <v>189</v>
      </c>
      <c r="G205" s="417">
        <f t="shared" si="11"/>
        <v>0</v>
      </c>
    </row>
    <row r="206" spans="1:7" ht="12.75" customHeight="1">
      <c r="A206" s="406" t="s">
        <v>202</v>
      </c>
      <c r="B206" s="401"/>
      <c r="C206" s="401"/>
      <c r="D206" s="401"/>
      <c r="E206" s="401"/>
      <c r="F206" s="401"/>
      <c r="G206" s="417"/>
    </row>
    <row r="207" spans="1:7" ht="12.75" customHeight="1">
      <c r="A207" s="408" t="s">
        <v>203</v>
      </c>
      <c r="B207" s="169" t="s">
        <v>204</v>
      </c>
      <c r="C207" s="169" t="s">
        <v>205</v>
      </c>
      <c r="D207" s="169" t="s">
        <v>206</v>
      </c>
      <c r="E207" s="169" t="s">
        <v>207</v>
      </c>
      <c r="F207" s="169" t="s">
        <v>208</v>
      </c>
      <c r="G207" s="417"/>
    </row>
    <row r="208" spans="1:7" ht="12.75" customHeight="1">
      <c r="A208" s="406" t="s">
        <v>188</v>
      </c>
      <c r="B208" s="401">
        <f t="shared" si="9"/>
        <v>150000</v>
      </c>
      <c r="C208" s="401">
        <f t="shared" si="13"/>
        <v>112500</v>
      </c>
      <c r="D208" s="401">
        <f t="shared" si="3"/>
        <v>262500</v>
      </c>
      <c r="E208" s="403">
        <v>87.507098096283968</v>
      </c>
      <c r="F208" s="403">
        <f t="shared" si="4"/>
        <v>2999.7566564391327</v>
      </c>
      <c r="G208" s="417"/>
    </row>
    <row r="209" spans="1:9" ht="12.75" customHeight="1">
      <c r="A209" s="406" t="s">
        <v>190</v>
      </c>
      <c r="B209" s="401">
        <f t="shared" si="9"/>
        <v>100000</v>
      </c>
      <c r="C209" s="403">
        <f t="shared" si="13"/>
        <v>75000</v>
      </c>
      <c r="D209" s="403">
        <f t="shared" si="3"/>
        <v>175000</v>
      </c>
      <c r="E209" s="401">
        <v>75</v>
      </c>
      <c r="F209" s="403">
        <f t="shared" si="4"/>
        <v>2333.3333333333335</v>
      </c>
      <c r="G209" s="417"/>
    </row>
    <row r="210" spans="1:9" ht="12.75" customHeight="1">
      <c r="A210" s="406"/>
      <c r="B210" s="401"/>
      <c r="C210" s="401"/>
      <c r="D210" s="401"/>
      <c r="E210" s="401"/>
      <c r="F210" s="401"/>
      <c r="G210" s="417"/>
    </row>
    <row r="211" spans="1:9" ht="12.75" customHeight="1">
      <c r="A211" s="406"/>
      <c r="B211" s="401"/>
      <c r="C211" s="401"/>
      <c r="D211" s="401"/>
      <c r="E211" s="401"/>
      <c r="F211" s="401"/>
      <c r="G211" s="417"/>
    </row>
    <row r="212" spans="1:9" ht="12.75" customHeight="1">
      <c r="A212" s="406"/>
      <c r="B212" s="401"/>
      <c r="C212" s="401"/>
      <c r="D212" s="401"/>
      <c r="E212" s="401"/>
      <c r="F212" s="401"/>
      <c r="G212" s="417"/>
    </row>
    <row r="213" spans="1:9" ht="12.75" customHeight="1">
      <c r="A213" s="406"/>
      <c r="B213" s="401"/>
      <c r="C213" s="401"/>
      <c r="D213" s="401"/>
      <c r="E213" s="401"/>
      <c r="F213" s="401"/>
      <c r="G213" s="417"/>
    </row>
    <row r="214" spans="1:9" ht="12.75" customHeight="1">
      <c r="A214" s="406"/>
      <c r="B214" s="401"/>
      <c r="C214" s="401"/>
      <c r="D214" s="401"/>
      <c r="E214" s="401"/>
      <c r="F214" s="401" t="s">
        <v>189</v>
      </c>
      <c r="G214" s="417">
        <f t="shared" si="5"/>
        <v>5333.0899897724667</v>
      </c>
    </row>
    <row r="215" spans="1:9" ht="12.75" customHeight="1">
      <c r="A215" s="406"/>
      <c r="B215" s="401"/>
      <c r="C215" s="401"/>
      <c r="D215" s="401"/>
      <c r="E215" s="401"/>
      <c r="F215" s="401"/>
      <c r="G215" s="417"/>
    </row>
    <row r="216" spans="1:9" ht="12.75" customHeight="1">
      <c r="A216" s="406" t="s">
        <v>209</v>
      </c>
      <c r="B216" s="401"/>
      <c r="C216" s="401" t="s">
        <v>210</v>
      </c>
      <c r="D216" s="471" t="s">
        <v>211</v>
      </c>
      <c r="E216" s="472"/>
      <c r="F216" s="472"/>
      <c r="G216" s="417">
        <f t="shared" si="16"/>
        <v>10188.346155927757</v>
      </c>
      <c r="I216">
        <v>13244.85</v>
      </c>
    </row>
    <row r="217" spans="1:9" ht="12.75" customHeight="1">
      <c r="A217" s="406"/>
      <c r="B217" s="401"/>
      <c r="C217" s="401"/>
      <c r="D217" s="401"/>
      <c r="E217" s="401"/>
      <c r="F217" s="401"/>
      <c r="G217" s="417"/>
    </row>
    <row r="218" spans="1:9" ht="12.75" customHeight="1">
      <c r="A218" s="406"/>
      <c r="B218" s="401"/>
      <c r="C218" s="401"/>
      <c r="D218" s="401"/>
      <c r="E218" s="401" t="s">
        <v>212</v>
      </c>
      <c r="F218" s="401"/>
      <c r="G218" s="417">
        <f t="shared" si="7"/>
        <v>3056.503846778327</v>
      </c>
    </row>
    <row r="219" spans="1:9" ht="12.75" customHeight="1">
      <c r="A219" s="406"/>
      <c r="B219" s="401"/>
      <c r="C219" s="401"/>
      <c r="D219" s="401"/>
      <c r="E219" s="401"/>
      <c r="F219" s="401"/>
      <c r="G219" s="417"/>
    </row>
    <row r="220" spans="1:9" ht="12.75" customHeight="1" thickBot="1">
      <c r="A220" s="411" t="s">
        <v>213</v>
      </c>
      <c r="B220" s="412"/>
      <c r="C220" s="412"/>
      <c r="D220" s="469" t="s">
        <v>214</v>
      </c>
      <c r="E220" s="470"/>
      <c r="F220" s="470"/>
      <c r="G220" s="418">
        <f t="shared" si="8"/>
        <v>13244.850002706084</v>
      </c>
    </row>
    <row r="221" spans="1:9" ht="15" customHeight="1">
      <c r="A221" s="468" t="s">
        <v>174</v>
      </c>
      <c r="B221" s="457"/>
      <c r="C221" s="457"/>
      <c r="D221" s="457"/>
      <c r="E221" s="457"/>
      <c r="F221" s="457"/>
      <c r="G221" s="457"/>
    </row>
    <row r="222" spans="1:9" ht="15" customHeight="1" thickBot="1">
      <c r="A222" s="73"/>
      <c r="B222" s="73"/>
      <c r="C222" s="73"/>
      <c r="D222" s="73"/>
      <c r="E222" s="73"/>
      <c r="F222" s="73"/>
      <c r="G222" s="440"/>
    </row>
    <row r="223" spans="1:9" ht="12.75" customHeight="1">
      <c r="A223" s="404" t="s">
        <v>175</v>
      </c>
      <c r="B223" s="405"/>
      <c r="C223" s="405"/>
      <c r="D223" s="428"/>
      <c r="E223" s="428"/>
      <c r="F223" s="428"/>
      <c r="G223" s="429"/>
    </row>
    <row r="224" spans="1:9" ht="12.75" customHeight="1">
      <c r="A224" s="406" t="e">
        <f t="shared" ref="A224" si="17">+#REF!</f>
        <v>#REF!</v>
      </c>
      <c r="B224" s="401"/>
      <c r="C224" s="401"/>
      <c r="D224" s="401"/>
      <c r="E224" s="195"/>
      <c r="F224" s="402" t="s">
        <v>177</v>
      </c>
      <c r="G224" s="430">
        <f t="shared" ca="1" si="0"/>
        <v>46289</v>
      </c>
    </row>
    <row r="225" spans="1:7" ht="12.75" customHeight="1">
      <c r="A225" s="406"/>
      <c r="B225" s="426"/>
      <c r="C225" s="426"/>
      <c r="D225" s="426"/>
      <c r="E225" s="426"/>
      <c r="F225" s="426"/>
      <c r="G225" s="431"/>
    </row>
    <row r="226" spans="1:7" ht="12.75" customHeight="1">
      <c r="A226" s="406"/>
      <c r="B226" s="426"/>
      <c r="C226" s="426"/>
      <c r="D226" s="426"/>
      <c r="E226" s="426"/>
      <c r="F226" s="426"/>
      <c r="G226" s="431"/>
    </row>
    <row r="227" spans="1:7" ht="12.75" customHeight="1">
      <c r="A227" s="406" t="s">
        <v>504</v>
      </c>
      <c r="B227" s="401" t="s">
        <v>863</v>
      </c>
      <c r="C227" s="401"/>
      <c r="D227" s="401"/>
      <c r="E227" s="401"/>
      <c r="F227" s="401"/>
      <c r="G227" s="417"/>
    </row>
    <row r="228" spans="1:7" ht="12.75" customHeight="1">
      <c r="A228" s="406"/>
      <c r="B228" s="401"/>
      <c r="C228" s="401" t="s">
        <v>179</v>
      </c>
      <c r="D228" s="169">
        <v>108</v>
      </c>
      <c r="E228" s="401" t="s">
        <v>180</v>
      </c>
      <c r="F228" s="401" t="s">
        <v>337</v>
      </c>
      <c r="G228" s="417"/>
    </row>
    <row r="229" spans="1:7" ht="12.75" customHeight="1">
      <c r="A229" s="406" t="s">
        <v>182</v>
      </c>
      <c r="B229" s="401"/>
      <c r="C229" s="401"/>
      <c r="D229" s="401"/>
      <c r="E229" s="401"/>
      <c r="F229" s="401"/>
      <c r="G229" s="417"/>
    </row>
    <row r="230" spans="1:7" ht="12.75" customHeight="1">
      <c r="A230" s="408" t="s">
        <v>111</v>
      </c>
      <c r="B230" s="169" t="s">
        <v>183</v>
      </c>
      <c r="C230" s="169" t="s">
        <v>184</v>
      </c>
      <c r="D230" s="169" t="s">
        <v>185</v>
      </c>
      <c r="E230" s="169" t="s">
        <v>186</v>
      </c>
      <c r="F230" s="401"/>
      <c r="G230" s="417"/>
    </row>
    <row r="231" spans="1:7" ht="12.75" customHeight="1">
      <c r="A231" s="406" t="s">
        <v>187</v>
      </c>
      <c r="B231" s="401"/>
      <c r="C231" s="401"/>
      <c r="D231" s="401"/>
      <c r="E231" s="403">
        <f t="shared" ref="E231" si="18">G258*0.05</f>
        <v>437.5</v>
      </c>
      <c r="F231" s="401"/>
      <c r="G231" s="417"/>
    </row>
    <row r="232" spans="1:7" ht="12.75" customHeight="1">
      <c r="A232" s="406"/>
      <c r="B232" s="401"/>
      <c r="C232" s="401"/>
      <c r="D232" s="401"/>
      <c r="E232" s="401"/>
      <c r="F232" s="401"/>
      <c r="G232" s="417"/>
    </row>
    <row r="233" spans="1:7" ht="12.75" customHeight="1">
      <c r="A233" s="406"/>
      <c r="B233" s="401"/>
      <c r="C233" s="401"/>
      <c r="D233" s="401"/>
      <c r="E233" s="401"/>
      <c r="F233" s="401"/>
      <c r="G233" s="417"/>
    </row>
    <row r="234" spans="1:7" ht="12.75" customHeight="1">
      <c r="A234" s="406"/>
      <c r="B234" s="401"/>
      <c r="C234" s="401"/>
      <c r="D234" s="401"/>
      <c r="E234" s="401"/>
      <c r="F234" s="401" t="s">
        <v>189</v>
      </c>
      <c r="G234" s="417">
        <f t="shared" ref="G234" si="19">E231+E232+E233+E234</f>
        <v>437.5</v>
      </c>
    </row>
    <row r="235" spans="1:7" ht="12.75" customHeight="1">
      <c r="A235" s="406" t="s">
        <v>191</v>
      </c>
      <c r="B235" s="401"/>
      <c r="C235" s="401"/>
      <c r="D235" s="401"/>
      <c r="E235" s="401"/>
      <c r="F235" s="401"/>
      <c r="G235" s="417"/>
    </row>
    <row r="236" spans="1:7" ht="12.75" customHeight="1">
      <c r="A236" s="408" t="s">
        <v>111</v>
      </c>
      <c r="B236" s="169" t="s">
        <v>193</v>
      </c>
      <c r="C236" s="169" t="s">
        <v>194</v>
      </c>
      <c r="D236" s="169" t="s">
        <v>195</v>
      </c>
      <c r="E236" s="169" t="s">
        <v>186</v>
      </c>
      <c r="F236" s="401"/>
      <c r="G236" s="417"/>
    </row>
    <row r="237" spans="1:7" ht="12.75" customHeight="1">
      <c r="A237" s="406" t="s">
        <v>862</v>
      </c>
      <c r="B237" s="169" t="s">
        <v>459</v>
      </c>
      <c r="C237" s="403">
        <v>8914.75</v>
      </c>
      <c r="D237" s="401">
        <v>1.05</v>
      </c>
      <c r="E237" s="403">
        <f t="shared" ref="E237:E239" si="20">C237*D237</f>
        <v>9360.4875000000011</v>
      </c>
      <c r="F237" s="401"/>
      <c r="G237" s="417"/>
    </row>
    <row r="238" spans="1:7" ht="12.75" customHeight="1">
      <c r="A238" s="406" t="s">
        <v>486</v>
      </c>
      <c r="B238" s="169" t="s">
        <v>256</v>
      </c>
      <c r="C238" s="403">
        <v>1200</v>
      </c>
      <c r="D238" s="401">
        <v>1</v>
      </c>
      <c r="E238" s="403">
        <f t="shared" si="20"/>
        <v>1200</v>
      </c>
      <c r="F238" s="401"/>
      <c r="G238" s="417"/>
    </row>
    <row r="239" spans="1:7" ht="12.75" customHeight="1">
      <c r="A239" s="406" t="s">
        <v>285</v>
      </c>
      <c r="B239" s="169" t="s">
        <v>256</v>
      </c>
      <c r="C239" s="401">
        <v>900</v>
      </c>
      <c r="D239" s="401">
        <v>1</v>
      </c>
      <c r="E239" s="403">
        <f t="shared" si="20"/>
        <v>900</v>
      </c>
      <c r="F239" s="401"/>
      <c r="G239" s="417"/>
    </row>
    <row r="240" spans="1:7" ht="12.75" customHeight="1">
      <c r="A240" s="406"/>
      <c r="B240" s="401"/>
      <c r="C240" s="401"/>
      <c r="D240" s="401"/>
      <c r="E240" s="401"/>
      <c r="F240" s="401"/>
      <c r="G240" s="417"/>
    </row>
    <row r="241" spans="1:10" ht="12.75" customHeight="1">
      <c r="A241" s="406"/>
      <c r="B241" s="401"/>
      <c r="C241" s="401"/>
      <c r="D241" s="401"/>
      <c r="E241" s="401"/>
      <c r="F241" s="401"/>
      <c r="G241" s="417"/>
    </row>
    <row r="242" spans="1:10" ht="12.75" customHeight="1">
      <c r="A242" s="406"/>
      <c r="B242" s="401"/>
      <c r="C242" s="401"/>
      <c r="D242" s="401"/>
      <c r="E242" s="401"/>
      <c r="F242" s="401"/>
      <c r="G242" s="417"/>
    </row>
    <row r="243" spans="1:10" ht="12.75" customHeight="1">
      <c r="A243" s="406"/>
      <c r="B243" s="401"/>
      <c r="C243" s="401"/>
      <c r="D243" s="401"/>
      <c r="E243" s="401"/>
      <c r="F243" s="401" t="s">
        <v>189</v>
      </c>
      <c r="G243" s="417">
        <f t="shared" ref="G243" si="21">E237+E238+E239+E240+E241+E242</f>
        <v>11460.487500000001</v>
      </c>
      <c r="J243" s="260">
        <f>+C193+C281</f>
        <v>17829.5</v>
      </c>
    </row>
    <row r="244" spans="1:10" ht="12.75" customHeight="1">
      <c r="A244" s="406" t="s">
        <v>197</v>
      </c>
      <c r="B244" s="401"/>
      <c r="C244" s="401"/>
      <c r="D244" s="401"/>
      <c r="E244" s="401"/>
      <c r="F244" s="401"/>
      <c r="G244" s="417"/>
      <c r="J244">
        <f>+J243/2</f>
        <v>8914.75</v>
      </c>
    </row>
    <row r="245" spans="1:10" ht="12.75" customHeight="1">
      <c r="A245" s="408" t="s">
        <v>198</v>
      </c>
      <c r="B245" s="169" t="s">
        <v>199</v>
      </c>
      <c r="C245" s="169" t="s">
        <v>200</v>
      </c>
      <c r="D245" s="169" t="s">
        <v>201</v>
      </c>
      <c r="E245" s="169" t="s">
        <v>186</v>
      </c>
      <c r="F245" s="401"/>
      <c r="G245" s="417"/>
    </row>
    <row r="246" spans="1:10" ht="12.75" customHeight="1">
      <c r="A246" s="406" t="s">
        <v>232</v>
      </c>
      <c r="B246" s="401"/>
      <c r="C246" s="401"/>
      <c r="D246" s="401"/>
      <c r="E246" s="403">
        <v>2927.389423076921</v>
      </c>
      <c r="F246" s="401"/>
      <c r="G246" s="417"/>
    </row>
    <row r="247" spans="1:10" ht="12.75" customHeight="1">
      <c r="A247" s="406"/>
      <c r="B247" s="401"/>
      <c r="C247" s="401"/>
      <c r="D247" s="401"/>
      <c r="E247" s="401"/>
      <c r="F247" s="401"/>
      <c r="G247" s="417"/>
    </row>
    <row r="248" spans="1:10" ht="12.75" customHeight="1">
      <c r="A248" s="406"/>
      <c r="B248" s="401"/>
      <c r="C248" s="401"/>
      <c r="D248" s="401"/>
      <c r="E248" s="401"/>
      <c r="F248" s="401"/>
      <c r="G248" s="417"/>
    </row>
    <row r="249" spans="1:10" ht="12.75" customHeight="1">
      <c r="A249" s="406"/>
      <c r="B249" s="401"/>
      <c r="C249" s="401"/>
      <c r="D249" s="401"/>
      <c r="E249" s="401"/>
      <c r="F249" s="401"/>
      <c r="G249" s="417"/>
    </row>
    <row r="250" spans="1:10" ht="12.75" customHeight="1">
      <c r="A250" s="406"/>
      <c r="B250" s="401"/>
      <c r="C250" s="401"/>
      <c r="D250" s="401"/>
      <c r="E250" s="401"/>
      <c r="F250" s="401" t="s">
        <v>189</v>
      </c>
      <c r="G250" s="417">
        <f t="shared" ref="G250" si="22">E246+E247+E248+E249+E250</f>
        <v>2927.389423076921</v>
      </c>
    </row>
    <row r="251" spans="1:10" ht="12.75" customHeight="1">
      <c r="A251" s="406" t="s">
        <v>202</v>
      </c>
      <c r="B251" s="401"/>
      <c r="C251" s="401"/>
      <c r="D251" s="401"/>
      <c r="E251" s="401"/>
      <c r="F251" s="401"/>
      <c r="G251" s="417"/>
    </row>
    <row r="252" spans="1:10" ht="12.75" customHeight="1">
      <c r="A252" s="408" t="s">
        <v>203</v>
      </c>
      <c r="B252" s="169" t="s">
        <v>204</v>
      </c>
      <c r="C252" s="169" t="s">
        <v>205</v>
      </c>
      <c r="D252" s="169" t="s">
        <v>206</v>
      </c>
      <c r="E252" s="169" t="s">
        <v>207</v>
      </c>
      <c r="F252" s="169" t="s">
        <v>208</v>
      </c>
      <c r="G252" s="417"/>
    </row>
    <row r="253" spans="1:10" ht="12.75" customHeight="1">
      <c r="A253" s="406" t="s">
        <v>188</v>
      </c>
      <c r="B253" s="401">
        <f>+B208</f>
        <v>150000</v>
      </c>
      <c r="C253" s="401">
        <f t="shared" ref="C253:C254" si="23">0.75*B253</f>
        <v>112500</v>
      </c>
      <c r="D253" s="401">
        <f t="shared" ref="D253:D254" si="24">B253+C253</f>
        <v>262500</v>
      </c>
      <c r="E253" s="401">
        <v>50</v>
      </c>
      <c r="F253" s="403">
        <f t="shared" ref="F253:F254" si="25">D253/E253</f>
        <v>5250</v>
      </c>
      <c r="G253" s="417"/>
    </row>
    <row r="254" spans="1:10" ht="12.75" customHeight="1">
      <c r="A254" s="406" t="s">
        <v>190</v>
      </c>
      <c r="B254" s="401">
        <f>+B209</f>
        <v>100000</v>
      </c>
      <c r="C254" s="403">
        <f t="shared" si="23"/>
        <v>75000</v>
      </c>
      <c r="D254" s="403">
        <f t="shared" si="24"/>
        <v>175000</v>
      </c>
      <c r="E254" s="401">
        <v>50</v>
      </c>
      <c r="F254" s="403">
        <f t="shared" si="25"/>
        <v>3500</v>
      </c>
      <c r="G254" s="417"/>
    </row>
    <row r="255" spans="1:10" ht="12.75" customHeight="1">
      <c r="A255" s="406"/>
      <c r="B255" s="401"/>
      <c r="C255" s="401"/>
      <c r="D255" s="401"/>
      <c r="E255" s="401"/>
      <c r="F255" s="401"/>
      <c r="G255" s="417"/>
    </row>
    <row r="256" spans="1:10" ht="12.75" customHeight="1">
      <c r="A256" s="406"/>
      <c r="B256" s="401"/>
      <c r="C256" s="401"/>
      <c r="D256" s="401"/>
      <c r="E256" s="401"/>
      <c r="F256" s="401"/>
      <c r="G256" s="417"/>
    </row>
    <row r="257" spans="1:9" ht="12.75" customHeight="1">
      <c r="A257" s="406"/>
      <c r="B257" s="401"/>
      <c r="C257" s="401"/>
      <c r="D257" s="401"/>
      <c r="E257" s="401"/>
      <c r="F257" s="401"/>
      <c r="G257" s="417"/>
    </row>
    <row r="258" spans="1:9" ht="12.75" customHeight="1">
      <c r="A258" s="406"/>
      <c r="B258" s="401"/>
      <c r="C258" s="401"/>
      <c r="D258" s="401"/>
      <c r="E258" s="401"/>
      <c r="F258" s="401" t="s">
        <v>189</v>
      </c>
      <c r="G258" s="417">
        <f t="shared" ref="G258" si="26">F253+F254+F255+F256+F257</f>
        <v>8750</v>
      </c>
    </row>
    <row r="259" spans="1:9" ht="12.75" customHeight="1">
      <c r="A259" s="406"/>
      <c r="B259" s="401"/>
      <c r="C259" s="401"/>
      <c r="D259" s="401"/>
      <c r="E259" s="401"/>
      <c r="F259" s="401"/>
      <c r="G259" s="417"/>
    </row>
    <row r="260" spans="1:9" ht="12.75" customHeight="1">
      <c r="A260" s="406" t="s">
        <v>209</v>
      </c>
      <c r="B260" s="401"/>
      <c r="C260" s="401" t="s">
        <v>210</v>
      </c>
      <c r="D260" s="471" t="s">
        <v>211</v>
      </c>
      <c r="E260" s="472"/>
      <c r="F260" s="472"/>
      <c r="G260" s="447">
        <f t="shared" ref="G260" si="27">G234+G243+G250+G258</f>
        <v>23575.376923076921</v>
      </c>
      <c r="I260">
        <v>30647.99</v>
      </c>
    </row>
    <row r="261" spans="1:9" ht="12.75" customHeight="1">
      <c r="A261" s="406"/>
      <c r="B261" s="401"/>
      <c r="C261" s="401"/>
      <c r="D261" s="401"/>
      <c r="E261" s="401"/>
      <c r="F261" s="401"/>
      <c r="G261" s="417"/>
    </row>
    <row r="262" spans="1:9" ht="12.75" customHeight="1">
      <c r="A262" s="406"/>
      <c r="B262" s="401"/>
      <c r="C262" s="401"/>
      <c r="D262" s="401"/>
      <c r="E262" s="401" t="s">
        <v>212</v>
      </c>
      <c r="F262" s="401"/>
      <c r="G262" s="417">
        <f t="shared" si="7"/>
        <v>7072.6130769230758</v>
      </c>
    </row>
    <row r="263" spans="1:9" ht="12.75" customHeight="1">
      <c r="A263" s="406"/>
      <c r="B263" s="401"/>
      <c r="C263" s="401"/>
      <c r="D263" s="401"/>
      <c r="E263" s="401"/>
      <c r="F263" s="401"/>
      <c r="G263" s="417"/>
    </row>
    <row r="264" spans="1:9" ht="12.75" customHeight="1" thickBot="1">
      <c r="A264" s="411" t="s">
        <v>213</v>
      </c>
      <c r="B264" s="412"/>
      <c r="C264" s="412"/>
      <c r="D264" s="469" t="s">
        <v>214</v>
      </c>
      <c r="E264" s="470"/>
      <c r="F264" s="470"/>
      <c r="G264" s="418">
        <f t="shared" si="8"/>
        <v>30647.989999999998</v>
      </c>
    </row>
    <row r="265" spans="1:9" ht="15" customHeight="1">
      <c r="A265" s="468" t="s">
        <v>174</v>
      </c>
      <c r="B265" s="457"/>
      <c r="C265" s="457"/>
      <c r="D265" s="457"/>
      <c r="E265" s="457"/>
      <c r="F265" s="457"/>
      <c r="G265" s="457"/>
    </row>
    <row r="266" spans="1:9" ht="15" customHeight="1" thickBot="1">
      <c r="A266" s="73"/>
      <c r="B266" s="73"/>
      <c r="C266" s="73"/>
      <c r="D266" s="73"/>
      <c r="E266" s="73"/>
      <c r="F266" s="73"/>
      <c r="G266" s="440"/>
    </row>
    <row r="267" spans="1:9" ht="12.75" customHeight="1">
      <c r="A267" s="404" t="s">
        <v>175</v>
      </c>
      <c r="B267" s="405"/>
      <c r="C267" s="405"/>
      <c r="D267" s="428"/>
      <c r="E267" s="428"/>
      <c r="F267" s="428"/>
      <c r="G267" s="429"/>
    </row>
    <row r="268" spans="1:9" ht="12.75" customHeight="1">
      <c r="A268" s="406" t="str">
        <f t="shared" ref="A268" si="28">+A4</f>
        <v xml:space="preserve">OBRA N° Conducción - Red de Distribución  </v>
      </c>
      <c r="B268" s="401"/>
      <c r="C268" s="401"/>
      <c r="D268" s="401"/>
      <c r="E268" s="195"/>
      <c r="F268" s="402" t="s">
        <v>177</v>
      </c>
      <c r="G268" s="430">
        <f t="shared" ca="1" si="0"/>
        <v>46289</v>
      </c>
    </row>
    <row r="269" spans="1:9" ht="12.75" customHeight="1">
      <c r="A269" s="406"/>
      <c r="B269" s="426"/>
      <c r="C269" s="426"/>
      <c r="D269" s="426"/>
      <c r="E269" s="426"/>
      <c r="F269" s="426"/>
      <c r="G269" s="431"/>
    </row>
    <row r="270" spans="1:9" ht="12.75" customHeight="1">
      <c r="A270" s="406"/>
      <c r="B270" s="426"/>
      <c r="C270" s="426"/>
      <c r="D270" s="426"/>
      <c r="E270" s="426"/>
      <c r="F270" s="426"/>
      <c r="G270" s="431"/>
    </row>
    <row r="271" spans="1:9" ht="12.75" customHeight="1">
      <c r="A271" s="406" t="s">
        <v>504</v>
      </c>
      <c r="B271" s="401" t="s">
        <v>505</v>
      </c>
      <c r="C271" s="401"/>
      <c r="D271" s="401"/>
      <c r="E271" s="401"/>
      <c r="F271" s="401"/>
      <c r="G271" s="417"/>
    </row>
    <row r="272" spans="1:9" ht="12.75" customHeight="1">
      <c r="A272" s="406"/>
      <c r="B272" s="401"/>
      <c r="C272" s="401" t="s">
        <v>179</v>
      </c>
      <c r="D272" s="169">
        <v>108</v>
      </c>
      <c r="E272" s="401" t="s">
        <v>180</v>
      </c>
      <c r="F272" s="401" t="s">
        <v>337</v>
      </c>
      <c r="G272" s="417"/>
    </row>
    <row r="273" spans="1:10" ht="12.75" customHeight="1">
      <c r="A273" s="406" t="s">
        <v>182</v>
      </c>
      <c r="B273" s="401"/>
      <c r="C273" s="401"/>
      <c r="D273" s="401"/>
      <c r="E273" s="401"/>
      <c r="F273" s="401"/>
      <c r="G273" s="417"/>
    </row>
    <row r="274" spans="1:10" ht="12.75" customHeight="1">
      <c r="A274" s="408" t="s">
        <v>111</v>
      </c>
      <c r="B274" s="169" t="s">
        <v>183</v>
      </c>
      <c r="C274" s="169" t="s">
        <v>184</v>
      </c>
      <c r="D274" s="169" t="s">
        <v>185</v>
      </c>
      <c r="E274" s="169" t="s">
        <v>186</v>
      </c>
      <c r="F274" s="401"/>
      <c r="G274" s="417"/>
    </row>
    <row r="275" spans="1:10" ht="12.75" customHeight="1">
      <c r="A275" s="406" t="s">
        <v>187</v>
      </c>
      <c r="B275" s="401"/>
      <c r="C275" s="401"/>
      <c r="D275" s="401"/>
      <c r="E275" s="403">
        <f t="shared" si="14"/>
        <v>437.5</v>
      </c>
      <c r="F275" s="401"/>
      <c r="G275" s="417"/>
    </row>
    <row r="276" spans="1:10" ht="12.75" customHeight="1">
      <c r="A276" s="406"/>
      <c r="B276" s="401"/>
      <c r="C276" s="401"/>
      <c r="D276" s="401"/>
      <c r="E276" s="401"/>
      <c r="F276" s="401"/>
      <c r="G276" s="417"/>
    </row>
    <row r="277" spans="1:10" ht="12.75" customHeight="1">
      <c r="A277" s="406"/>
      <c r="B277" s="401"/>
      <c r="C277" s="401"/>
      <c r="D277" s="401"/>
      <c r="E277" s="401"/>
      <c r="F277" s="401"/>
      <c r="G277" s="417"/>
    </row>
    <row r="278" spans="1:10" ht="12.75" customHeight="1">
      <c r="A278" s="406"/>
      <c r="B278" s="401"/>
      <c r="C278" s="401"/>
      <c r="D278" s="401"/>
      <c r="E278" s="401"/>
      <c r="F278" s="401" t="s">
        <v>189</v>
      </c>
      <c r="G278" s="417">
        <f t="shared" si="2"/>
        <v>437.5</v>
      </c>
    </row>
    <row r="279" spans="1:10" ht="12.75" customHeight="1">
      <c r="A279" s="406" t="s">
        <v>191</v>
      </c>
      <c r="B279" s="401"/>
      <c r="C279" s="401"/>
      <c r="D279" s="401"/>
      <c r="E279" s="401"/>
      <c r="F279" s="401"/>
      <c r="G279" s="417"/>
    </row>
    <row r="280" spans="1:10" ht="12.75" customHeight="1">
      <c r="A280" s="408" t="s">
        <v>111</v>
      </c>
      <c r="B280" s="169" t="s">
        <v>193</v>
      </c>
      <c r="C280" s="169" t="s">
        <v>194</v>
      </c>
      <c r="D280" s="169" t="s">
        <v>195</v>
      </c>
      <c r="E280" s="169" t="s">
        <v>186</v>
      </c>
      <c r="F280" s="401"/>
      <c r="G280" s="417"/>
    </row>
    <row r="281" spans="1:10" ht="12.75" customHeight="1">
      <c r="A281" s="406" t="s">
        <v>506</v>
      </c>
      <c r="B281" s="169" t="s">
        <v>459</v>
      </c>
      <c r="C281" s="403">
        <v>14200</v>
      </c>
      <c r="D281" s="401">
        <v>1.05</v>
      </c>
      <c r="E281" s="403">
        <f t="shared" si="15"/>
        <v>14910</v>
      </c>
      <c r="F281" s="401"/>
      <c r="G281" s="417"/>
      <c r="I281">
        <v>42200</v>
      </c>
      <c r="J281">
        <f>+I281/6*J369</f>
        <v>9563.0458273546956</v>
      </c>
    </row>
    <row r="282" spans="1:10" ht="12.75" customHeight="1">
      <c r="A282" s="406" t="s">
        <v>486</v>
      </c>
      <c r="B282" s="169" t="s">
        <v>256</v>
      </c>
      <c r="C282" s="403">
        <v>1200</v>
      </c>
      <c r="D282" s="401">
        <v>1</v>
      </c>
      <c r="E282" s="403">
        <f t="shared" si="15"/>
        <v>1200</v>
      </c>
      <c r="F282" s="401"/>
      <c r="G282" s="417"/>
    </row>
    <row r="283" spans="1:10" ht="12.75" customHeight="1">
      <c r="A283" s="406" t="s">
        <v>285</v>
      </c>
      <c r="B283" s="169" t="s">
        <v>256</v>
      </c>
      <c r="C283" s="401">
        <v>900</v>
      </c>
      <c r="D283" s="401">
        <v>1</v>
      </c>
      <c r="E283" s="403">
        <f t="shared" si="15"/>
        <v>900</v>
      </c>
      <c r="F283" s="401"/>
      <c r="G283" s="417"/>
    </row>
    <row r="284" spans="1:10" ht="12.75" customHeight="1">
      <c r="A284" s="406"/>
      <c r="B284" s="401"/>
      <c r="C284" s="401"/>
      <c r="D284" s="401"/>
      <c r="E284" s="401"/>
      <c r="F284" s="401"/>
      <c r="G284" s="417"/>
    </row>
    <row r="285" spans="1:10" ht="12.75" customHeight="1">
      <c r="A285" s="406"/>
      <c r="B285" s="401"/>
      <c r="C285" s="401"/>
      <c r="D285" s="401"/>
      <c r="E285" s="401"/>
      <c r="F285" s="401"/>
      <c r="G285" s="417"/>
    </row>
    <row r="286" spans="1:10" ht="12.75" customHeight="1">
      <c r="A286" s="406"/>
      <c r="B286" s="401"/>
      <c r="C286" s="401"/>
      <c r="D286" s="401"/>
      <c r="E286" s="401"/>
      <c r="F286" s="401"/>
      <c r="G286" s="417"/>
    </row>
    <row r="287" spans="1:10" ht="12.75" customHeight="1">
      <c r="A287" s="406"/>
      <c r="B287" s="401"/>
      <c r="C287" s="401"/>
      <c r="D287" s="401"/>
      <c r="E287" s="401"/>
      <c r="F287" s="401" t="s">
        <v>189</v>
      </c>
      <c r="G287" s="417">
        <f t="shared" ref="G287:G724" si="29">E281+E282+E283+E284+E285+E286</f>
        <v>17010</v>
      </c>
    </row>
    <row r="288" spans="1:10" ht="12.75" customHeight="1">
      <c r="A288" s="406" t="s">
        <v>197</v>
      </c>
      <c r="B288" s="401"/>
      <c r="C288" s="401"/>
      <c r="D288" s="401"/>
      <c r="E288" s="401"/>
      <c r="F288" s="401"/>
      <c r="G288" s="417"/>
    </row>
    <row r="289" spans="1:9" ht="12.75" customHeight="1">
      <c r="A289" s="408" t="s">
        <v>198</v>
      </c>
      <c r="B289" s="169" t="s">
        <v>199</v>
      </c>
      <c r="C289" s="169" t="s">
        <v>200</v>
      </c>
      <c r="D289" s="169" t="s">
        <v>201</v>
      </c>
      <c r="E289" s="169" t="s">
        <v>186</v>
      </c>
      <c r="F289" s="401"/>
      <c r="G289" s="417"/>
    </row>
    <row r="290" spans="1:9" ht="12.75" customHeight="1">
      <c r="A290" s="406" t="s">
        <v>232</v>
      </c>
      <c r="B290" s="401"/>
      <c r="C290" s="401"/>
      <c r="D290" s="401"/>
      <c r="E290" s="403">
        <v>1646.7307692307693</v>
      </c>
      <c r="F290" s="401"/>
      <c r="G290" s="417"/>
    </row>
    <row r="291" spans="1:9" ht="12.75" customHeight="1">
      <c r="A291" s="406"/>
      <c r="B291" s="401"/>
      <c r="C291" s="401"/>
      <c r="D291" s="401"/>
      <c r="E291" s="401"/>
      <c r="F291" s="401"/>
      <c r="G291" s="417"/>
    </row>
    <row r="292" spans="1:9" ht="12.75" customHeight="1">
      <c r="A292" s="406"/>
      <c r="B292" s="401"/>
      <c r="C292" s="401"/>
      <c r="D292" s="401"/>
      <c r="E292" s="401"/>
      <c r="F292" s="401"/>
      <c r="G292" s="417"/>
    </row>
    <row r="293" spans="1:9" ht="12.75" customHeight="1">
      <c r="A293" s="406"/>
      <c r="B293" s="401"/>
      <c r="C293" s="401"/>
      <c r="D293" s="401"/>
      <c r="E293" s="401"/>
      <c r="F293" s="401"/>
      <c r="G293" s="417"/>
    </row>
    <row r="294" spans="1:9" ht="12.75" customHeight="1">
      <c r="A294" s="406"/>
      <c r="B294" s="401"/>
      <c r="C294" s="401"/>
      <c r="D294" s="401"/>
      <c r="E294" s="401"/>
      <c r="F294" s="401" t="s">
        <v>189</v>
      </c>
      <c r="G294" s="417">
        <f t="shared" si="11"/>
        <v>1646.7307692307693</v>
      </c>
    </row>
    <row r="295" spans="1:9" ht="12.75" customHeight="1">
      <c r="A295" s="406" t="s">
        <v>202</v>
      </c>
      <c r="B295" s="401"/>
      <c r="C295" s="401"/>
      <c r="D295" s="401"/>
      <c r="E295" s="401"/>
      <c r="F295" s="401"/>
      <c r="G295" s="417"/>
    </row>
    <row r="296" spans="1:9" ht="12.75" customHeight="1">
      <c r="A296" s="408" t="s">
        <v>203</v>
      </c>
      <c r="B296" s="169" t="s">
        <v>204</v>
      </c>
      <c r="C296" s="169" t="s">
        <v>205</v>
      </c>
      <c r="D296" s="169" t="s">
        <v>206</v>
      </c>
      <c r="E296" s="169" t="s">
        <v>207</v>
      </c>
      <c r="F296" s="169" t="s">
        <v>208</v>
      </c>
      <c r="G296" s="417"/>
    </row>
    <row r="297" spans="1:9" ht="12.75" customHeight="1">
      <c r="A297" s="406" t="s">
        <v>188</v>
      </c>
      <c r="B297" s="401">
        <f>+B164</f>
        <v>150000</v>
      </c>
      <c r="C297" s="401">
        <f t="shared" si="13"/>
        <v>112500</v>
      </c>
      <c r="D297" s="401">
        <f t="shared" si="3"/>
        <v>262500</v>
      </c>
      <c r="E297" s="401">
        <v>50</v>
      </c>
      <c r="F297" s="403">
        <f t="shared" si="4"/>
        <v>5250</v>
      </c>
      <c r="G297" s="417"/>
    </row>
    <row r="298" spans="1:9" ht="12.75" customHeight="1">
      <c r="A298" s="406" t="s">
        <v>190</v>
      </c>
      <c r="B298" s="401">
        <f>+B165</f>
        <v>100000</v>
      </c>
      <c r="C298" s="403">
        <f t="shared" si="13"/>
        <v>75000</v>
      </c>
      <c r="D298" s="403">
        <f t="shared" si="3"/>
        <v>175000</v>
      </c>
      <c r="E298" s="401">
        <v>50</v>
      </c>
      <c r="F298" s="403">
        <f t="shared" si="4"/>
        <v>3500</v>
      </c>
      <c r="G298" s="417"/>
    </row>
    <row r="299" spans="1:9" ht="12.75" customHeight="1">
      <c r="A299" s="406"/>
      <c r="B299" s="401"/>
      <c r="C299" s="401"/>
      <c r="D299" s="401"/>
      <c r="E299" s="401"/>
      <c r="F299" s="401"/>
      <c r="G299" s="417"/>
    </row>
    <row r="300" spans="1:9" ht="12.75" customHeight="1">
      <c r="A300" s="406"/>
      <c r="B300" s="401"/>
      <c r="C300" s="401"/>
      <c r="D300" s="401"/>
      <c r="E300" s="401"/>
      <c r="F300" s="401"/>
      <c r="G300" s="417"/>
    </row>
    <row r="301" spans="1:9" ht="12.75" customHeight="1">
      <c r="A301" s="406"/>
      <c r="B301" s="401"/>
      <c r="C301" s="401"/>
      <c r="D301" s="401"/>
      <c r="E301" s="401"/>
      <c r="F301" s="401"/>
      <c r="G301" s="417"/>
    </row>
    <row r="302" spans="1:9" ht="12.75" customHeight="1">
      <c r="A302" s="406"/>
      <c r="B302" s="401"/>
      <c r="C302" s="401"/>
      <c r="D302" s="401"/>
      <c r="E302" s="401"/>
      <c r="F302" s="401" t="s">
        <v>189</v>
      </c>
      <c r="G302" s="417">
        <f t="shared" ref="G302:G913" si="30">F297+F298+F299+F300+F301</f>
        <v>8750</v>
      </c>
    </row>
    <row r="303" spans="1:9" ht="12.75" customHeight="1">
      <c r="A303" s="406"/>
      <c r="B303" s="401"/>
      <c r="C303" s="401"/>
      <c r="D303" s="401"/>
      <c r="E303" s="401"/>
      <c r="F303" s="401"/>
      <c r="G303" s="417"/>
    </row>
    <row r="304" spans="1:9" ht="12.75" customHeight="1">
      <c r="A304" s="406" t="s">
        <v>209</v>
      </c>
      <c r="B304" s="401"/>
      <c r="C304" s="401" t="s">
        <v>210</v>
      </c>
      <c r="D304" s="471" t="s">
        <v>211</v>
      </c>
      <c r="E304" s="472"/>
      <c r="F304" s="472"/>
      <c r="G304" s="447">
        <f t="shared" ref="G304:G915" si="31">G278+G287+G294+G302</f>
        <v>27844.23076923077</v>
      </c>
      <c r="I304">
        <v>36197.5</v>
      </c>
    </row>
    <row r="305" spans="1:7" ht="12.75" customHeight="1">
      <c r="A305" s="406"/>
      <c r="B305" s="401"/>
      <c r="C305" s="401"/>
      <c r="D305" s="401"/>
      <c r="E305" s="401"/>
      <c r="F305" s="401"/>
      <c r="G305" s="417"/>
    </row>
    <row r="306" spans="1:7" ht="12.75" customHeight="1">
      <c r="A306" s="406"/>
      <c r="B306" s="401"/>
      <c r="C306" s="401"/>
      <c r="D306" s="401"/>
      <c r="E306" s="401" t="s">
        <v>212</v>
      </c>
      <c r="F306" s="401"/>
      <c r="G306" s="417">
        <f t="shared" si="7"/>
        <v>8353.2692307692305</v>
      </c>
    </row>
    <row r="307" spans="1:7" ht="12.75" customHeight="1">
      <c r="A307" s="406"/>
      <c r="B307" s="401"/>
      <c r="C307" s="401"/>
      <c r="D307" s="401"/>
      <c r="E307" s="401"/>
      <c r="F307" s="401"/>
      <c r="G307" s="417"/>
    </row>
    <row r="308" spans="1:7" ht="12.75" customHeight="1" thickBot="1">
      <c r="A308" s="411" t="s">
        <v>213</v>
      </c>
      <c r="B308" s="412"/>
      <c r="C308" s="412"/>
      <c r="D308" s="469" t="s">
        <v>214</v>
      </c>
      <c r="E308" s="470"/>
      <c r="F308" s="470"/>
      <c r="G308" s="418">
        <f t="shared" si="8"/>
        <v>36197.5</v>
      </c>
    </row>
    <row r="309" spans="1:7" ht="15" customHeight="1">
      <c r="A309" s="468" t="s">
        <v>174</v>
      </c>
      <c r="B309" s="457"/>
      <c r="C309" s="457"/>
      <c r="D309" s="457"/>
      <c r="E309" s="457"/>
      <c r="F309" s="457"/>
      <c r="G309" s="457"/>
    </row>
    <row r="310" spans="1:7" ht="15" customHeight="1" thickBot="1">
      <c r="A310" s="73"/>
      <c r="B310" s="73"/>
      <c r="C310" s="73"/>
      <c r="D310" s="73"/>
      <c r="E310" s="73"/>
      <c r="F310" s="73"/>
      <c r="G310" s="440"/>
    </row>
    <row r="311" spans="1:7" ht="12.75" customHeight="1">
      <c r="A311" s="404" t="s">
        <v>175</v>
      </c>
      <c r="B311" s="405"/>
      <c r="C311" s="405"/>
      <c r="D311" s="428"/>
      <c r="E311" s="428"/>
      <c r="F311" s="428"/>
      <c r="G311" s="429"/>
    </row>
    <row r="312" spans="1:7" ht="12.75" customHeight="1">
      <c r="A312" s="406" t="str">
        <f>+A4</f>
        <v xml:space="preserve">OBRA N° Conducción - Red de Distribución  </v>
      </c>
      <c r="B312" s="401"/>
      <c r="C312" s="401"/>
      <c r="D312" s="401"/>
      <c r="E312" s="195"/>
      <c r="F312" s="402" t="s">
        <v>177</v>
      </c>
      <c r="G312" s="430">
        <f t="shared" ca="1" si="0"/>
        <v>46289</v>
      </c>
    </row>
    <row r="313" spans="1:7" ht="12.75" customHeight="1">
      <c r="A313" s="406"/>
      <c r="B313" s="426"/>
      <c r="C313" s="426"/>
      <c r="D313" s="426"/>
      <c r="E313" s="426"/>
      <c r="F313" s="426"/>
      <c r="G313" s="431"/>
    </row>
    <row r="314" spans="1:7" ht="12.75" customHeight="1">
      <c r="A314" s="406"/>
      <c r="B314" s="426"/>
      <c r="C314" s="426"/>
      <c r="D314" s="426"/>
      <c r="E314" s="426"/>
      <c r="F314" s="426"/>
      <c r="G314" s="431"/>
    </row>
    <row r="315" spans="1:7" ht="12.75" customHeight="1">
      <c r="A315" s="406" t="s">
        <v>507</v>
      </c>
      <c r="B315" s="401" t="s">
        <v>508</v>
      </c>
      <c r="C315" s="401"/>
      <c r="D315" s="401"/>
      <c r="E315" s="401"/>
      <c r="F315" s="401"/>
      <c r="G315" s="417"/>
    </row>
    <row r="316" spans="1:7" ht="12.75" customHeight="1">
      <c r="A316" s="406"/>
      <c r="B316" s="401"/>
      <c r="C316" s="401" t="s">
        <v>179</v>
      </c>
      <c r="D316" s="169">
        <v>2904</v>
      </c>
      <c r="E316" s="401" t="s">
        <v>180</v>
      </c>
      <c r="F316" s="401" t="s">
        <v>337</v>
      </c>
      <c r="G316" s="417"/>
    </row>
    <row r="317" spans="1:7" ht="12.75" customHeight="1">
      <c r="A317" s="406" t="s">
        <v>182</v>
      </c>
      <c r="B317" s="401"/>
      <c r="C317" s="401"/>
      <c r="D317" s="401"/>
      <c r="E317" s="401"/>
      <c r="F317" s="401"/>
      <c r="G317" s="417"/>
    </row>
    <row r="318" spans="1:7" ht="12.75" customHeight="1">
      <c r="A318" s="408" t="s">
        <v>111</v>
      </c>
      <c r="B318" s="169" t="s">
        <v>183</v>
      </c>
      <c r="C318" s="169" t="s">
        <v>184</v>
      </c>
      <c r="D318" s="169" t="s">
        <v>185</v>
      </c>
      <c r="E318" s="169" t="s">
        <v>186</v>
      </c>
      <c r="F318" s="401"/>
      <c r="G318" s="417"/>
    </row>
    <row r="319" spans="1:7" ht="12.75" customHeight="1">
      <c r="A319" s="406" t="s">
        <v>187</v>
      </c>
      <c r="B319" s="401"/>
      <c r="C319" s="401"/>
      <c r="D319" s="401"/>
      <c r="E319" s="403">
        <f t="shared" si="1"/>
        <v>625</v>
      </c>
      <c r="F319" s="401"/>
      <c r="G319" s="417"/>
    </row>
    <row r="320" spans="1:7" ht="12.75" customHeight="1">
      <c r="A320" s="406"/>
      <c r="B320" s="401"/>
      <c r="C320" s="401"/>
      <c r="D320" s="401"/>
      <c r="E320" s="401"/>
      <c r="F320" s="401"/>
      <c r="G320" s="417"/>
    </row>
    <row r="321" spans="1:10" ht="12.75" customHeight="1">
      <c r="A321" s="406"/>
      <c r="B321" s="401"/>
      <c r="C321" s="401"/>
      <c r="D321" s="401"/>
      <c r="E321" s="401"/>
      <c r="F321" s="401"/>
      <c r="G321" s="417"/>
    </row>
    <row r="322" spans="1:10" ht="12.75" customHeight="1">
      <c r="A322" s="406"/>
      <c r="B322" s="401"/>
      <c r="C322" s="401"/>
      <c r="D322" s="401"/>
      <c r="E322" s="401"/>
      <c r="F322" s="401" t="s">
        <v>189</v>
      </c>
      <c r="G322" s="417">
        <f t="shared" si="2"/>
        <v>625</v>
      </c>
    </row>
    <row r="323" spans="1:10" ht="12.75" customHeight="1">
      <c r="A323" s="406" t="s">
        <v>191</v>
      </c>
      <c r="B323" s="401"/>
      <c r="C323" s="401"/>
      <c r="D323" s="401"/>
      <c r="E323" s="401"/>
      <c r="F323" s="401"/>
      <c r="G323" s="417"/>
    </row>
    <row r="324" spans="1:10" ht="12.75" customHeight="1">
      <c r="A324" s="408" t="s">
        <v>111</v>
      </c>
      <c r="B324" s="169" t="s">
        <v>193</v>
      </c>
      <c r="C324" s="169" t="s">
        <v>194</v>
      </c>
      <c r="D324" s="169" t="s">
        <v>195</v>
      </c>
      <c r="E324" s="169" t="s">
        <v>186</v>
      </c>
      <c r="F324" s="401"/>
      <c r="G324" s="417"/>
    </row>
    <row r="325" spans="1:10" ht="18.600000000000001" customHeight="1">
      <c r="A325" s="406" t="s">
        <v>338</v>
      </c>
      <c r="B325" s="169" t="s">
        <v>35</v>
      </c>
      <c r="C325" s="403">
        <v>17428</v>
      </c>
      <c r="D325" s="401">
        <v>1.05</v>
      </c>
      <c r="E325" s="403">
        <f t="shared" si="15"/>
        <v>18299.400000000001</v>
      </c>
      <c r="F325" s="401"/>
      <c r="G325" s="417"/>
      <c r="I325" s="255">
        <v>12483.33</v>
      </c>
      <c r="J325">
        <f>+I325*J369</f>
        <v>16973.268749003561</v>
      </c>
    </row>
    <row r="326" spans="1:10" ht="12.75" customHeight="1">
      <c r="A326" s="406" t="s">
        <v>296</v>
      </c>
      <c r="B326" s="169" t="s">
        <v>220</v>
      </c>
      <c r="C326" s="401">
        <v>750</v>
      </c>
      <c r="D326" s="401">
        <v>1</v>
      </c>
      <c r="E326" s="401">
        <f t="shared" si="15"/>
        <v>750</v>
      </c>
      <c r="F326" s="401"/>
      <c r="G326" s="417"/>
    </row>
    <row r="327" spans="1:10" ht="12.75" customHeight="1">
      <c r="A327" s="406"/>
      <c r="B327" s="169"/>
      <c r="C327" s="401"/>
      <c r="D327" s="401"/>
      <c r="E327" s="401"/>
      <c r="F327" s="401"/>
      <c r="G327" s="417"/>
    </row>
    <row r="328" spans="1:10" ht="12.75" customHeight="1">
      <c r="A328" s="406"/>
      <c r="B328" s="401"/>
      <c r="C328" s="401"/>
      <c r="D328" s="401"/>
      <c r="E328" s="401"/>
      <c r="F328" s="401"/>
      <c r="G328" s="417"/>
    </row>
    <row r="329" spans="1:10" ht="12.75" customHeight="1">
      <c r="A329" s="406"/>
      <c r="B329" s="401"/>
      <c r="C329" s="401"/>
      <c r="D329" s="401"/>
      <c r="E329" s="401"/>
      <c r="F329" s="401"/>
      <c r="G329" s="417"/>
    </row>
    <row r="330" spans="1:10" ht="12.75" customHeight="1">
      <c r="A330" s="406"/>
      <c r="B330" s="401"/>
      <c r="C330" s="401"/>
      <c r="D330" s="401"/>
      <c r="E330" s="401"/>
      <c r="F330" s="401"/>
      <c r="G330" s="417"/>
    </row>
    <row r="331" spans="1:10" ht="12.75" customHeight="1">
      <c r="A331" s="406"/>
      <c r="B331" s="401"/>
      <c r="C331" s="401"/>
      <c r="D331" s="401"/>
      <c r="E331" s="401"/>
      <c r="F331" s="401" t="s">
        <v>189</v>
      </c>
      <c r="G331" s="417">
        <f t="shared" si="10"/>
        <v>19049.400000000001</v>
      </c>
    </row>
    <row r="332" spans="1:10" ht="12.75" customHeight="1">
      <c r="A332" s="406" t="s">
        <v>197</v>
      </c>
      <c r="B332" s="401"/>
      <c r="C332" s="401"/>
      <c r="D332" s="401"/>
      <c r="E332" s="401"/>
      <c r="F332" s="401"/>
      <c r="G332" s="417"/>
    </row>
    <row r="333" spans="1:10" ht="12.75" customHeight="1">
      <c r="A333" s="408" t="s">
        <v>198</v>
      </c>
      <c r="B333" s="169" t="s">
        <v>199</v>
      </c>
      <c r="C333" s="169" t="s">
        <v>200</v>
      </c>
      <c r="D333" s="169" t="s">
        <v>201</v>
      </c>
      <c r="E333" s="169" t="s">
        <v>186</v>
      </c>
      <c r="F333" s="401"/>
      <c r="G333" s="417"/>
    </row>
    <row r="334" spans="1:10" ht="12.75" customHeight="1">
      <c r="A334" s="406" t="s">
        <v>243</v>
      </c>
      <c r="B334" s="401"/>
      <c r="C334" s="401"/>
      <c r="D334" s="401"/>
      <c r="E334" s="403">
        <v>267.44615384615406</v>
      </c>
      <c r="F334" s="401"/>
      <c r="G334" s="417"/>
    </row>
    <row r="335" spans="1:10" ht="12.75" customHeight="1">
      <c r="A335" s="406"/>
      <c r="B335" s="401"/>
      <c r="C335" s="401"/>
      <c r="D335" s="401"/>
      <c r="E335" s="401"/>
      <c r="F335" s="401"/>
      <c r="G335" s="417"/>
    </row>
    <row r="336" spans="1:10" ht="12.75" customHeight="1">
      <c r="A336" s="406"/>
      <c r="B336" s="401"/>
      <c r="C336" s="401"/>
      <c r="D336" s="401"/>
      <c r="E336" s="401"/>
      <c r="F336" s="401"/>
      <c r="G336" s="417"/>
    </row>
    <row r="337" spans="1:9" ht="12.75" customHeight="1">
      <c r="A337" s="406"/>
      <c r="B337" s="401"/>
      <c r="C337" s="401"/>
      <c r="D337" s="401"/>
      <c r="E337" s="401"/>
      <c r="F337" s="401"/>
      <c r="G337" s="417"/>
    </row>
    <row r="338" spans="1:9" ht="12.75" customHeight="1">
      <c r="A338" s="406"/>
      <c r="B338" s="401"/>
      <c r="C338" s="401"/>
      <c r="D338" s="401"/>
      <c r="E338" s="401"/>
      <c r="F338" s="401" t="s">
        <v>189</v>
      </c>
      <c r="G338" s="417">
        <f t="shared" si="11"/>
        <v>267.44615384615406</v>
      </c>
    </row>
    <row r="339" spans="1:9" ht="12.75" customHeight="1">
      <c r="A339" s="406" t="s">
        <v>202</v>
      </c>
      <c r="B339" s="401"/>
      <c r="C339" s="401"/>
      <c r="D339" s="401"/>
      <c r="E339" s="401"/>
      <c r="F339" s="401"/>
      <c r="G339" s="417"/>
    </row>
    <row r="340" spans="1:9" ht="12.75" customHeight="1">
      <c r="A340" s="408" t="s">
        <v>203</v>
      </c>
      <c r="B340" s="169" t="s">
        <v>204</v>
      </c>
      <c r="C340" s="169" t="s">
        <v>205</v>
      </c>
      <c r="D340" s="169" t="s">
        <v>206</v>
      </c>
      <c r="E340" s="169" t="s">
        <v>207</v>
      </c>
      <c r="F340" s="169" t="s">
        <v>208</v>
      </c>
      <c r="G340" s="417"/>
    </row>
    <row r="341" spans="1:9" ht="12.75" customHeight="1">
      <c r="A341" s="406" t="s">
        <v>188</v>
      </c>
      <c r="B341" s="401">
        <f>+B164</f>
        <v>150000</v>
      </c>
      <c r="C341" s="401">
        <f t="shared" si="13"/>
        <v>112500</v>
      </c>
      <c r="D341" s="401">
        <f t="shared" si="3"/>
        <v>262500</v>
      </c>
      <c r="E341" s="401">
        <v>35</v>
      </c>
      <c r="F341" s="403">
        <f t="shared" si="4"/>
        <v>7500</v>
      </c>
      <c r="G341" s="417"/>
    </row>
    <row r="342" spans="1:9" ht="12.75" customHeight="1">
      <c r="A342" s="406" t="s">
        <v>307</v>
      </c>
      <c r="B342" s="401">
        <f>+B165</f>
        <v>100000</v>
      </c>
      <c r="C342" s="403">
        <f t="shared" si="13"/>
        <v>75000</v>
      </c>
      <c r="D342" s="403">
        <f t="shared" si="3"/>
        <v>175000</v>
      </c>
      <c r="E342" s="401">
        <v>35</v>
      </c>
      <c r="F342" s="403">
        <f t="shared" si="4"/>
        <v>5000</v>
      </c>
      <c r="G342" s="417"/>
    </row>
    <row r="343" spans="1:9" ht="12.75" customHeight="1">
      <c r="A343" s="406"/>
      <c r="B343" s="401"/>
      <c r="C343" s="401"/>
      <c r="D343" s="401"/>
      <c r="E343" s="401"/>
      <c r="F343" s="401"/>
      <c r="G343" s="417"/>
    </row>
    <row r="344" spans="1:9" ht="12.75" customHeight="1">
      <c r="A344" s="406"/>
      <c r="B344" s="401"/>
      <c r="C344" s="401"/>
      <c r="D344" s="401"/>
      <c r="E344" s="401"/>
      <c r="F344" s="401"/>
      <c r="G344" s="417"/>
    </row>
    <row r="345" spans="1:9" ht="12.75" customHeight="1">
      <c r="A345" s="406"/>
      <c r="B345" s="401"/>
      <c r="C345" s="401"/>
      <c r="D345" s="401"/>
      <c r="E345" s="401"/>
      <c r="F345" s="401"/>
      <c r="G345" s="417"/>
    </row>
    <row r="346" spans="1:9" ht="12.75" customHeight="1">
      <c r="A346" s="406"/>
      <c r="B346" s="401"/>
      <c r="C346" s="401"/>
      <c r="D346" s="401"/>
      <c r="E346" s="401"/>
      <c r="F346" s="401"/>
      <c r="G346" s="417"/>
    </row>
    <row r="347" spans="1:9" ht="12.75" customHeight="1">
      <c r="A347" s="406"/>
      <c r="B347" s="401"/>
      <c r="C347" s="401"/>
      <c r="D347" s="401"/>
      <c r="E347" s="401"/>
      <c r="F347" s="401" t="s">
        <v>189</v>
      </c>
      <c r="G347" s="417">
        <f t="shared" si="5"/>
        <v>12500</v>
      </c>
    </row>
    <row r="348" spans="1:9" ht="12.75" customHeight="1">
      <c r="A348" s="406" t="s">
        <v>209</v>
      </c>
      <c r="B348" s="401"/>
      <c r="C348" s="401" t="s">
        <v>210</v>
      </c>
      <c r="D348" s="471" t="s">
        <v>211</v>
      </c>
      <c r="E348" s="472"/>
      <c r="F348" s="472"/>
      <c r="G348" s="417">
        <f>G322+G331+G338+G347</f>
        <v>32441.846153846156</v>
      </c>
      <c r="I348">
        <v>42174.400000000001</v>
      </c>
    </row>
    <row r="349" spans="1:9" ht="12.75" customHeight="1">
      <c r="A349" s="406"/>
      <c r="B349" s="401"/>
      <c r="C349" s="401"/>
      <c r="D349" s="401"/>
      <c r="E349" s="401"/>
      <c r="F349" s="401"/>
      <c r="G349" s="417"/>
    </row>
    <row r="350" spans="1:9" ht="12.75" customHeight="1">
      <c r="A350" s="406"/>
      <c r="B350" s="401"/>
      <c r="C350" s="401"/>
      <c r="D350" s="401"/>
      <c r="E350" s="401" t="s">
        <v>212</v>
      </c>
      <c r="F350" s="401"/>
      <c r="G350" s="417">
        <f t="shared" si="7"/>
        <v>9732.5538461538472</v>
      </c>
    </row>
    <row r="351" spans="1:9" ht="12.75" customHeight="1">
      <c r="A351" s="406"/>
      <c r="B351" s="401"/>
      <c r="C351" s="401"/>
      <c r="D351" s="401"/>
      <c r="E351" s="401"/>
      <c r="F351" s="401"/>
      <c r="G351" s="417"/>
    </row>
    <row r="352" spans="1:9" ht="12.75" customHeight="1" thickBot="1">
      <c r="A352" s="411" t="s">
        <v>213</v>
      </c>
      <c r="B352" s="412"/>
      <c r="C352" s="412"/>
      <c r="D352" s="469" t="s">
        <v>214</v>
      </c>
      <c r="E352" s="470"/>
      <c r="F352" s="470"/>
      <c r="G352" s="418">
        <f t="shared" si="8"/>
        <v>42174.400000000001</v>
      </c>
    </row>
    <row r="353" spans="1:7" ht="15" customHeight="1">
      <c r="A353" s="468" t="s">
        <v>174</v>
      </c>
      <c r="B353" s="457"/>
      <c r="C353" s="457"/>
      <c r="D353" s="457"/>
      <c r="E353" s="457"/>
      <c r="F353" s="457"/>
      <c r="G353" s="457"/>
    </row>
    <row r="354" spans="1:7" ht="15" customHeight="1" thickBot="1">
      <c r="A354" s="73"/>
      <c r="B354" s="73"/>
      <c r="C354" s="73"/>
      <c r="D354" s="73"/>
      <c r="E354" s="73"/>
      <c r="F354" s="73"/>
      <c r="G354" s="440"/>
    </row>
    <row r="355" spans="1:7" ht="12.75" customHeight="1">
      <c r="A355" s="404" t="s">
        <v>175</v>
      </c>
      <c r="B355" s="405"/>
      <c r="C355" s="405"/>
      <c r="D355" s="428"/>
      <c r="E355" s="428"/>
      <c r="F355" s="428"/>
      <c r="G355" s="429"/>
    </row>
    <row r="356" spans="1:7" ht="12.75" customHeight="1">
      <c r="A356" s="406" t="str">
        <f>+A4</f>
        <v xml:space="preserve">OBRA N° Conducción - Red de Distribución  </v>
      </c>
      <c r="B356" s="401"/>
      <c r="C356" s="401"/>
      <c r="D356" s="401"/>
      <c r="E356" s="195"/>
      <c r="F356" s="402" t="s">
        <v>177</v>
      </c>
      <c r="G356" s="430">
        <f t="shared" ca="1" si="0"/>
        <v>46289</v>
      </c>
    </row>
    <row r="357" spans="1:7" ht="12.75" customHeight="1">
      <c r="A357" s="406"/>
      <c r="B357" s="426"/>
      <c r="C357" s="426"/>
      <c r="D357" s="426"/>
      <c r="E357" s="426"/>
      <c r="F357" s="426"/>
      <c r="G357" s="431"/>
    </row>
    <row r="358" spans="1:7" ht="12.75" customHeight="1">
      <c r="A358" s="406"/>
      <c r="B358" s="426"/>
      <c r="C358" s="426"/>
      <c r="D358" s="426"/>
      <c r="E358" s="426"/>
      <c r="F358" s="426"/>
      <c r="G358" s="431"/>
    </row>
    <row r="359" spans="1:7" ht="12.75" customHeight="1">
      <c r="A359" s="406" t="s">
        <v>509</v>
      </c>
      <c r="B359" s="401" t="s">
        <v>510</v>
      </c>
      <c r="C359" s="401"/>
      <c r="D359" s="401"/>
      <c r="E359" s="401"/>
      <c r="F359" s="401"/>
      <c r="G359" s="417"/>
    </row>
    <row r="360" spans="1:7" ht="12.75" customHeight="1">
      <c r="A360" s="406"/>
      <c r="B360" s="401"/>
      <c r="C360" s="401" t="s">
        <v>179</v>
      </c>
      <c r="D360" s="169">
        <v>1326</v>
      </c>
      <c r="E360" s="401" t="s">
        <v>180</v>
      </c>
      <c r="F360" s="401" t="s">
        <v>337</v>
      </c>
      <c r="G360" s="417"/>
    </row>
    <row r="361" spans="1:7" ht="12.75" customHeight="1">
      <c r="A361" s="406" t="s">
        <v>182</v>
      </c>
      <c r="B361" s="401"/>
      <c r="C361" s="401"/>
      <c r="D361" s="401"/>
      <c r="E361" s="401"/>
      <c r="F361" s="401"/>
      <c r="G361" s="417"/>
    </row>
    <row r="362" spans="1:7" ht="12.75" customHeight="1">
      <c r="A362" s="408" t="s">
        <v>111</v>
      </c>
      <c r="B362" s="169" t="s">
        <v>183</v>
      </c>
      <c r="C362" s="169" t="s">
        <v>184</v>
      </c>
      <c r="D362" s="169" t="s">
        <v>185</v>
      </c>
      <c r="E362" s="169" t="s">
        <v>186</v>
      </c>
      <c r="F362" s="401"/>
      <c r="G362" s="417"/>
    </row>
    <row r="363" spans="1:7" ht="12.75" customHeight="1">
      <c r="A363" s="406" t="s">
        <v>187</v>
      </c>
      <c r="B363" s="401"/>
      <c r="C363" s="401"/>
      <c r="D363" s="401"/>
      <c r="E363" s="403">
        <f t="shared" si="14"/>
        <v>439.092855570734</v>
      </c>
      <c r="F363" s="401"/>
      <c r="G363" s="417"/>
    </row>
    <row r="364" spans="1:7" ht="12.75" customHeight="1">
      <c r="A364" s="406"/>
      <c r="B364" s="401"/>
      <c r="C364" s="401"/>
      <c r="D364" s="401"/>
      <c r="E364" s="401"/>
      <c r="F364" s="401"/>
      <c r="G364" s="417"/>
    </row>
    <row r="365" spans="1:7" ht="12.75" customHeight="1">
      <c r="A365" s="406"/>
      <c r="B365" s="401"/>
      <c r="C365" s="401"/>
      <c r="D365" s="401"/>
      <c r="E365" s="401"/>
      <c r="F365" s="401"/>
      <c r="G365" s="417"/>
    </row>
    <row r="366" spans="1:7" ht="12.75" customHeight="1">
      <c r="A366" s="406"/>
      <c r="B366" s="401"/>
      <c r="C366" s="401"/>
      <c r="D366" s="401"/>
      <c r="E366" s="401"/>
      <c r="F366" s="401" t="s">
        <v>189</v>
      </c>
      <c r="G366" s="417">
        <f t="shared" si="2"/>
        <v>439.092855570734</v>
      </c>
    </row>
    <row r="367" spans="1:7" ht="12.75" customHeight="1">
      <c r="A367" s="406" t="s">
        <v>191</v>
      </c>
      <c r="B367" s="401"/>
      <c r="C367" s="401"/>
      <c r="D367" s="401"/>
      <c r="E367" s="401"/>
      <c r="F367" s="401"/>
      <c r="G367" s="417"/>
    </row>
    <row r="368" spans="1:7" ht="12.75" customHeight="1">
      <c r="A368" s="408" t="s">
        <v>111</v>
      </c>
      <c r="B368" s="169" t="s">
        <v>193</v>
      </c>
      <c r="C368" s="169" t="s">
        <v>194</v>
      </c>
      <c r="D368" s="169" t="s">
        <v>195</v>
      </c>
      <c r="E368" s="169" t="s">
        <v>186</v>
      </c>
      <c r="F368" s="401"/>
      <c r="G368" s="417"/>
    </row>
    <row r="369" spans="1:10" ht="12.75" customHeight="1">
      <c r="A369" s="406" t="s">
        <v>341</v>
      </c>
      <c r="B369" s="169" t="s">
        <v>35</v>
      </c>
      <c r="C369" s="403">
        <f>1.19*21500</f>
        <v>25585</v>
      </c>
      <c r="D369" s="401">
        <v>1.03</v>
      </c>
      <c r="E369" s="403">
        <f t="shared" si="15"/>
        <v>26352.55</v>
      </c>
      <c r="F369" s="401"/>
      <c r="G369" s="417"/>
      <c r="I369">
        <v>18817</v>
      </c>
      <c r="J369">
        <f>+C369/I369</f>
        <v>1.3596747621831322</v>
      </c>
    </row>
    <row r="370" spans="1:10" ht="12.75" customHeight="1">
      <c r="A370" s="406" t="s">
        <v>296</v>
      </c>
      <c r="B370" s="169" t="s">
        <v>342</v>
      </c>
      <c r="C370" s="401">
        <v>75000</v>
      </c>
      <c r="D370" s="401">
        <v>0.04</v>
      </c>
      <c r="E370" s="401">
        <f t="shared" si="15"/>
        <v>3000</v>
      </c>
      <c r="F370" s="401"/>
      <c r="G370" s="417"/>
    </row>
    <row r="371" spans="1:10" ht="12.75" customHeight="1">
      <c r="A371" s="406" t="s">
        <v>343</v>
      </c>
      <c r="B371" s="169" t="s">
        <v>220</v>
      </c>
      <c r="C371" s="401">
        <v>3500</v>
      </c>
      <c r="D371" s="401">
        <v>1</v>
      </c>
      <c r="E371" s="401">
        <f t="shared" si="15"/>
        <v>3500</v>
      </c>
      <c r="F371" s="401"/>
      <c r="G371" s="417"/>
    </row>
    <row r="372" spans="1:10" ht="12.75" customHeight="1">
      <c r="A372" s="406" t="s">
        <v>344</v>
      </c>
      <c r="B372" s="169" t="s">
        <v>342</v>
      </c>
      <c r="C372" s="401">
        <v>36000</v>
      </c>
      <c r="D372" s="401">
        <v>0.04</v>
      </c>
      <c r="E372" s="401">
        <f t="shared" si="15"/>
        <v>1440</v>
      </c>
      <c r="F372" s="401"/>
      <c r="G372" s="417"/>
    </row>
    <row r="373" spans="1:10" ht="12.75" customHeight="1">
      <c r="A373" s="406"/>
      <c r="B373" s="401"/>
      <c r="C373" s="401"/>
      <c r="D373" s="401"/>
      <c r="E373" s="401"/>
      <c r="F373" s="401"/>
      <c r="G373" s="417"/>
    </row>
    <row r="374" spans="1:10" ht="12.75" customHeight="1">
      <c r="A374" s="406"/>
      <c r="B374" s="401"/>
      <c r="C374" s="401"/>
      <c r="D374" s="401"/>
      <c r="E374" s="401"/>
      <c r="F374" s="401"/>
      <c r="G374" s="417"/>
    </row>
    <row r="375" spans="1:10" ht="12.75" customHeight="1">
      <c r="A375" s="406"/>
      <c r="B375" s="401"/>
      <c r="C375" s="401"/>
      <c r="D375" s="401"/>
      <c r="E375" s="401"/>
      <c r="F375" s="401" t="s">
        <v>189</v>
      </c>
      <c r="G375" s="417">
        <f t="shared" si="29"/>
        <v>34292.550000000003</v>
      </c>
    </row>
    <row r="376" spans="1:10" ht="12.75" customHeight="1">
      <c r="A376" s="406" t="s">
        <v>197</v>
      </c>
      <c r="B376" s="401"/>
      <c r="C376" s="401"/>
      <c r="D376" s="401"/>
      <c r="E376" s="401"/>
      <c r="F376" s="401"/>
      <c r="G376" s="417"/>
    </row>
    <row r="377" spans="1:10" ht="12.75" customHeight="1">
      <c r="A377" s="408" t="s">
        <v>198</v>
      </c>
      <c r="B377" s="169" t="s">
        <v>199</v>
      </c>
      <c r="C377" s="169" t="s">
        <v>200</v>
      </c>
      <c r="D377" s="169" t="s">
        <v>201</v>
      </c>
      <c r="E377" s="169" t="s">
        <v>186</v>
      </c>
      <c r="F377" s="401"/>
      <c r="G377" s="417"/>
    </row>
    <row r="378" spans="1:10" ht="12.75" customHeight="1">
      <c r="A378" s="406" t="s">
        <v>232</v>
      </c>
      <c r="B378" s="401"/>
      <c r="C378" s="401"/>
      <c r="D378" s="401"/>
      <c r="E378" s="401"/>
      <c r="F378" s="401"/>
      <c r="G378" s="417"/>
    </row>
    <row r="379" spans="1:10" ht="12.75" customHeight="1">
      <c r="A379" s="406"/>
      <c r="B379" s="401"/>
      <c r="C379" s="401"/>
      <c r="D379" s="401"/>
      <c r="E379" s="401"/>
      <c r="F379" s="401"/>
      <c r="G379" s="417"/>
    </row>
    <row r="380" spans="1:10" ht="12.75" customHeight="1">
      <c r="A380" s="406"/>
      <c r="B380" s="401"/>
      <c r="C380" s="401"/>
      <c r="D380" s="401"/>
      <c r="E380" s="401"/>
      <c r="F380" s="401"/>
      <c r="G380" s="417"/>
    </row>
    <row r="381" spans="1:10" ht="12.75" customHeight="1">
      <c r="A381" s="406"/>
      <c r="B381" s="401"/>
      <c r="C381" s="401"/>
      <c r="D381" s="401"/>
      <c r="E381" s="401"/>
      <c r="F381" s="401"/>
      <c r="G381" s="417"/>
    </row>
    <row r="382" spans="1:10" ht="12.75" customHeight="1">
      <c r="A382" s="406"/>
      <c r="B382" s="401"/>
      <c r="C382" s="401"/>
      <c r="D382" s="401"/>
      <c r="E382" s="401"/>
      <c r="F382" s="401" t="s">
        <v>189</v>
      </c>
      <c r="G382" s="417">
        <f t="shared" si="11"/>
        <v>0</v>
      </c>
    </row>
    <row r="383" spans="1:10" ht="12.75" customHeight="1">
      <c r="A383" s="406" t="s">
        <v>202</v>
      </c>
      <c r="B383" s="401"/>
      <c r="C383" s="401"/>
      <c r="D383" s="401"/>
      <c r="E383" s="401"/>
      <c r="F383" s="401"/>
      <c r="G383" s="417"/>
    </row>
    <row r="384" spans="1:10" ht="12.75" customHeight="1">
      <c r="A384" s="408" t="s">
        <v>203</v>
      </c>
      <c r="B384" s="169" t="s">
        <v>204</v>
      </c>
      <c r="C384" s="169" t="s">
        <v>205</v>
      </c>
      <c r="D384" s="169" t="s">
        <v>206</v>
      </c>
      <c r="E384" s="169" t="s">
        <v>207</v>
      </c>
      <c r="F384" s="169" t="s">
        <v>208</v>
      </c>
      <c r="G384" s="417"/>
    </row>
    <row r="385" spans="1:9" ht="12.75" customHeight="1">
      <c r="A385" s="406" t="s">
        <v>188</v>
      </c>
      <c r="B385" s="401">
        <f>+B164</f>
        <v>150000</v>
      </c>
      <c r="C385" s="401">
        <f t="shared" ref="C385:C1040" si="32">+B385*0.68</f>
        <v>102000.00000000001</v>
      </c>
      <c r="D385" s="401">
        <f t="shared" si="3"/>
        <v>252000</v>
      </c>
      <c r="E385" s="401">
        <v>48</v>
      </c>
      <c r="F385" s="403">
        <f t="shared" si="4"/>
        <v>5250</v>
      </c>
      <c r="G385" s="417"/>
      <c r="I385" s="49">
        <v>6720</v>
      </c>
    </row>
    <row r="386" spans="1:9" ht="12.75" customHeight="1">
      <c r="A386" s="406" t="s">
        <v>190</v>
      </c>
      <c r="B386" s="401">
        <f>+B165</f>
        <v>100000</v>
      </c>
      <c r="C386" s="401">
        <f t="shared" si="32"/>
        <v>68000</v>
      </c>
      <c r="D386" s="403">
        <f t="shared" si="3"/>
        <v>168000</v>
      </c>
      <c r="E386" s="403">
        <v>47.567043258074463</v>
      </c>
      <c r="F386" s="403">
        <f t="shared" si="4"/>
        <v>3531.8571114146798</v>
      </c>
      <c r="G386" s="417"/>
      <c r="I386" s="49">
        <v>2940</v>
      </c>
    </row>
    <row r="387" spans="1:9" ht="12.75" customHeight="1">
      <c r="A387" s="406"/>
      <c r="B387" s="401"/>
      <c r="C387" s="401"/>
      <c r="D387" s="401"/>
      <c r="E387" s="401"/>
      <c r="F387" s="401"/>
      <c r="G387" s="417"/>
    </row>
    <row r="388" spans="1:9" ht="12.75" customHeight="1">
      <c r="A388" s="406"/>
      <c r="B388" s="401"/>
      <c r="C388" s="401"/>
      <c r="D388" s="401"/>
      <c r="E388" s="401"/>
      <c r="F388" s="401"/>
      <c r="G388" s="417"/>
    </row>
    <row r="389" spans="1:9" ht="12.75" customHeight="1">
      <c r="A389" s="406"/>
      <c r="B389" s="401"/>
      <c r="C389" s="401"/>
      <c r="D389" s="401"/>
      <c r="E389" s="401"/>
      <c r="F389" s="401"/>
      <c r="G389" s="417"/>
    </row>
    <row r="390" spans="1:9" ht="12.75" customHeight="1">
      <c r="A390" s="406"/>
      <c r="B390" s="401"/>
      <c r="C390" s="401"/>
      <c r="D390" s="401"/>
      <c r="E390" s="401"/>
      <c r="F390" s="401" t="s">
        <v>189</v>
      </c>
      <c r="G390" s="417">
        <f t="shared" si="30"/>
        <v>8781.8571114146798</v>
      </c>
    </row>
    <row r="391" spans="1:9" ht="12.75" customHeight="1">
      <c r="A391" s="406"/>
      <c r="B391" s="401"/>
      <c r="C391" s="401"/>
      <c r="D391" s="401"/>
      <c r="E391" s="401"/>
      <c r="F391" s="401"/>
      <c r="G391" s="417"/>
    </row>
    <row r="392" spans="1:9" ht="12.75" customHeight="1">
      <c r="A392" s="406" t="s">
        <v>209</v>
      </c>
      <c r="B392" s="401"/>
      <c r="C392" s="401" t="s">
        <v>210</v>
      </c>
      <c r="D392" s="471" t="s">
        <v>211</v>
      </c>
      <c r="E392" s="472"/>
      <c r="F392" s="472"/>
      <c r="G392" s="417">
        <f t="shared" si="31"/>
        <v>43513.499966985415</v>
      </c>
      <c r="I392">
        <v>56567.55</v>
      </c>
    </row>
    <row r="393" spans="1:9" ht="12.75" customHeight="1">
      <c r="A393" s="406"/>
      <c r="B393" s="401"/>
      <c r="C393" s="401"/>
      <c r="D393" s="401"/>
      <c r="E393" s="401"/>
      <c r="F393" s="401"/>
      <c r="G393" s="417"/>
    </row>
    <row r="394" spans="1:9" ht="12.75" customHeight="1">
      <c r="A394" s="406"/>
      <c r="B394" s="401"/>
      <c r="C394" s="401"/>
      <c r="D394" s="401"/>
      <c r="E394" s="401" t="s">
        <v>212</v>
      </c>
      <c r="F394" s="401"/>
      <c r="G394" s="417">
        <f t="shared" si="7"/>
        <v>13054.049990095624</v>
      </c>
    </row>
    <row r="395" spans="1:9" ht="12.75" customHeight="1">
      <c r="A395" s="406"/>
      <c r="B395" s="401"/>
      <c r="C395" s="401"/>
      <c r="D395" s="401"/>
      <c r="E395" s="401"/>
      <c r="F395" s="401"/>
      <c r="G395" s="417"/>
    </row>
    <row r="396" spans="1:9" ht="12.75" customHeight="1" thickBot="1">
      <c r="A396" s="411" t="s">
        <v>213</v>
      </c>
      <c r="B396" s="412"/>
      <c r="C396" s="412"/>
      <c r="D396" s="469" t="s">
        <v>214</v>
      </c>
      <c r="E396" s="470"/>
      <c r="F396" s="470"/>
      <c r="G396" s="418">
        <f t="shared" si="8"/>
        <v>56567.549957081035</v>
      </c>
    </row>
    <row r="397" spans="1:9" ht="15" customHeight="1">
      <c r="A397" s="468" t="s">
        <v>174</v>
      </c>
      <c r="B397" s="457"/>
      <c r="C397" s="457"/>
      <c r="D397" s="457"/>
      <c r="E397" s="457"/>
      <c r="F397" s="457"/>
      <c r="G397" s="457"/>
    </row>
    <row r="398" spans="1:9" ht="15" customHeight="1">
      <c r="A398" s="73"/>
      <c r="B398" s="73"/>
      <c r="C398" s="73"/>
      <c r="D398" s="73"/>
      <c r="E398" s="73"/>
      <c r="F398" s="73"/>
      <c r="G398" s="440"/>
    </row>
    <row r="399" spans="1:9" ht="12.75" customHeight="1" thickBot="1">
      <c r="A399" s="77"/>
      <c r="B399" s="77"/>
      <c r="C399" s="77"/>
      <c r="D399" s="77"/>
      <c r="E399" s="77"/>
      <c r="F399" s="77"/>
    </row>
    <row r="400" spans="1:9" ht="12.75" customHeight="1">
      <c r="A400" s="404" t="s">
        <v>175</v>
      </c>
      <c r="B400" s="405"/>
      <c r="C400" s="405"/>
      <c r="D400" s="428"/>
      <c r="E400" s="428"/>
      <c r="F400" s="428"/>
      <c r="G400" s="429"/>
    </row>
    <row r="401" spans="1:7" ht="12.75" customHeight="1">
      <c r="A401" s="406" t="str">
        <f>+A4</f>
        <v xml:space="preserve">OBRA N° Conducción - Red de Distribución  </v>
      </c>
      <c r="B401" s="401"/>
      <c r="C401" s="401"/>
      <c r="D401" s="401"/>
      <c r="E401" s="195"/>
      <c r="F401" s="402" t="s">
        <v>177</v>
      </c>
      <c r="G401" s="430">
        <f t="shared" ca="1" si="0"/>
        <v>46289</v>
      </c>
    </row>
    <row r="402" spans="1:7" ht="12.75" customHeight="1">
      <c r="A402" s="406"/>
      <c r="B402" s="426"/>
      <c r="C402" s="426"/>
      <c r="D402" s="426"/>
      <c r="E402" s="426"/>
      <c r="F402" s="426"/>
      <c r="G402" s="431"/>
    </row>
    <row r="403" spans="1:7" ht="12.75" customHeight="1">
      <c r="A403" s="406" t="s">
        <v>377</v>
      </c>
      <c r="B403" s="401" t="s">
        <v>511</v>
      </c>
      <c r="C403" s="401"/>
      <c r="D403" s="401"/>
      <c r="E403" s="401"/>
      <c r="F403" s="401"/>
      <c r="G403" s="417"/>
    </row>
    <row r="404" spans="1:7" ht="12.75" customHeight="1">
      <c r="A404" s="406"/>
      <c r="B404" s="401"/>
      <c r="C404" s="401" t="s">
        <v>179</v>
      </c>
      <c r="D404" s="169">
        <v>6</v>
      </c>
      <c r="E404" s="401" t="s">
        <v>180</v>
      </c>
      <c r="F404" s="401" t="s">
        <v>262</v>
      </c>
      <c r="G404" s="417"/>
    </row>
    <row r="405" spans="1:7" ht="12.75" customHeight="1">
      <c r="A405" s="406" t="s">
        <v>182</v>
      </c>
      <c r="B405" s="401"/>
      <c r="C405" s="401"/>
      <c r="D405" s="401"/>
      <c r="E405" s="401"/>
      <c r="F405" s="401"/>
      <c r="G405" s="417"/>
    </row>
    <row r="406" spans="1:7" ht="12.75" customHeight="1">
      <c r="A406" s="408" t="s">
        <v>111</v>
      </c>
      <c r="B406" s="169" t="s">
        <v>183</v>
      </c>
      <c r="C406" s="169" t="s">
        <v>184</v>
      </c>
      <c r="D406" s="169" t="s">
        <v>185</v>
      </c>
      <c r="E406" s="169" t="s">
        <v>186</v>
      </c>
      <c r="F406" s="401"/>
      <c r="G406" s="417"/>
    </row>
    <row r="407" spans="1:7" ht="12.75" customHeight="1">
      <c r="A407" s="406" t="s">
        <v>187</v>
      </c>
      <c r="B407" s="401"/>
      <c r="C407" s="401"/>
      <c r="D407" s="401"/>
      <c r="E407" s="403">
        <f t="shared" si="14"/>
        <v>1403.6435898283662</v>
      </c>
      <c r="F407" s="401"/>
      <c r="G407" s="417"/>
    </row>
    <row r="408" spans="1:7" ht="12.75" customHeight="1">
      <c r="A408" s="406"/>
      <c r="B408" s="401"/>
      <c r="C408" s="401"/>
      <c r="D408" s="401"/>
      <c r="E408" s="401"/>
      <c r="F408" s="401"/>
      <c r="G408" s="417"/>
    </row>
    <row r="409" spans="1:7" ht="12.75" customHeight="1">
      <c r="A409" s="406"/>
      <c r="B409" s="401"/>
      <c r="C409" s="401"/>
      <c r="D409" s="401"/>
      <c r="E409" s="401"/>
      <c r="F409" s="401"/>
      <c r="G409" s="417"/>
    </row>
    <row r="410" spans="1:7" ht="12.75" customHeight="1">
      <c r="A410" s="406"/>
      <c r="B410" s="401"/>
      <c r="C410" s="401"/>
      <c r="D410" s="401"/>
      <c r="E410" s="401"/>
      <c r="F410" s="401" t="s">
        <v>189</v>
      </c>
      <c r="G410" s="417">
        <f t="shared" si="2"/>
        <v>1403.6435898283662</v>
      </c>
    </row>
    <row r="411" spans="1:7" ht="12.75" customHeight="1">
      <c r="A411" s="406" t="s">
        <v>191</v>
      </c>
      <c r="B411" s="401"/>
      <c r="C411" s="401"/>
      <c r="D411" s="401"/>
      <c r="E411" s="401"/>
      <c r="F411" s="401"/>
      <c r="G411" s="417"/>
    </row>
    <row r="412" spans="1:7" ht="12.75" customHeight="1">
      <c r="A412" s="408" t="s">
        <v>111</v>
      </c>
      <c r="B412" s="169" t="s">
        <v>193</v>
      </c>
      <c r="C412" s="169" t="s">
        <v>194</v>
      </c>
      <c r="D412" s="169" t="s">
        <v>195</v>
      </c>
      <c r="E412" s="169" t="s">
        <v>186</v>
      </c>
      <c r="F412" s="401"/>
      <c r="G412" s="417"/>
    </row>
    <row r="413" spans="1:7" ht="12.75" customHeight="1">
      <c r="A413" s="406" t="s">
        <v>512</v>
      </c>
      <c r="B413" s="169" t="s">
        <v>193</v>
      </c>
      <c r="C413" s="403">
        <v>31962</v>
      </c>
      <c r="D413" s="401">
        <v>1.05</v>
      </c>
      <c r="E413" s="403">
        <f t="shared" si="15"/>
        <v>33560.1</v>
      </c>
      <c r="F413" s="401"/>
      <c r="G413" s="417"/>
    </row>
    <row r="414" spans="1:7" ht="12.75" customHeight="1">
      <c r="A414" s="406" t="s">
        <v>285</v>
      </c>
      <c r="B414" s="169" t="s">
        <v>256</v>
      </c>
      <c r="C414" s="403">
        <v>1000</v>
      </c>
      <c r="D414" s="401">
        <v>1</v>
      </c>
      <c r="E414" s="403">
        <f t="shared" si="15"/>
        <v>1000</v>
      </c>
      <c r="F414" s="401"/>
      <c r="G414" s="417"/>
    </row>
    <row r="415" spans="1:7" ht="12.75" customHeight="1">
      <c r="A415" s="406"/>
      <c r="B415" s="401"/>
      <c r="C415" s="401"/>
      <c r="D415" s="401"/>
      <c r="E415" s="401"/>
      <c r="F415" s="401"/>
      <c r="G415" s="417"/>
    </row>
    <row r="416" spans="1:7" ht="12.75" customHeight="1">
      <c r="A416" s="406"/>
      <c r="B416" s="401"/>
      <c r="C416" s="401"/>
      <c r="D416" s="401"/>
      <c r="E416" s="401"/>
      <c r="F416" s="401"/>
      <c r="G416" s="417"/>
    </row>
    <row r="417" spans="1:7" ht="12.75" customHeight="1">
      <c r="A417" s="406"/>
      <c r="B417" s="401"/>
      <c r="C417" s="401"/>
      <c r="D417" s="401"/>
      <c r="E417" s="401"/>
      <c r="F417" s="401"/>
      <c r="G417" s="417"/>
    </row>
    <row r="418" spans="1:7" ht="12.75" customHeight="1">
      <c r="A418" s="406"/>
      <c r="B418" s="401"/>
      <c r="C418" s="401"/>
      <c r="D418" s="401"/>
      <c r="E418" s="401"/>
      <c r="F418" s="401" t="s">
        <v>189</v>
      </c>
      <c r="G418" s="417">
        <f t="shared" si="12"/>
        <v>34560.1</v>
      </c>
    </row>
    <row r="419" spans="1:7" ht="12.75" customHeight="1">
      <c r="A419" s="406" t="s">
        <v>197</v>
      </c>
      <c r="B419" s="401"/>
      <c r="C419" s="401"/>
      <c r="D419" s="401"/>
      <c r="E419" s="401"/>
      <c r="F419" s="401"/>
      <c r="G419" s="417"/>
    </row>
    <row r="420" spans="1:7" ht="12.75" customHeight="1">
      <c r="A420" s="408" t="s">
        <v>198</v>
      </c>
      <c r="B420" s="169" t="s">
        <v>199</v>
      </c>
      <c r="C420" s="169" t="s">
        <v>200</v>
      </c>
      <c r="D420" s="169" t="s">
        <v>201</v>
      </c>
      <c r="E420" s="169" t="s">
        <v>186</v>
      </c>
      <c r="F420" s="401"/>
      <c r="G420" s="417"/>
    </row>
    <row r="421" spans="1:7" ht="12.75" customHeight="1">
      <c r="A421" s="406" t="s">
        <v>232</v>
      </c>
      <c r="B421" s="401"/>
      <c r="C421" s="401"/>
      <c r="D421" s="401"/>
      <c r="E421" s="401"/>
      <c r="F421" s="401"/>
      <c r="G421" s="417"/>
    </row>
    <row r="422" spans="1:7" ht="12.75" customHeight="1">
      <c r="A422" s="406"/>
      <c r="B422" s="401"/>
      <c r="C422" s="401"/>
      <c r="D422" s="401"/>
      <c r="E422" s="401"/>
      <c r="F422" s="401"/>
      <c r="G422" s="417"/>
    </row>
    <row r="423" spans="1:7" ht="12.75" customHeight="1">
      <c r="A423" s="406"/>
      <c r="B423" s="401"/>
      <c r="C423" s="401"/>
      <c r="D423" s="401"/>
      <c r="E423" s="401"/>
      <c r="F423" s="401"/>
      <c r="G423" s="417"/>
    </row>
    <row r="424" spans="1:7" ht="12.75" customHeight="1">
      <c r="A424" s="406"/>
      <c r="B424" s="401"/>
      <c r="C424" s="401"/>
      <c r="D424" s="401"/>
      <c r="E424" s="401"/>
      <c r="F424" s="401"/>
      <c r="G424" s="417"/>
    </row>
    <row r="425" spans="1:7" ht="12.75" customHeight="1">
      <c r="A425" s="406"/>
      <c r="B425" s="401"/>
      <c r="C425" s="401"/>
      <c r="D425" s="401"/>
      <c r="E425" s="401"/>
      <c r="F425" s="401" t="s">
        <v>189</v>
      </c>
      <c r="G425" s="417">
        <f t="shared" si="11"/>
        <v>0</v>
      </c>
    </row>
    <row r="426" spans="1:7" ht="12.75" customHeight="1">
      <c r="A426" s="406" t="s">
        <v>202</v>
      </c>
      <c r="B426" s="401"/>
      <c r="C426" s="401"/>
      <c r="D426" s="401"/>
      <c r="E426" s="401"/>
      <c r="F426" s="401"/>
      <c r="G426" s="417"/>
    </row>
    <row r="427" spans="1:7" ht="12.75" customHeight="1">
      <c r="A427" s="408" t="s">
        <v>203</v>
      </c>
      <c r="B427" s="169" t="s">
        <v>204</v>
      </c>
      <c r="C427" s="169" t="s">
        <v>205</v>
      </c>
      <c r="D427" s="169" t="s">
        <v>206</v>
      </c>
      <c r="E427" s="169" t="s">
        <v>207</v>
      </c>
      <c r="F427" s="169" t="s">
        <v>208</v>
      </c>
      <c r="G427" s="417"/>
    </row>
    <row r="428" spans="1:7" ht="12.75" customHeight="1">
      <c r="A428" s="406" t="s">
        <v>188</v>
      </c>
      <c r="B428" s="401">
        <f>+B164</f>
        <v>150000</v>
      </c>
      <c r="C428" s="401">
        <f t="shared" si="13"/>
        <v>112500</v>
      </c>
      <c r="D428" s="401">
        <f t="shared" si="3"/>
        <v>262500</v>
      </c>
      <c r="E428" s="403">
        <v>16.000043759149897</v>
      </c>
      <c r="F428" s="403">
        <f t="shared" si="4"/>
        <v>16406.205129900656</v>
      </c>
      <c r="G428" s="417"/>
    </row>
    <row r="429" spans="1:7" ht="12.75" customHeight="1">
      <c r="A429" s="406" t="s">
        <v>190</v>
      </c>
      <c r="B429" s="401">
        <f>+B165</f>
        <v>100000</v>
      </c>
      <c r="C429" s="403">
        <f t="shared" si="13"/>
        <v>75000</v>
      </c>
      <c r="D429" s="403">
        <f t="shared" si="3"/>
        <v>175000</v>
      </c>
      <c r="E429" s="401">
        <v>15</v>
      </c>
      <c r="F429" s="403">
        <f t="shared" si="4"/>
        <v>11666.666666666666</v>
      </c>
      <c r="G429" s="417"/>
    </row>
    <row r="430" spans="1:7" ht="12.75" customHeight="1">
      <c r="A430" s="406"/>
      <c r="B430" s="401"/>
      <c r="C430" s="401"/>
      <c r="D430" s="401"/>
      <c r="E430" s="401"/>
      <c r="F430" s="401"/>
      <c r="G430" s="417"/>
    </row>
    <row r="431" spans="1:7" ht="12.75" customHeight="1">
      <c r="A431" s="406"/>
      <c r="B431" s="401"/>
      <c r="C431" s="401"/>
      <c r="D431" s="401"/>
      <c r="E431" s="401"/>
      <c r="F431" s="401"/>
      <c r="G431" s="417"/>
    </row>
    <row r="432" spans="1:7" ht="12.75" customHeight="1">
      <c r="A432" s="406"/>
      <c r="B432" s="401"/>
      <c r="C432" s="401"/>
      <c r="D432" s="401"/>
      <c r="E432" s="401"/>
      <c r="F432" s="401"/>
      <c r="G432" s="417"/>
    </row>
    <row r="433" spans="1:9" ht="12.75" customHeight="1">
      <c r="A433" s="406"/>
      <c r="B433" s="401"/>
      <c r="C433" s="401"/>
      <c r="D433" s="401"/>
      <c r="E433" s="401"/>
      <c r="F433" s="401"/>
      <c r="G433" s="417"/>
    </row>
    <row r="434" spans="1:9" ht="12.75" customHeight="1">
      <c r="A434" s="406"/>
      <c r="B434" s="401"/>
      <c r="C434" s="401"/>
      <c r="D434" s="401"/>
      <c r="E434" s="401"/>
      <c r="F434" s="401" t="s">
        <v>189</v>
      </c>
      <c r="G434" s="417">
        <f t="shared" si="5"/>
        <v>28072.87179656732</v>
      </c>
    </row>
    <row r="435" spans="1:9" ht="12.75" customHeight="1">
      <c r="A435" s="406"/>
      <c r="B435" s="401"/>
      <c r="C435" s="401"/>
      <c r="D435" s="401"/>
      <c r="E435" s="401"/>
      <c r="F435" s="401"/>
      <c r="G435" s="417"/>
    </row>
    <row r="436" spans="1:9" ht="12.75" customHeight="1">
      <c r="A436" s="406" t="s">
        <v>209</v>
      </c>
      <c r="B436" s="401"/>
      <c r="C436" s="401" t="s">
        <v>210</v>
      </c>
      <c r="D436" s="471" t="s">
        <v>211</v>
      </c>
      <c r="E436" s="472"/>
      <c r="F436" s="472"/>
      <c r="G436" s="417">
        <f t="shared" si="16"/>
        <v>64036.615386395686</v>
      </c>
      <c r="I436">
        <v>83247.600000000006</v>
      </c>
    </row>
    <row r="437" spans="1:9" ht="12.75" customHeight="1">
      <c r="A437" s="406"/>
      <c r="B437" s="401"/>
      <c r="C437" s="401"/>
      <c r="D437" s="401"/>
      <c r="E437" s="401"/>
      <c r="F437" s="401"/>
      <c r="G437" s="417"/>
    </row>
    <row r="438" spans="1:9" ht="12.75" customHeight="1">
      <c r="A438" s="406"/>
      <c r="B438" s="401"/>
      <c r="C438" s="401"/>
      <c r="D438" s="401"/>
      <c r="E438" s="401" t="s">
        <v>212</v>
      </c>
      <c r="F438" s="401"/>
      <c r="G438" s="417">
        <f t="shared" si="7"/>
        <v>19210.984615918704</v>
      </c>
    </row>
    <row r="439" spans="1:9" ht="12.75" customHeight="1">
      <c r="A439" s="406"/>
      <c r="B439" s="401"/>
      <c r="C439" s="401"/>
      <c r="D439" s="401"/>
      <c r="E439" s="401"/>
      <c r="F439" s="401"/>
      <c r="G439" s="417"/>
    </row>
    <row r="440" spans="1:9" ht="12.75" customHeight="1" thickBot="1">
      <c r="A440" s="411" t="s">
        <v>213</v>
      </c>
      <c r="B440" s="412"/>
      <c r="C440" s="412"/>
      <c r="D440" s="469" t="s">
        <v>214</v>
      </c>
      <c r="E440" s="470"/>
      <c r="F440" s="470"/>
      <c r="G440" s="418">
        <f t="shared" si="8"/>
        <v>83247.600002314386</v>
      </c>
    </row>
    <row r="441" spans="1:9" ht="15" customHeight="1">
      <c r="A441" s="468" t="s">
        <v>174</v>
      </c>
      <c r="B441" s="457"/>
      <c r="C441" s="457"/>
      <c r="D441" s="457"/>
      <c r="E441" s="457"/>
      <c r="F441" s="457"/>
      <c r="G441" s="457"/>
    </row>
    <row r="442" spans="1:9" ht="15" customHeight="1" thickBot="1">
      <c r="A442" s="73"/>
      <c r="B442" s="73"/>
      <c r="C442" s="73"/>
      <c r="D442" s="73"/>
      <c r="E442" s="73"/>
      <c r="F442" s="73"/>
      <c r="G442" s="440"/>
    </row>
    <row r="443" spans="1:9" ht="12.75" customHeight="1">
      <c r="A443" s="404" t="s">
        <v>175</v>
      </c>
      <c r="B443" s="405"/>
      <c r="C443" s="405"/>
      <c r="D443" s="428"/>
      <c r="E443" s="428"/>
      <c r="F443" s="428"/>
      <c r="G443" s="429"/>
    </row>
    <row r="444" spans="1:9" ht="12.75" customHeight="1">
      <c r="A444" s="406" t="str">
        <f>+A4</f>
        <v xml:space="preserve">OBRA N° Conducción - Red de Distribución  </v>
      </c>
      <c r="B444" s="401"/>
      <c r="C444" s="401"/>
      <c r="D444" s="401"/>
      <c r="E444" s="195"/>
      <c r="F444" s="402" t="s">
        <v>177</v>
      </c>
      <c r="G444" s="430">
        <f t="shared" ca="1" si="0"/>
        <v>46289</v>
      </c>
    </row>
    <row r="445" spans="1:9" ht="12.75" customHeight="1">
      <c r="A445" s="406"/>
      <c r="B445" s="426"/>
      <c r="C445" s="426"/>
      <c r="D445" s="426"/>
      <c r="E445" s="426"/>
      <c r="F445" s="426"/>
      <c r="G445" s="431"/>
    </row>
    <row r="446" spans="1:9" ht="12.75" customHeight="1">
      <c r="A446" s="406"/>
      <c r="B446" s="426"/>
      <c r="C446" s="426"/>
      <c r="D446" s="426"/>
      <c r="E446" s="426"/>
      <c r="F446" s="426"/>
      <c r="G446" s="431"/>
    </row>
    <row r="447" spans="1:9" ht="12.75" customHeight="1">
      <c r="A447" s="406" t="s">
        <v>513</v>
      </c>
      <c r="B447" s="401" t="s">
        <v>514</v>
      </c>
      <c r="C447" s="401"/>
      <c r="D447" s="401"/>
      <c r="E447" s="401"/>
      <c r="F447" s="401"/>
      <c r="G447" s="417"/>
    </row>
    <row r="448" spans="1:9" ht="12.75" customHeight="1">
      <c r="A448" s="406"/>
      <c r="B448" s="401"/>
      <c r="C448" s="401" t="s">
        <v>179</v>
      </c>
      <c r="D448" s="169">
        <v>6</v>
      </c>
      <c r="E448" s="401" t="s">
        <v>180</v>
      </c>
      <c r="F448" s="401" t="s">
        <v>262</v>
      </c>
      <c r="G448" s="417"/>
    </row>
    <row r="449" spans="1:7" ht="12.75" customHeight="1">
      <c r="A449" s="406" t="s">
        <v>182</v>
      </c>
      <c r="B449" s="401"/>
      <c r="C449" s="401"/>
      <c r="D449" s="401"/>
      <c r="E449" s="401"/>
      <c r="F449" s="401"/>
      <c r="G449" s="417"/>
    </row>
    <row r="450" spans="1:7" ht="12.75" customHeight="1">
      <c r="A450" s="408" t="s">
        <v>111</v>
      </c>
      <c r="B450" s="169" t="s">
        <v>183</v>
      </c>
      <c r="C450" s="169" t="s">
        <v>184</v>
      </c>
      <c r="D450" s="169" t="s">
        <v>185</v>
      </c>
      <c r="E450" s="169" t="s">
        <v>186</v>
      </c>
      <c r="F450" s="401"/>
      <c r="G450" s="417"/>
    </row>
    <row r="451" spans="1:7" ht="12.75" customHeight="1">
      <c r="A451" s="406" t="s">
        <v>187</v>
      </c>
      <c r="B451" s="401"/>
      <c r="C451" s="401"/>
      <c r="D451" s="401"/>
      <c r="E451" s="403">
        <f t="shared" si="14"/>
        <v>1139.8915750893689</v>
      </c>
      <c r="F451" s="401"/>
      <c r="G451" s="417"/>
    </row>
    <row r="452" spans="1:7" ht="12.75" customHeight="1">
      <c r="A452" s="406"/>
      <c r="B452" s="401"/>
      <c r="C452" s="401"/>
      <c r="D452" s="401"/>
      <c r="E452" s="401"/>
      <c r="F452" s="401"/>
      <c r="G452" s="417"/>
    </row>
    <row r="453" spans="1:7" ht="12.75" customHeight="1">
      <c r="A453" s="406"/>
      <c r="B453" s="401"/>
      <c r="C453" s="401"/>
      <c r="D453" s="401"/>
      <c r="E453" s="401"/>
      <c r="F453" s="401"/>
      <c r="G453" s="417"/>
    </row>
    <row r="454" spans="1:7" ht="12.75" customHeight="1">
      <c r="A454" s="406"/>
      <c r="B454" s="401"/>
      <c r="C454" s="401"/>
      <c r="D454" s="401"/>
      <c r="E454" s="401"/>
      <c r="F454" s="401" t="s">
        <v>189</v>
      </c>
      <c r="G454" s="417">
        <f t="shared" si="2"/>
        <v>1139.8915750893689</v>
      </c>
    </row>
    <row r="455" spans="1:7" ht="12.75" customHeight="1">
      <c r="A455" s="406" t="s">
        <v>191</v>
      </c>
      <c r="B455" s="401"/>
      <c r="C455" s="401"/>
      <c r="D455" s="401"/>
      <c r="E455" s="401"/>
      <c r="F455" s="401"/>
      <c r="G455" s="417"/>
    </row>
    <row r="456" spans="1:7" ht="12.75" customHeight="1">
      <c r="A456" s="408" t="s">
        <v>111</v>
      </c>
      <c r="B456" s="169" t="s">
        <v>193</v>
      </c>
      <c r="C456" s="169" t="s">
        <v>194</v>
      </c>
      <c r="D456" s="169" t="s">
        <v>195</v>
      </c>
      <c r="E456" s="169" t="s">
        <v>186</v>
      </c>
      <c r="F456" s="401"/>
      <c r="G456" s="417"/>
    </row>
    <row r="457" spans="1:7" ht="12.75" customHeight="1">
      <c r="A457" s="406" t="s">
        <v>515</v>
      </c>
      <c r="B457" s="169" t="s">
        <v>193</v>
      </c>
      <c r="C457" s="403">
        <v>28134</v>
      </c>
      <c r="D457" s="401">
        <v>1.05</v>
      </c>
      <c r="E457" s="403">
        <f t="shared" si="15"/>
        <v>29540.7</v>
      </c>
      <c r="F457" s="401"/>
      <c r="G457" s="417"/>
    </row>
    <row r="458" spans="1:7" ht="12.75" customHeight="1">
      <c r="A458" s="406" t="s">
        <v>285</v>
      </c>
      <c r="B458" s="169" t="s">
        <v>256</v>
      </c>
      <c r="C458" s="403">
        <v>1000</v>
      </c>
      <c r="D458" s="401">
        <v>1</v>
      </c>
      <c r="E458" s="403">
        <f t="shared" si="15"/>
        <v>1000</v>
      </c>
      <c r="F458" s="401"/>
      <c r="G458" s="417"/>
    </row>
    <row r="459" spans="1:7" ht="12.75" customHeight="1">
      <c r="A459" s="406"/>
      <c r="B459" s="401"/>
      <c r="C459" s="401"/>
      <c r="D459" s="401"/>
      <c r="E459" s="401"/>
      <c r="F459" s="401"/>
      <c r="G459" s="417"/>
    </row>
    <row r="460" spans="1:7" ht="12.75" customHeight="1">
      <c r="A460" s="406"/>
      <c r="B460" s="401"/>
      <c r="C460" s="401"/>
      <c r="D460" s="401"/>
      <c r="E460" s="401"/>
      <c r="F460" s="401"/>
      <c r="G460" s="417"/>
    </row>
    <row r="461" spans="1:7" ht="12.75" customHeight="1">
      <c r="A461" s="406"/>
      <c r="B461" s="401"/>
      <c r="C461" s="401"/>
      <c r="D461" s="401"/>
      <c r="E461" s="401"/>
      <c r="F461" s="401"/>
      <c r="G461" s="417"/>
    </row>
    <row r="462" spans="1:7" ht="12.75" customHeight="1">
      <c r="A462" s="406"/>
      <c r="B462" s="401"/>
      <c r="C462" s="401"/>
      <c r="D462" s="401"/>
      <c r="E462" s="401"/>
      <c r="F462" s="401" t="s">
        <v>189</v>
      </c>
      <c r="G462" s="417">
        <f t="shared" si="12"/>
        <v>30540.7</v>
      </c>
    </row>
    <row r="463" spans="1:7" ht="12.75" customHeight="1">
      <c r="A463" s="406" t="s">
        <v>197</v>
      </c>
      <c r="B463" s="401"/>
      <c r="C463" s="401"/>
      <c r="D463" s="401"/>
      <c r="E463" s="401"/>
      <c r="F463" s="401"/>
      <c r="G463" s="417"/>
    </row>
    <row r="464" spans="1:7" ht="12.75" customHeight="1">
      <c r="A464" s="408" t="s">
        <v>198</v>
      </c>
      <c r="B464" s="169" t="s">
        <v>199</v>
      </c>
      <c r="C464" s="169" t="s">
        <v>200</v>
      </c>
      <c r="D464" s="169" t="s">
        <v>201</v>
      </c>
      <c r="E464" s="169" t="s">
        <v>186</v>
      </c>
      <c r="F464" s="401"/>
      <c r="G464" s="417"/>
    </row>
    <row r="465" spans="1:9" ht="12.75" customHeight="1">
      <c r="A465" s="406" t="s">
        <v>232</v>
      </c>
      <c r="B465" s="401"/>
      <c r="C465" s="401"/>
      <c r="D465" s="401"/>
      <c r="E465" s="403">
        <v>769.26923081555879</v>
      </c>
      <c r="F465" s="401"/>
      <c r="G465" s="417"/>
    </row>
    <row r="466" spans="1:9" ht="12.75" customHeight="1">
      <c r="A466" s="406"/>
      <c r="B466" s="401"/>
      <c r="C466" s="401"/>
      <c r="D466" s="401"/>
      <c r="E466" s="401"/>
      <c r="F466" s="401"/>
      <c r="G466" s="417"/>
    </row>
    <row r="467" spans="1:9" ht="12.75" customHeight="1">
      <c r="A467" s="406"/>
      <c r="B467" s="401"/>
      <c r="C467" s="401"/>
      <c r="D467" s="401"/>
      <c r="E467" s="401"/>
      <c r="F467" s="401"/>
      <c r="G467" s="417"/>
    </row>
    <row r="468" spans="1:9" ht="12.75" customHeight="1">
      <c r="A468" s="406"/>
      <c r="B468" s="401"/>
      <c r="C468" s="401"/>
      <c r="D468" s="401"/>
      <c r="E468" s="401"/>
      <c r="F468" s="401"/>
      <c r="G468" s="417"/>
    </row>
    <row r="469" spans="1:9" ht="12.75" customHeight="1">
      <c r="A469" s="406"/>
      <c r="B469" s="401"/>
      <c r="C469" s="401"/>
      <c r="D469" s="401"/>
      <c r="E469" s="401"/>
      <c r="F469" s="401" t="s">
        <v>189</v>
      </c>
      <c r="G469" s="417">
        <f t="shared" si="11"/>
        <v>769.26923081555879</v>
      </c>
    </row>
    <row r="470" spans="1:9" ht="12.75" customHeight="1">
      <c r="A470" s="406" t="s">
        <v>202</v>
      </c>
      <c r="B470" s="401"/>
      <c r="C470" s="401"/>
      <c r="D470" s="401"/>
      <c r="E470" s="401"/>
      <c r="F470" s="401"/>
      <c r="G470" s="417"/>
    </row>
    <row r="471" spans="1:9" ht="12.75" customHeight="1">
      <c r="A471" s="408" t="s">
        <v>203</v>
      </c>
      <c r="B471" s="169" t="s">
        <v>204</v>
      </c>
      <c r="C471" s="169" t="s">
        <v>205</v>
      </c>
      <c r="D471" s="169" t="s">
        <v>206</v>
      </c>
      <c r="E471" s="169" t="s">
        <v>207</v>
      </c>
      <c r="F471" s="169" t="s">
        <v>208</v>
      </c>
      <c r="G471" s="417"/>
    </row>
    <row r="472" spans="1:9" ht="12.75" customHeight="1">
      <c r="A472" s="406" t="s">
        <v>188</v>
      </c>
      <c r="B472" s="401">
        <f>+B164</f>
        <v>150000</v>
      </c>
      <c r="C472" s="401">
        <f t="shared" si="13"/>
        <v>112500</v>
      </c>
      <c r="D472" s="401">
        <f t="shared" si="3"/>
        <v>262500</v>
      </c>
      <c r="E472" s="403">
        <v>20.075546338803555</v>
      </c>
      <c r="F472" s="403">
        <f t="shared" si="4"/>
        <v>13075.609279565153</v>
      </c>
      <c r="G472" s="417"/>
    </row>
    <row r="473" spans="1:9" ht="12.75" customHeight="1">
      <c r="A473" s="406" t="s">
        <v>190</v>
      </c>
      <c r="B473" s="401">
        <f>+B165</f>
        <v>100000</v>
      </c>
      <c r="C473" s="403">
        <f t="shared" si="13"/>
        <v>75000</v>
      </c>
      <c r="D473" s="403">
        <f t="shared" si="3"/>
        <v>175000</v>
      </c>
      <c r="E473" s="401">
        <v>18</v>
      </c>
      <c r="F473" s="403">
        <f t="shared" si="4"/>
        <v>9722.2222222222226</v>
      </c>
      <c r="G473" s="417"/>
    </row>
    <row r="474" spans="1:9" ht="12.75" customHeight="1">
      <c r="A474" s="406"/>
      <c r="B474" s="401"/>
      <c r="C474" s="401"/>
      <c r="D474" s="401"/>
      <c r="E474" s="401"/>
      <c r="F474" s="401"/>
      <c r="G474" s="417"/>
    </row>
    <row r="475" spans="1:9" ht="12.75" customHeight="1">
      <c r="A475" s="406"/>
      <c r="B475" s="401"/>
      <c r="C475" s="401"/>
      <c r="D475" s="401"/>
      <c r="E475" s="401"/>
      <c r="F475" s="401"/>
      <c r="G475" s="417"/>
    </row>
    <row r="476" spans="1:9" ht="12.75" customHeight="1">
      <c r="A476" s="406"/>
      <c r="B476" s="401"/>
      <c r="C476" s="401"/>
      <c r="D476" s="401"/>
      <c r="E476" s="401"/>
      <c r="F476" s="401"/>
      <c r="G476" s="417"/>
    </row>
    <row r="477" spans="1:9" ht="12.75" customHeight="1">
      <c r="A477" s="406"/>
      <c r="B477" s="401"/>
      <c r="C477" s="401"/>
      <c r="D477" s="401"/>
      <c r="E477" s="401"/>
      <c r="F477" s="401"/>
      <c r="G477" s="417"/>
    </row>
    <row r="478" spans="1:9" ht="12.75" customHeight="1">
      <c r="A478" s="406"/>
      <c r="B478" s="401"/>
      <c r="C478" s="401"/>
      <c r="D478" s="401"/>
      <c r="E478" s="401"/>
      <c r="F478" s="401" t="s">
        <v>189</v>
      </c>
      <c r="G478" s="417">
        <f t="shared" si="5"/>
        <v>22797.831501787376</v>
      </c>
    </row>
    <row r="479" spans="1:9" ht="12.75" customHeight="1">
      <c r="A479" s="406"/>
      <c r="B479" s="401"/>
      <c r="C479" s="401"/>
      <c r="D479" s="401"/>
      <c r="E479" s="401"/>
      <c r="F479" s="401"/>
      <c r="G479" s="417"/>
    </row>
    <row r="480" spans="1:9" ht="12.75" customHeight="1">
      <c r="A480" s="406" t="s">
        <v>209</v>
      </c>
      <c r="B480" s="401"/>
      <c r="C480" s="401" t="s">
        <v>210</v>
      </c>
      <c r="D480" s="471" t="s">
        <v>211</v>
      </c>
      <c r="E480" s="472"/>
      <c r="F480" s="472"/>
      <c r="G480" s="417">
        <f t="shared" si="16"/>
        <v>55247.692307692305</v>
      </c>
      <c r="I480">
        <v>70821.95</v>
      </c>
    </row>
    <row r="481" spans="1:7" ht="12.75" customHeight="1">
      <c r="A481" s="406"/>
      <c r="B481" s="401"/>
      <c r="C481" s="401"/>
      <c r="D481" s="401"/>
      <c r="E481" s="401"/>
      <c r="F481" s="401"/>
      <c r="G481" s="417"/>
    </row>
    <row r="482" spans="1:7" ht="12.75" customHeight="1">
      <c r="A482" s="406"/>
      <c r="B482" s="401"/>
      <c r="C482" s="401"/>
      <c r="D482" s="401"/>
      <c r="E482" s="401" t="s">
        <v>212</v>
      </c>
      <c r="F482" s="401"/>
      <c r="G482" s="417">
        <f t="shared" si="7"/>
        <v>16574.307692307691</v>
      </c>
    </row>
    <row r="483" spans="1:7" ht="12.75" customHeight="1">
      <c r="A483" s="406"/>
      <c r="B483" s="401"/>
      <c r="C483" s="401"/>
      <c r="D483" s="401"/>
      <c r="E483" s="401"/>
      <c r="F483" s="401"/>
      <c r="G483" s="417"/>
    </row>
    <row r="484" spans="1:7" ht="12.75" customHeight="1" thickBot="1">
      <c r="A484" s="411" t="s">
        <v>213</v>
      </c>
      <c r="B484" s="412"/>
      <c r="C484" s="412"/>
      <c r="D484" s="469" t="s">
        <v>214</v>
      </c>
      <c r="E484" s="470"/>
      <c r="F484" s="470"/>
      <c r="G484" s="418">
        <f t="shared" si="8"/>
        <v>71822</v>
      </c>
    </row>
    <row r="485" spans="1:7" ht="15" customHeight="1">
      <c r="A485" s="468" t="s">
        <v>174</v>
      </c>
      <c r="B485" s="457"/>
      <c r="C485" s="457"/>
      <c r="D485" s="457"/>
      <c r="E485" s="457"/>
      <c r="F485" s="457"/>
      <c r="G485" s="457"/>
    </row>
    <row r="486" spans="1:7" ht="15" customHeight="1" thickBot="1">
      <c r="A486" s="73"/>
      <c r="B486" s="73"/>
      <c r="C486" s="73"/>
      <c r="D486" s="73"/>
      <c r="E486" s="73"/>
      <c r="F486" s="73"/>
      <c r="G486" s="440"/>
    </row>
    <row r="487" spans="1:7" ht="12.75" customHeight="1">
      <c r="A487" s="404" t="s">
        <v>175</v>
      </c>
      <c r="B487" s="405"/>
      <c r="C487" s="405"/>
      <c r="D487" s="428"/>
      <c r="E487" s="428"/>
      <c r="F487" s="428"/>
      <c r="G487" s="429"/>
    </row>
    <row r="488" spans="1:7" ht="12.75" customHeight="1">
      <c r="A488" s="406" t="str">
        <f>+A4</f>
        <v xml:space="preserve">OBRA N° Conducción - Red de Distribución  </v>
      </c>
      <c r="B488" s="401"/>
      <c r="C488" s="401"/>
      <c r="D488" s="401"/>
      <c r="E488" s="195"/>
      <c r="F488" s="402" t="s">
        <v>177</v>
      </c>
      <c r="G488" s="430">
        <f t="shared" ca="1" si="0"/>
        <v>46289</v>
      </c>
    </row>
    <row r="489" spans="1:7" ht="12.75" customHeight="1">
      <c r="A489" s="406"/>
      <c r="B489" s="426"/>
      <c r="C489" s="426"/>
      <c r="D489" s="426"/>
      <c r="E489" s="426"/>
      <c r="F489" s="426"/>
      <c r="G489" s="431"/>
    </row>
    <row r="490" spans="1:7" ht="12.75" customHeight="1">
      <c r="A490" s="406" t="s">
        <v>379</v>
      </c>
      <c r="B490" s="401" t="s">
        <v>516</v>
      </c>
      <c r="C490" s="401"/>
      <c r="D490" s="401"/>
      <c r="E490" s="401"/>
      <c r="F490" s="401"/>
      <c r="G490" s="417"/>
    </row>
    <row r="491" spans="1:7" ht="12.75" customHeight="1">
      <c r="A491" s="406"/>
      <c r="B491" s="401"/>
      <c r="C491" s="401" t="s">
        <v>179</v>
      </c>
      <c r="D491" s="169">
        <v>4</v>
      </c>
      <c r="E491" s="401" t="s">
        <v>180</v>
      </c>
      <c r="F491" s="401" t="s">
        <v>262</v>
      </c>
      <c r="G491" s="417"/>
    </row>
    <row r="492" spans="1:7" ht="12.75" customHeight="1">
      <c r="A492" s="406" t="s">
        <v>182</v>
      </c>
      <c r="B492" s="401"/>
      <c r="C492" s="401"/>
      <c r="D492" s="401"/>
      <c r="E492" s="401"/>
      <c r="F492" s="401"/>
      <c r="G492" s="417"/>
    </row>
    <row r="493" spans="1:7" ht="12.75" customHeight="1">
      <c r="A493" s="408" t="s">
        <v>111</v>
      </c>
      <c r="B493" s="169" t="s">
        <v>183</v>
      </c>
      <c r="C493" s="169" t="s">
        <v>184</v>
      </c>
      <c r="D493" s="169" t="s">
        <v>185</v>
      </c>
      <c r="E493" s="169" t="s">
        <v>186</v>
      </c>
      <c r="F493" s="401"/>
      <c r="G493" s="417"/>
    </row>
    <row r="494" spans="1:7" ht="12.75" customHeight="1">
      <c r="A494" s="406" t="s">
        <v>187</v>
      </c>
      <c r="B494" s="401"/>
      <c r="C494" s="401"/>
      <c r="D494" s="401"/>
      <c r="E494" s="403">
        <f t="shared" si="14"/>
        <v>1952.6282051822343</v>
      </c>
      <c r="F494" s="401"/>
      <c r="G494" s="417"/>
    </row>
    <row r="495" spans="1:7" ht="12.75" customHeight="1">
      <c r="A495" s="406"/>
      <c r="B495" s="401"/>
      <c r="C495" s="401"/>
      <c r="D495" s="401"/>
      <c r="E495" s="401"/>
      <c r="F495" s="401"/>
      <c r="G495" s="417"/>
    </row>
    <row r="496" spans="1:7" ht="12.75" customHeight="1">
      <c r="A496" s="406"/>
      <c r="B496" s="401"/>
      <c r="C496" s="401"/>
      <c r="D496" s="401"/>
      <c r="E496" s="401"/>
      <c r="F496" s="401"/>
      <c r="G496" s="417"/>
    </row>
    <row r="497" spans="1:7" ht="12.75" customHeight="1">
      <c r="A497" s="406"/>
      <c r="B497" s="401"/>
      <c r="C497" s="401"/>
      <c r="D497" s="401"/>
      <c r="E497" s="401"/>
      <c r="F497" s="401" t="s">
        <v>189</v>
      </c>
      <c r="G497" s="417">
        <f t="shared" si="2"/>
        <v>1952.6282051822343</v>
      </c>
    </row>
    <row r="498" spans="1:7" ht="12.75" customHeight="1">
      <c r="A498" s="406" t="s">
        <v>191</v>
      </c>
      <c r="B498" s="401"/>
      <c r="C498" s="401"/>
      <c r="D498" s="401"/>
      <c r="E498" s="401"/>
      <c r="F498" s="401"/>
      <c r="G498" s="417"/>
    </row>
    <row r="499" spans="1:7" ht="12.75" customHeight="1">
      <c r="A499" s="408" t="s">
        <v>111</v>
      </c>
      <c r="B499" s="169" t="s">
        <v>193</v>
      </c>
      <c r="C499" s="169" t="s">
        <v>194</v>
      </c>
      <c r="D499" s="169" t="s">
        <v>195</v>
      </c>
      <c r="E499" s="169" t="s">
        <v>186</v>
      </c>
      <c r="F499" s="401"/>
      <c r="G499" s="417"/>
    </row>
    <row r="500" spans="1:7" ht="12.75" customHeight="1">
      <c r="A500" s="406" t="s">
        <v>517</v>
      </c>
      <c r="B500" s="169" t="s">
        <v>193</v>
      </c>
      <c r="C500" s="403">
        <f>45000*1.19</f>
        <v>53550</v>
      </c>
      <c r="D500" s="401">
        <v>1.05</v>
      </c>
      <c r="E500" s="403">
        <f t="shared" si="15"/>
        <v>56227.5</v>
      </c>
      <c r="F500" s="401"/>
      <c r="G500" s="417"/>
    </row>
    <row r="501" spans="1:7" ht="12.75" customHeight="1">
      <c r="A501" s="406" t="s">
        <v>325</v>
      </c>
      <c r="B501" s="169" t="s">
        <v>256</v>
      </c>
      <c r="C501" s="403">
        <v>1500</v>
      </c>
      <c r="D501" s="401">
        <v>1</v>
      </c>
      <c r="E501" s="403">
        <f t="shared" si="15"/>
        <v>1500</v>
      </c>
      <c r="F501" s="401"/>
      <c r="G501" s="417"/>
    </row>
    <row r="502" spans="1:7" ht="12.75" customHeight="1">
      <c r="A502" s="406"/>
      <c r="B502" s="401"/>
      <c r="C502" s="401"/>
      <c r="D502" s="401"/>
      <c r="E502" s="401"/>
      <c r="F502" s="401"/>
      <c r="G502" s="417"/>
    </row>
    <row r="503" spans="1:7" ht="12.75" customHeight="1">
      <c r="A503" s="406"/>
      <c r="B503" s="401"/>
      <c r="C503" s="401"/>
      <c r="D503" s="401"/>
      <c r="E503" s="401"/>
      <c r="F503" s="401"/>
      <c r="G503" s="417"/>
    </row>
    <row r="504" spans="1:7" ht="12.75" customHeight="1">
      <c r="A504" s="406"/>
      <c r="B504" s="401"/>
      <c r="C504" s="401"/>
      <c r="D504" s="401"/>
      <c r="E504" s="401"/>
      <c r="F504" s="401"/>
      <c r="G504" s="417"/>
    </row>
    <row r="505" spans="1:7" ht="12.75" customHeight="1">
      <c r="A505" s="406"/>
      <c r="B505" s="401"/>
      <c r="C505" s="401"/>
      <c r="D505" s="401"/>
      <c r="E505" s="401"/>
      <c r="F505" s="401" t="s">
        <v>189</v>
      </c>
      <c r="G505" s="417">
        <f t="shared" si="12"/>
        <v>57727.5</v>
      </c>
    </row>
    <row r="506" spans="1:7" ht="12.75" customHeight="1">
      <c r="A506" s="406" t="s">
        <v>197</v>
      </c>
      <c r="B506" s="401"/>
      <c r="C506" s="401"/>
      <c r="D506" s="401"/>
      <c r="E506" s="401"/>
      <c r="F506" s="401"/>
      <c r="G506" s="417"/>
    </row>
    <row r="507" spans="1:7" ht="12.75" customHeight="1">
      <c r="A507" s="408" t="s">
        <v>198</v>
      </c>
      <c r="B507" s="169" t="s">
        <v>199</v>
      </c>
      <c r="C507" s="169" t="s">
        <v>200</v>
      </c>
      <c r="D507" s="169" t="s">
        <v>201</v>
      </c>
      <c r="E507" s="169" t="s">
        <v>186</v>
      </c>
      <c r="F507" s="401"/>
      <c r="G507" s="417"/>
    </row>
    <row r="508" spans="1:7" ht="12.75" customHeight="1">
      <c r="A508" s="406" t="s">
        <v>232</v>
      </c>
      <c r="B508" s="401"/>
      <c r="C508" s="401"/>
      <c r="D508" s="401"/>
      <c r="E508" s="401"/>
      <c r="F508" s="401"/>
      <c r="G508" s="417"/>
    </row>
    <row r="509" spans="1:7" ht="12.75" customHeight="1">
      <c r="A509" s="406"/>
      <c r="B509" s="401"/>
      <c r="C509" s="401"/>
      <c r="D509" s="401"/>
      <c r="E509" s="401"/>
      <c r="F509" s="401"/>
      <c r="G509" s="417"/>
    </row>
    <row r="510" spans="1:7" ht="12.75" customHeight="1">
      <c r="A510" s="406"/>
      <c r="B510" s="401"/>
      <c r="C510" s="401"/>
      <c r="D510" s="401"/>
      <c r="E510" s="401"/>
      <c r="F510" s="401"/>
      <c r="G510" s="417"/>
    </row>
    <row r="511" spans="1:7" ht="12.75" customHeight="1">
      <c r="A511" s="406"/>
      <c r="B511" s="401"/>
      <c r="C511" s="401"/>
      <c r="D511" s="401"/>
      <c r="E511" s="401"/>
      <c r="F511" s="401"/>
      <c r="G511" s="417"/>
    </row>
    <row r="512" spans="1:7" ht="12.75" customHeight="1">
      <c r="A512" s="406"/>
      <c r="B512" s="401"/>
      <c r="C512" s="401"/>
      <c r="D512" s="401"/>
      <c r="E512" s="401"/>
      <c r="F512" s="401" t="s">
        <v>189</v>
      </c>
      <c r="G512" s="417">
        <f t="shared" si="11"/>
        <v>0</v>
      </c>
    </row>
    <row r="513" spans="1:9" ht="12.75" customHeight="1">
      <c r="A513" s="406" t="s">
        <v>202</v>
      </c>
      <c r="B513" s="401"/>
      <c r="C513" s="401"/>
      <c r="D513" s="401"/>
      <c r="E513" s="401"/>
      <c r="F513" s="401"/>
      <c r="G513" s="417"/>
    </row>
    <row r="514" spans="1:9" ht="12.75" customHeight="1">
      <c r="A514" s="408" t="s">
        <v>203</v>
      </c>
      <c r="B514" s="169" t="s">
        <v>204</v>
      </c>
      <c r="C514" s="169" t="s">
        <v>205</v>
      </c>
      <c r="D514" s="169" t="s">
        <v>206</v>
      </c>
      <c r="E514" s="169" t="s">
        <v>207</v>
      </c>
      <c r="F514" s="169" t="s">
        <v>208</v>
      </c>
      <c r="G514" s="417"/>
    </row>
    <row r="515" spans="1:9" ht="12.75" customHeight="1">
      <c r="A515" s="406" t="s">
        <v>188</v>
      </c>
      <c r="B515" s="401">
        <f>+B164</f>
        <v>150000</v>
      </c>
      <c r="C515" s="401">
        <f t="shared" si="13"/>
        <v>112500</v>
      </c>
      <c r="D515" s="401">
        <f t="shared" si="3"/>
        <v>262500</v>
      </c>
      <c r="E515" s="403">
        <v>11.342290666284812</v>
      </c>
      <c r="F515" s="403">
        <f t="shared" si="4"/>
        <v>23143.473194553771</v>
      </c>
      <c r="G515" s="417"/>
    </row>
    <row r="516" spans="1:9" ht="12.75" customHeight="1">
      <c r="A516" s="406" t="s">
        <v>190</v>
      </c>
      <c r="B516" s="401">
        <f>+B165</f>
        <v>100000</v>
      </c>
      <c r="C516" s="403">
        <f t="shared" si="13"/>
        <v>75000</v>
      </c>
      <c r="D516" s="403">
        <f t="shared" si="3"/>
        <v>175000</v>
      </c>
      <c r="E516" s="401">
        <v>11</v>
      </c>
      <c r="F516" s="403">
        <f t="shared" si="4"/>
        <v>15909.09090909091</v>
      </c>
      <c r="G516" s="417"/>
    </row>
    <row r="517" spans="1:9" ht="12.75" customHeight="1">
      <c r="A517" s="406"/>
      <c r="B517" s="401"/>
      <c r="C517" s="401"/>
      <c r="D517" s="401"/>
      <c r="E517" s="401"/>
      <c r="F517" s="401"/>
      <c r="G517" s="417"/>
    </row>
    <row r="518" spans="1:9" ht="12.75" customHeight="1">
      <c r="A518" s="406"/>
      <c r="B518" s="401"/>
      <c r="C518" s="401"/>
      <c r="D518" s="401"/>
      <c r="E518" s="401"/>
      <c r="F518" s="401"/>
      <c r="G518" s="417"/>
    </row>
    <row r="519" spans="1:9" ht="12.75" customHeight="1">
      <c r="A519" s="406"/>
      <c r="B519" s="401"/>
      <c r="C519" s="401"/>
      <c r="D519" s="401"/>
      <c r="E519" s="401"/>
      <c r="F519" s="401"/>
      <c r="G519" s="417"/>
    </row>
    <row r="520" spans="1:9" ht="12.75" customHeight="1">
      <c r="A520" s="406"/>
      <c r="B520" s="401"/>
      <c r="C520" s="401"/>
      <c r="D520" s="401"/>
      <c r="E520" s="401"/>
      <c r="F520" s="401"/>
      <c r="G520" s="417"/>
    </row>
    <row r="521" spans="1:9" ht="12.75" customHeight="1">
      <c r="A521" s="406"/>
      <c r="B521" s="401"/>
      <c r="C521" s="401"/>
      <c r="D521" s="401"/>
      <c r="E521" s="401"/>
      <c r="F521" s="401" t="s">
        <v>189</v>
      </c>
      <c r="G521" s="417">
        <f t="shared" si="5"/>
        <v>39052.564103644683</v>
      </c>
    </row>
    <row r="522" spans="1:9" ht="12.75" customHeight="1">
      <c r="A522" s="406"/>
      <c r="B522" s="401"/>
      <c r="C522" s="401"/>
      <c r="D522" s="401"/>
      <c r="E522" s="401"/>
      <c r="F522" s="401"/>
      <c r="G522" s="417"/>
    </row>
    <row r="523" spans="1:9" ht="12.75" customHeight="1">
      <c r="A523" s="406" t="s">
        <v>209</v>
      </c>
      <c r="B523" s="401"/>
      <c r="C523" s="401" t="s">
        <v>210</v>
      </c>
      <c r="D523" s="471" t="s">
        <v>211</v>
      </c>
      <c r="E523" s="472"/>
      <c r="F523" s="472"/>
      <c r="G523" s="417">
        <f t="shared" si="16"/>
        <v>98732.692308826925</v>
      </c>
      <c r="I523" t="s">
        <v>948</v>
      </c>
    </row>
    <row r="524" spans="1:9" ht="12.75" customHeight="1">
      <c r="A524" s="406"/>
      <c r="B524" s="401"/>
      <c r="C524" s="401"/>
      <c r="D524" s="401"/>
      <c r="E524" s="401"/>
      <c r="F524" s="401"/>
      <c r="G524" s="417"/>
    </row>
    <row r="525" spans="1:9" ht="12.75" customHeight="1">
      <c r="A525" s="406"/>
      <c r="B525" s="401"/>
      <c r="C525" s="401"/>
      <c r="D525" s="401"/>
      <c r="E525" s="401" t="s">
        <v>212</v>
      </c>
      <c r="F525" s="401"/>
      <c r="G525" s="417">
        <f t="shared" si="7"/>
        <v>29619.807692648075</v>
      </c>
    </row>
    <row r="526" spans="1:9" ht="12.75" customHeight="1">
      <c r="A526" s="406"/>
      <c r="B526" s="401"/>
      <c r="C526" s="401"/>
      <c r="D526" s="401"/>
      <c r="E526" s="401"/>
      <c r="F526" s="401"/>
      <c r="G526" s="417"/>
    </row>
    <row r="527" spans="1:9" ht="12.75" customHeight="1" thickBot="1">
      <c r="A527" s="411" t="s">
        <v>213</v>
      </c>
      <c r="B527" s="412"/>
      <c r="C527" s="412"/>
      <c r="D527" s="469" t="s">
        <v>214</v>
      </c>
      <c r="E527" s="470"/>
      <c r="F527" s="470"/>
      <c r="G527" s="418">
        <f t="shared" si="8"/>
        <v>128352.500001475</v>
      </c>
    </row>
    <row r="528" spans="1:9" ht="15" customHeight="1">
      <c r="A528" s="468" t="s">
        <v>174</v>
      </c>
      <c r="B528" s="457"/>
      <c r="C528" s="457"/>
      <c r="D528" s="457"/>
      <c r="E528" s="457"/>
      <c r="F528" s="457"/>
      <c r="G528" s="457"/>
    </row>
    <row r="529" spans="1:7" ht="15" customHeight="1" thickBot="1">
      <c r="A529" s="73"/>
      <c r="B529" s="73"/>
      <c r="C529" s="73"/>
      <c r="D529" s="73"/>
      <c r="E529" s="73"/>
      <c r="F529" s="73"/>
      <c r="G529" s="440"/>
    </row>
    <row r="530" spans="1:7" ht="12.75" customHeight="1">
      <c r="A530" s="404" t="s">
        <v>175</v>
      </c>
      <c r="B530" s="405"/>
      <c r="C530" s="405"/>
      <c r="D530" s="428"/>
      <c r="E530" s="428"/>
      <c r="F530" s="428"/>
      <c r="G530" s="429"/>
    </row>
    <row r="531" spans="1:7" ht="12.75" customHeight="1">
      <c r="A531" s="406" t="str">
        <f>+A4</f>
        <v xml:space="preserve">OBRA N° Conducción - Red de Distribución  </v>
      </c>
      <c r="B531" s="401"/>
      <c r="C531" s="401"/>
      <c r="D531" s="401"/>
      <c r="E531" s="195"/>
      <c r="F531" s="402" t="s">
        <v>177</v>
      </c>
      <c r="G531" s="430">
        <f t="shared" ca="1" si="0"/>
        <v>46289</v>
      </c>
    </row>
    <row r="532" spans="1:7" ht="12.75" customHeight="1">
      <c r="A532" s="406"/>
      <c r="B532" s="426"/>
      <c r="C532" s="426"/>
      <c r="D532" s="426"/>
      <c r="E532" s="426"/>
      <c r="F532" s="426"/>
      <c r="G532" s="431"/>
    </row>
    <row r="533" spans="1:7" ht="12.75" customHeight="1">
      <c r="A533" s="406"/>
      <c r="B533" s="426"/>
      <c r="C533" s="426"/>
      <c r="D533" s="426"/>
      <c r="E533" s="426"/>
      <c r="F533" s="426"/>
      <c r="G533" s="431"/>
    </row>
    <row r="534" spans="1:7" ht="12.75" customHeight="1">
      <c r="A534" s="406" t="s">
        <v>260</v>
      </c>
      <c r="B534" s="401" t="s">
        <v>518</v>
      </c>
      <c r="C534" s="401"/>
      <c r="D534" s="401"/>
      <c r="E534" s="401"/>
      <c r="F534" s="401"/>
      <c r="G534" s="417"/>
    </row>
    <row r="535" spans="1:7" ht="12.75" customHeight="1">
      <c r="A535" s="406"/>
      <c r="B535" s="401"/>
      <c r="C535" s="401" t="s">
        <v>179</v>
      </c>
      <c r="D535" s="169">
        <v>3</v>
      </c>
      <c r="E535" s="401" t="s">
        <v>180</v>
      </c>
      <c r="F535" s="401" t="s">
        <v>262</v>
      </c>
      <c r="G535" s="417"/>
    </row>
    <row r="536" spans="1:7" ht="12.75" customHeight="1">
      <c r="A536" s="406" t="s">
        <v>182</v>
      </c>
      <c r="B536" s="401"/>
      <c r="C536" s="401"/>
      <c r="D536" s="401"/>
      <c r="E536" s="401"/>
      <c r="F536" s="401"/>
      <c r="G536" s="417"/>
    </row>
    <row r="537" spans="1:7" ht="12.75" customHeight="1">
      <c r="A537" s="408" t="s">
        <v>111</v>
      </c>
      <c r="B537" s="169" t="s">
        <v>183</v>
      </c>
      <c r="C537" s="169" t="s">
        <v>184</v>
      </c>
      <c r="D537" s="169" t="s">
        <v>185</v>
      </c>
      <c r="E537" s="169" t="s">
        <v>186</v>
      </c>
      <c r="F537" s="401"/>
      <c r="G537" s="417"/>
    </row>
    <row r="538" spans="1:7" ht="12.75" customHeight="1">
      <c r="A538" s="406" t="s">
        <v>187</v>
      </c>
      <c r="B538" s="401"/>
      <c r="C538" s="401"/>
      <c r="D538" s="401"/>
      <c r="E538" s="403">
        <f t="shared" si="14"/>
        <v>1351.0976190493502</v>
      </c>
      <c r="F538" s="401"/>
      <c r="G538" s="417"/>
    </row>
    <row r="539" spans="1:7" ht="12.75" customHeight="1">
      <c r="A539" s="406"/>
      <c r="B539" s="401"/>
      <c r="C539" s="401"/>
      <c r="D539" s="401"/>
      <c r="E539" s="401"/>
      <c r="F539" s="401"/>
      <c r="G539" s="417"/>
    </row>
    <row r="540" spans="1:7" ht="12.75" customHeight="1">
      <c r="A540" s="406"/>
      <c r="B540" s="401"/>
      <c r="C540" s="401"/>
      <c r="D540" s="401"/>
      <c r="E540" s="401"/>
      <c r="F540" s="401"/>
      <c r="G540" s="417"/>
    </row>
    <row r="541" spans="1:7" ht="12.75" customHeight="1">
      <c r="A541" s="406"/>
      <c r="B541" s="401"/>
      <c r="C541" s="401"/>
      <c r="D541" s="401"/>
      <c r="E541" s="401"/>
      <c r="F541" s="401" t="s">
        <v>189</v>
      </c>
      <c r="G541" s="417">
        <f t="shared" si="2"/>
        <v>1351.0976190493502</v>
      </c>
    </row>
    <row r="542" spans="1:7" ht="12.75" customHeight="1">
      <c r="A542" s="406" t="s">
        <v>191</v>
      </c>
      <c r="B542" s="401"/>
      <c r="C542" s="401"/>
      <c r="D542" s="401"/>
      <c r="E542" s="401"/>
      <c r="F542" s="401"/>
      <c r="G542" s="417"/>
    </row>
    <row r="543" spans="1:7" ht="12.75" customHeight="1">
      <c r="A543" s="408" t="s">
        <v>111</v>
      </c>
      <c r="B543" s="169" t="s">
        <v>193</v>
      </c>
      <c r="C543" s="169" t="s">
        <v>194</v>
      </c>
      <c r="D543" s="169" t="s">
        <v>195</v>
      </c>
      <c r="E543" s="169" t="s">
        <v>186</v>
      </c>
      <c r="F543" s="401"/>
      <c r="G543" s="417"/>
    </row>
    <row r="544" spans="1:7" ht="12.75" customHeight="1">
      <c r="A544" s="406" t="s">
        <v>519</v>
      </c>
      <c r="B544" s="169" t="s">
        <v>193</v>
      </c>
      <c r="C544" s="403">
        <f>8100*1.19</f>
        <v>9639</v>
      </c>
      <c r="D544" s="401">
        <v>1.05</v>
      </c>
      <c r="E544" s="403">
        <f t="shared" si="15"/>
        <v>10120.950000000001</v>
      </c>
      <c r="F544" s="401"/>
      <c r="G544" s="417"/>
    </row>
    <row r="545" spans="1:7" ht="12.75" customHeight="1">
      <c r="A545" s="406" t="s">
        <v>285</v>
      </c>
      <c r="B545" s="169" t="s">
        <v>256</v>
      </c>
      <c r="C545" s="403">
        <v>1200</v>
      </c>
      <c r="D545" s="401">
        <v>1</v>
      </c>
      <c r="E545" s="403">
        <f t="shared" si="15"/>
        <v>1200</v>
      </c>
      <c r="F545" s="401"/>
      <c r="G545" s="417"/>
    </row>
    <row r="546" spans="1:7" ht="12.75" customHeight="1">
      <c r="A546" s="406"/>
      <c r="B546" s="401"/>
      <c r="C546" s="401"/>
      <c r="D546" s="401"/>
      <c r="E546" s="401"/>
      <c r="F546" s="401"/>
      <c r="G546" s="417"/>
    </row>
    <row r="547" spans="1:7" ht="12.75" customHeight="1">
      <c r="A547" s="406"/>
      <c r="B547" s="401"/>
      <c r="C547" s="401"/>
      <c r="D547" s="401"/>
      <c r="E547" s="401"/>
      <c r="F547" s="401"/>
      <c r="G547" s="417"/>
    </row>
    <row r="548" spans="1:7" ht="12.75" customHeight="1">
      <c r="A548" s="406"/>
      <c r="B548" s="401"/>
      <c r="C548" s="401"/>
      <c r="D548" s="401"/>
      <c r="E548" s="401"/>
      <c r="F548" s="401"/>
      <c r="G548" s="417"/>
    </row>
    <row r="549" spans="1:7" ht="12.75" customHeight="1">
      <c r="A549" s="406"/>
      <c r="B549" s="401"/>
      <c r="C549" s="401"/>
      <c r="D549" s="401"/>
      <c r="E549" s="401"/>
      <c r="F549" s="401"/>
      <c r="G549" s="417"/>
    </row>
    <row r="550" spans="1:7" ht="12.75" customHeight="1">
      <c r="A550" s="406"/>
      <c r="B550" s="401"/>
      <c r="C550" s="401"/>
      <c r="D550" s="401"/>
      <c r="E550" s="401"/>
      <c r="F550" s="401" t="s">
        <v>189</v>
      </c>
      <c r="G550" s="417">
        <f t="shared" si="10"/>
        <v>11320.95</v>
      </c>
    </row>
    <row r="551" spans="1:7" ht="12.75" customHeight="1">
      <c r="A551" s="406" t="s">
        <v>197</v>
      </c>
      <c r="B551" s="401"/>
      <c r="C551" s="401"/>
      <c r="D551" s="401"/>
      <c r="E551" s="401"/>
      <c r="F551" s="401"/>
      <c r="G551" s="417"/>
    </row>
    <row r="552" spans="1:7" ht="12.75" customHeight="1">
      <c r="A552" s="408" t="s">
        <v>198</v>
      </c>
      <c r="B552" s="169" t="s">
        <v>199</v>
      </c>
      <c r="C552" s="169" t="s">
        <v>200</v>
      </c>
      <c r="D552" s="169" t="s">
        <v>201</v>
      </c>
      <c r="E552" s="169" t="s">
        <v>186</v>
      </c>
      <c r="F552" s="401"/>
      <c r="G552" s="417"/>
    </row>
    <row r="553" spans="1:7" ht="12.75" customHeight="1">
      <c r="A553" s="406" t="s">
        <v>232</v>
      </c>
      <c r="B553" s="401"/>
      <c r="C553" s="401"/>
      <c r="D553" s="401"/>
      <c r="E553" s="401"/>
      <c r="F553" s="401"/>
      <c r="G553" s="417"/>
    </row>
    <row r="554" spans="1:7" ht="12.75" customHeight="1">
      <c r="A554" s="406"/>
      <c r="B554" s="401"/>
      <c r="C554" s="401"/>
      <c r="D554" s="401"/>
      <c r="E554" s="401"/>
      <c r="F554" s="401"/>
      <c r="G554" s="417"/>
    </row>
    <row r="555" spans="1:7" ht="12.75" customHeight="1">
      <c r="A555" s="406"/>
      <c r="B555" s="401"/>
      <c r="C555" s="401"/>
      <c r="D555" s="401"/>
      <c r="E555" s="401"/>
      <c r="F555" s="401"/>
      <c r="G555" s="417"/>
    </row>
    <row r="556" spans="1:7" ht="12.75" customHeight="1">
      <c r="A556" s="406"/>
      <c r="B556" s="401"/>
      <c r="C556" s="401"/>
      <c r="D556" s="401"/>
      <c r="E556" s="401"/>
      <c r="F556" s="401" t="s">
        <v>189</v>
      </c>
      <c r="G556" s="417">
        <f t="shared" si="2"/>
        <v>0</v>
      </c>
    </row>
    <row r="557" spans="1:7" ht="12.75" customHeight="1">
      <c r="A557" s="406" t="s">
        <v>202</v>
      </c>
      <c r="B557" s="401"/>
      <c r="C557" s="401"/>
      <c r="D557" s="401"/>
      <c r="E557" s="401"/>
      <c r="F557" s="401"/>
      <c r="G557" s="417"/>
    </row>
    <row r="558" spans="1:7" ht="12.75" customHeight="1">
      <c r="A558" s="408" t="s">
        <v>203</v>
      </c>
      <c r="B558" s="169" t="s">
        <v>204</v>
      </c>
      <c r="C558" s="169" t="s">
        <v>205</v>
      </c>
      <c r="D558" s="169" t="s">
        <v>206</v>
      </c>
      <c r="E558" s="169" t="s">
        <v>207</v>
      </c>
      <c r="F558" s="169" t="s">
        <v>208</v>
      </c>
      <c r="G558" s="417"/>
    </row>
    <row r="559" spans="1:7" ht="12.75" customHeight="1">
      <c r="A559" s="406" t="s">
        <v>188</v>
      </c>
      <c r="B559" s="401">
        <f>+B164</f>
        <v>150000</v>
      </c>
      <c r="C559" s="401">
        <f t="shared" si="13"/>
        <v>112500</v>
      </c>
      <c r="D559" s="401">
        <f t="shared" si="3"/>
        <v>262500</v>
      </c>
      <c r="E559" s="401">
        <v>16.320108001332652</v>
      </c>
      <c r="F559" s="403">
        <f t="shared" si="4"/>
        <v>16084.452380987002</v>
      </c>
      <c r="G559" s="417"/>
    </row>
    <row r="560" spans="1:7" ht="12.75" customHeight="1">
      <c r="A560" s="406" t="s">
        <v>190</v>
      </c>
      <c r="B560" s="401">
        <f>+B165</f>
        <v>100000</v>
      </c>
      <c r="C560" s="403">
        <f t="shared" si="13"/>
        <v>75000</v>
      </c>
      <c r="D560" s="403">
        <f t="shared" si="3"/>
        <v>175000</v>
      </c>
      <c r="E560" s="401">
        <v>16</v>
      </c>
      <c r="F560" s="403">
        <f t="shared" si="4"/>
        <v>10937.5</v>
      </c>
      <c r="G560" s="417"/>
    </row>
    <row r="561" spans="1:9" ht="12.75" customHeight="1">
      <c r="A561" s="406"/>
      <c r="B561" s="401"/>
      <c r="C561" s="401"/>
      <c r="D561" s="401"/>
      <c r="E561" s="401"/>
      <c r="F561" s="401"/>
      <c r="G561" s="417"/>
    </row>
    <row r="562" spans="1:9" ht="12.75" customHeight="1">
      <c r="A562" s="406"/>
      <c r="B562" s="401"/>
      <c r="C562" s="401"/>
      <c r="D562" s="401"/>
      <c r="E562" s="401"/>
      <c r="F562" s="401"/>
      <c r="G562" s="417"/>
    </row>
    <row r="563" spans="1:9" ht="12.75" customHeight="1">
      <c r="A563" s="406"/>
      <c r="B563" s="401"/>
      <c r="C563" s="401"/>
      <c r="D563" s="401"/>
      <c r="E563" s="401"/>
      <c r="F563" s="401"/>
      <c r="G563" s="417"/>
    </row>
    <row r="564" spans="1:9" ht="12.75" customHeight="1">
      <c r="A564" s="406"/>
      <c r="B564" s="401"/>
      <c r="C564" s="401"/>
      <c r="D564" s="401"/>
      <c r="E564" s="401"/>
      <c r="F564" s="401"/>
      <c r="G564" s="417"/>
    </row>
    <row r="565" spans="1:9" ht="12.75" customHeight="1">
      <c r="A565" s="406"/>
      <c r="B565" s="401"/>
      <c r="C565" s="401"/>
      <c r="D565" s="401"/>
      <c r="E565" s="401"/>
      <c r="F565" s="401" t="s">
        <v>189</v>
      </c>
      <c r="G565" s="417">
        <f t="shared" si="5"/>
        <v>27021.952380987001</v>
      </c>
    </row>
    <row r="566" spans="1:9" ht="12.75" customHeight="1">
      <c r="A566" s="406"/>
      <c r="B566" s="401"/>
      <c r="C566" s="401"/>
      <c r="D566" s="401"/>
      <c r="E566" s="401"/>
      <c r="F566" s="401"/>
      <c r="G566" s="417"/>
    </row>
    <row r="567" spans="1:9" ht="12.75" customHeight="1">
      <c r="A567" s="406" t="s">
        <v>209</v>
      </c>
      <c r="B567" s="401"/>
      <c r="C567" s="401" t="s">
        <v>210</v>
      </c>
      <c r="D567" s="471" t="s">
        <v>211</v>
      </c>
      <c r="E567" s="472"/>
      <c r="F567" s="472"/>
      <c r="G567" s="417">
        <f t="shared" ref="G567:G827" si="33">G541+G550+G556+G565</f>
        <v>39694.000000036351</v>
      </c>
      <c r="I567">
        <v>51602.2</v>
      </c>
    </row>
    <row r="568" spans="1:9" ht="12.75" customHeight="1">
      <c r="A568" s="406"/>
      <c r="B568" s="401"/>
      <c r="C568" s="401"/>
      <c r="D568" s="401"/>
      <c r="E568" s="401"/>
      <c r="F568" s="401"/>
      <c r="G568" s="417"/>
    </row>
    <row r="569" spans="1:9" ht="12.75" customHeight="1">
      <c r="A569" s="406"/>
      <c r="B569" s="401"/>
      <c r="C569" s="401"/>
      <c r="D569" s="401"/>
      <c r="E569" s="401" t="s">
        <v>212</v>
      </c>
      <c r="F569" s="401"/>
      <c r="G569" s="417">
        <f t="shared" si="7"/>
        <v>11908.200000010906</v>
      </c>
    </row>
    <row r="570" spans="1:9" ht="12.75" customHeight="1">
      <c r="A570" s="406"/>
      <c r="B570" s="401"/>
      <c r="C570" s="401"/>
      <c r="D570" s="401"/>
      <c r="E570" s="401"/>
      <c r="F570" s="401"/>
      <c r="G570" s="417"/>
    </row>
    <row r="571" spans="1:9" ht="12.75" customHeight="1" thickBot="1">
      <c r="A571" s="411" t="s">
        <v>213</v>
      </c>
      <c r="B571" s="412"/>
      <c r="C571" s="412"/>
      <c r="D571" s="469" t="s">
        <v>214</v>
      </c>
      <c r="E571" s="470"/>
      <c r="F571" s="470"/>
      <c r="G571" s="418">
        <f t="shared" si="8"/>
        <v>51602.200000047254</v>
      </c>
    </row>
    <row r="572" spans="1:9" ht="15" customHeight="1">
      <c r="A572" s="468" t="s">
        <v>174</v>
      </c>
      <c r="B572" s="457"/>
      <c r="C572" s="457"/>
      <c r="D572" s="457"/>
      <c r="E572" s="457"/>
      <c r="F572" s="457"/>
      <c r="G572" s="457"/>
    </row>
    <row r="573" spans="1:9" ht="15" customHeight="1" thickBot="1">
      <c r="A573" s="73"/>
      <c r="B573" s="73"/>
      <c r="C573" s="73"/>
      <c r="D573" s="73"/>
      <c r="E573" s="73"/>
      <c r="F573" s="73"/>
      <c r="G573" s="440"/>
    </row>
    <row r="574" spans="1:9" ht="12.75" customHeight="1">
      <c r="A574" s="404" t="s">
        <v>175</v>
      </c>
      <c r="B574" s="405"/>
      <c r="C574" s="405"/>
      <c r="D574" s="428"/>
      <c r="E574" s="428"/>
      <c r="F574" s="428"/>
      <c r="G574" s="429"/>
    </row>
    <row r="575" spans="1:9" ht="12.75" customHeight="1">
      <c r="A575" s="406" t="str">
        <f>+A4</f>
        <v xml:space="preserve">OBRA N° Conducción - Red de Distribución  </v>
      </c>
      <c r="B575" s="401"/>
      <c r="C575" s="401"/>
      <c r="D575" s="401"/>
      <c r="E575" s="195"/>
      <c r="F575" s="402" t="s">
        <v>177</v>
      </c>
      <c r="G575" s="430">
        <f t="shared" ca="1" si="0"/>
        <v>46289</v>
      </c>
    </row>
    <row r="576" spans="1:9" ht="12.75" customHeight="1">
      <c r="A576" s="406"/>
      <c r="B576" s="426"/>
      <c r="C576" s="426"/>
      <c r="D576" s="426"/>
      <c r="E576" s="426"/>
      <c r="F576" s="426"/>
      <c r="G576" s="431"/>
    </row>
    <row r="577" spans="1:7" ht="12.75" customHeight="1">
      <c r="A577" s="406"/>
      <c r="B577" s="426"/>
      <c r="C577" s="426"/>
      <c r="D577" s="426"/>
      <c r="E577" s="426"/>
      <c r="F577" s="426"/>
      <c r="G577" s="431"/>
    </row>
    <row r="578" spans="1:7" ht="12.75" customHeight="1">
      <c r="A578" s="406" t="s">
        <v>265</v>
      </c>
      <c r="B578" s="401" t="s">
        <v>520</v>
      </c>
      <c r="C578" s="401"/>
      <c r="D578" s="401"/>
      <c r="E578" s="401"/>
      <c r="F578" s="401"/>
      <c r="G578" s="417"/>
    </row>
    <row r="579" spans="1:7" ht="12.75" customHeight="1">
      <c r="A579" s="406"/>
      <c r="B579" s="401"/>
      <c r="C579" s="401" t="s">
        <v>179</v>
      </c>
      <c r="D579" s="169">
        <v>10</v>
      </c>
      <c r="E579" s="401" t="s">
        <v>180</v>
      </c>
      <c r="F579" s="401" t="s">
        <v>262</v>
      </c>
      <c r="G579" s="417"/>
    </row>
    <row r="580" spans="1:7" ht="12.75" customHeight="1">
      <c r="A580" s="406" t="s">
        <v>182</v>
      </c>
      <c r="B580" s="401"/>
      <c r="C580" s="401"/>
      <c r="D580" s="401"/>
      <c r="E580" s="401"/>
      <c r="F580" s="401"/>
      <c r="G580" s="417"/>
    </row>
    <row r="581" spans="1:7" ht="12.75" customHeight="1">
      <c r="A581" s="408" t="s">
        <v>111</v>
      </c>
      <c r="B581" s="169" t="s">
        <v>183</v>
      </c>
      <c r="C581" s="169" t="s">
        <v>184</v>
      </c>
      <c r="D581" s="169" t="s">
        <v>185</v>
      </c>
      <c r="E581" s="169" t="s">
        <v>186</v>
      </c>
      <c r="F581" s="401"/>
      <c r="G581" s="417"/>
    </row>
    <row r="582" spans="1:7" ht="12.75" customHeight="1">
      <c r="A582" s="406" t="s">
        <v>187</v>
      </c>
      <c r="B582" s="401"/>
      <c r="C582" s="401"/>
      <c r="D582" s="401"/>
      <c r="E582" s="403">
        <f t="shared" si="14"/>
        <v>1105.6633910060712</v>
      </c>
      <c r="F582" s="401"/>
      <c r="G582" s="417"/>
    </row>
    <row r="583" spans="1:7" ht="12.75" customHeight="1">
      <c r="A583" s="406"/>
      <c r="B583" s="401"/>
      <c r="C583" s="401"/>
      <c r="D583" s="401"/>
      <c r="E583" s="401"/>
      <c r="F583" s="401"/>
      <c r="G583" s="417"/>
    </row>
    <row r="584" spans="1:7" ht="12.75" customHeight="1">
      <c r="A584" s="406"/>
      <c r="B584" s="401"/>
      <c r="C584" s="401"/>
      <c r="D584" s="401"/>
      <c r="E584" s="401"/>
      <c r="F584" s="401"/>
      <c r="G584" s="417"/>
    </row>
    <row r="585" spans="1:7" ht="12.75" customHeight="1">
      <c r="A585" s="406"/>
      <c r="B585" s="401"/>
      <c r="C585" s="401"/>
      <c r="D585" s="401"/>
      <c r="E585" s="401"/>
      <c r="F585" s="401" t="s">
        <v>189</v>
      </c>
      <c r="G585" s="417">
        <f t="shared" si="2"/>
        <v>1105.6633910060712</v>
      </c>
    </row>
    <row r="586" spans="1:7" ht="12.75" customHeight="1">
      <c r="A586" s="406" t="s">
        <v>191</v>
      </c>
      <c r="B586" s="401"/>
      <c r="C586" s="401"/>
      <c r="D586" s="401"/>
      <c r="E586" s="401"/>
      <c r="F586" s="401"/>
      <c r="G586" s="417"/>
    </row>
    <row r="587" spans="1:7" ht="12.75" customHeight="1">
      <c r="A587" s="408" t="s">
        <v>111</v>
      </c>
      <c r="B587" s="169" t="s">
        <v>193</v>
      </c>
      <c r="C587" s="169" t="s">
        <v>194</v>
      </c>
      <c r="D587" s="169" t="s">
        <v>195</v>
      </c>
      <c r="E587" s="169" t="s">
        <v>186</v>
      </c>
      <c r="F587" s="401"/>
      <c r="G587" s="417"/>
    </row>
    <row r="588" spans="1:7" ht="12.75" customHeight="1">
      <c r="A588" s="406" t="s">
        <v>521</v>
      </c>
      <c r="B588" s="169" t="s">
        <v>193</v>
      </c>
      <c r="C588" s="403">
        <f>5710*1.19</f>
        <v>6794.9</v>
      </c>
      <c r="D588" s="401">
        <v>1.05</v>
      </c>
      <c r="E588" s="403">
        <f t="shared" si="15"/>
        <v>7134.6449999999995</v>
      </c>
      <c r="F588" s="401"/>
      <c r="G588" s="417"/>
    </row>
    <row r="589" spans="1:7" ht="12.75" customHeight="1">
      <c r="A589" s="406" t="s">
        <v>285</v>
      </c>
      <c r="B589" s="169" t="s">
        <v>256</v>
      </c>
      <c r="C589" s="403">
        <v>1000</v>
      </c>
      <c r="D589" s="401">
        <v>1</v>
      </c>
      <c r="E589" s="403">
        <f t="shared" si="15"/>
        <v>1000</v>
      </c>
      <c r="F589" s="401"/>
      <c r="G589" s="417"/>
    </row>
    <row r="590" spans="1:7" ht="12.75" customHeight="1">
      <c r="A590" s="406"/>
      <c r="B590" s="401"/>
      <c r="C590" s="401"/>
      <c r="D590" s="401"/>
      <c r="E590" s="401"/>
      <c r="F590" s="401"/>
      <c r="G590" s="417"/>
    </row>
    <row r="591" spans="1:7" ht="12.75" customHeight="1">
      <c r="A591" s="406"/>
      <c r="B591" s="401"/>
      <c r="C591" s="401"/>
      <c r="D591" s="401"/>
      <c r="E591" s="401"/>
      <c r="F591" s="401"/>
      <c r="G591" s="417"/>
    </row>
    <row r="592" spans="1:7" ht="12.75" customHeight="1">
      <c r="A592" s="406"/>
      <c r="B592" s="401"/>
      <c r="C592" s="401"/>
      <c r="D592" s="401"/>
      <c r="E592" s="401"/>
      <c r="F592" s="401"/>
      <c r="G592" s="417"/>
    </row>
    <row r="593" spans="1:7" ht="12.75" customHeight="1">
      <c r="A593" s="406"/>
      <c r="B593" s="401"/>
      <c r="C593" s="401"/>
      <c r="D593" s="401"/>
      <c r="E593" s="401"/>
      <c r="F593" s="401" t="s">
        <v>189</v>
      </c>
      <c r="G593" s="417">
        <f t="shared" si="12"/>
        <v>8134.6449999999995</v>
      </c>
    </row>
    <row r="594" spans="1:7" ht="12.75" customHeight="1">
      <c r="A594" s="406" t="s">
        <v>197</v>
      </c>
      <c r="B594" s="401"/>
      <c r="C594" s="401"/>
      <c r="D594" s="401"/>
      <c r="E594" s="401"/>
      <c r="F594" s="401"/>
      <c r="G594" s="417"/>
    </row>
    <row r="595" spans="1:7" ht="12.75" customHeight="1">
      <c r="A595" s="408" t="s">
        <v>198</v>
      </c>
      <c r="B595" s="169" t="s">
        <v>199</v>
      </c>
      <c r="C595" s="169" t="s">
        <v>200</v>
      </c>
      <c r="D595" s="169" t="s">
        <v>201</v>
      </c>
      <c r="E595" s="169" t="s">
        <v>186</v>
      </c>
      <c r="F595" s="401"/>
      <c r="G595" s="417"/>
    </row>
    <row r="596" spans="1:7" ht="12.75" customHeight="1">
      <c r="A596" s="406" t="s">
        <v>232</v>
      </c>
      <c r="B596" s="401"/>
      <c r="C596" s="401"/>
      <c r="D596" s="401"/>
      <c r="E596" s="401"/>
      <c r="F596" s="401"/>
      <c r="G596" s="417"/>
    </row>
    <row r="597" spans="1:7" ht="12.75" customHeight="1">
      <c r="A597" s="406"/>
      <c r="B597" s="401"/>
      <c r="C597" s="401"/>
      <c r="D597" s="401"/>
      <c r="E597" s="401"/>
      <c r="F597" s="401"/>
      <c r="G597" s="417"/>
    </row>
    <row r="598" spans="1:7" ht="12.75" customHeight="1">
      <c r="A598" s="406"/>
      <c r="B598" s="401"/>
      <c r="C598" s="401"/>
      <c r="D598" s="401"/>
      <c r="E598" s="401"/>
      <c r="F598" s="401"/>
      <c r="G598" s="417"/>
    </row>
    <row r="599" spans="1:7" ht="12.75" customHeight="1">
      <c r="A599" s="406"/>
      <c r="B599" s="401"/>
      <c r="C599" s="401"/>
      <c r="D599" s="401"/>
      <c r="E599" s="401"/>
      <c r="F599" s="401"/>
      <c r="G599" s="417"/>
    </row>
    <row r="600" spans="1:7" ht="12.75" customHeight="1">
      <c r="A600" s="406"/>
      <c r="B600" s="401"/>
      <c r="C600" s="401"/>
      <c r="D600" s="401"/>
      <c r="E600" s="401"/>
      <c r="F600" s="401" t="s">
        <v>189</v>
      </c>
      <c r="G600" s="417">
        <f t="shared" si="11"/>
        <v>0</v>
      </c>
    </row>
    <row r="601" spans="1:7" ht="12.75" customHeight="1">
      <c r="A601" s="406" t="s">
        <v>202</v>
      </c>
      <c r="B601" s="401"/>
      <c r="C601" s="401"/>
      <c r="D601" s="401"/>
      <c r="E601" s="401"/>
      <c r="F601" s="401"/>
      <c r="G601" s="417"/>
    </row>
    <row r="602" spans="1:7" ht="12.75" customHeight="1">
      <c r="A602" s="408" t="s">
        <v>203</v>
      </c>
      <c r="B602" s="169" t="s">
        <v>204</v>
      </c>
      <c r="C602" s="169" t="s">
        <v>205</v>
      </c>
      <c r="D602" s="169" t="s">
        <v>206</v>
      </c>
      <c r="E602" s="169" t="s">
        <v>207</v>
      </c>
      <c r="F602" s="169" t="s">
        <v>208</v>
      </c>
      <c r="G602" s="417"/>
    </row>
    <row r="603" spans="1:7" ht="12.75" customHeight="1">
      <c r="A603" s="406" t="s">
        <v>188</v>
      </c>
      <c r="B603" s="401">
        <f t="shared" ref="B603:B604" si="34">+B164</f>
        <v>150000</v>
      </c>
      <c r="C603" s="401">
        <f t="shared" si="13"/>
        <v>112500</v>
      </c>
      <c r="D603" s="401">
        <f t="shared" si="3"/>
        <v>262500</v>
      </c>
      <c r="E603" s="401">
        <v>21</v>
      </c>
      <c r="F603" s="403">
        <f t="shared" si="4"/>
        <v>12500</v>
      </c>
      <c r="G603" s="417"/>
    </row>
    <row r="604" spans="1:7" ht="12.75" customHeight="1">
      <c r="A604" s="406" t="s">
        <v>190</v>
      </c>
      <c r="B604" s="401">
        <f t="shared" si="34"/>
        <v>100000</v>
      </c>
      <c r="C604" s="403">
        <f t="shared" si="13"/>
        <v>75000</v>
      </c>
      <c r="D604" s="403">
        <f t="shared" si="3"/>
        <v>175000</v>
      </c>
      <c r="E604" s="403">
        <v>18.204007552323624</v>
      </c>
      <c r="F604" s="403">
        <f t="shared" si="4"/>
        <v>9613.2678201214203</v>
      </c>
      <c r="G604" s="417"/>
    </row>
    <row r="605" spans="1:7" ht="12.75" customHeight="1">
      <c r="A605" s="406"/>
      <c r="B605" s="401"/>
      <c r="C605" s="401"/>
      <c r="D605" s="401"/>
      <c r="E605" s="401"/>
      <c r="F605" s="401"/>
      <c r="G605" s="417"/>
    </row>
    <row r="606" spans="1:7" ht="12.75" customHeight="1">
      <c r="A606" s="406"/>
      <c r="B606" s="401"/>
      <c r="C606" s="401"/>
      <c r="D606" s="401"/>
      <c r="E606" s="401"/>
      <c r="F606" s="401"/>
      <c r="G606" s="417"/>
    </row>
    <row r="607" spans="1:7" ht="12.75" customHeight="1">
      <c r="A607" s="406"/>
      <c r="B607" s="401"/>
      <c r="C607" s="401"/>
      <c r="D607" s="401"/>
      <c r="E607" s="401"/>
      <c r="F607" s="401"/>
      <c r="G607" s="417"/>
    </row>
    <row r="608" spans="1:7" ht="12.75" customHeight="1">
      <c r="A608" s="406"/>
      <c r="B608" s="401"/>
      <c r="C608" s="401"/>
      <c r="D608" s="401"/>
      <c r="E608" s="401"/>
      <c r="F608" s="401"/>
      <c r="G608" s="417"/>
    </row>
    <row r="609" spans="1:9" ht="12.75" customHeight="1">
      <c r="A609" s="406"/>
      <c r="B609" s="401"/>
      <c r="C609" s="401"/>
      <c r="D609" s="401"/>
      <c r="E609" s="401"/>
      <c r="F609" s="401" t="s">
        <v>189</v>
      </c>
      <c r="G609" s="417">
        <f t="shared" si="5"/>
        <v>22113.267820121422</v>
      </c>
    </row>
    <row r="610" spans="1:9" ht="12.75" customHeight="1">
      <c r="A610" s="406"/>
      <c r="B610" s="401"/>
      <c r="C610" s="401"/>
      <c r="D610" s="401"/>
      <c r="E610" s="401"/>
      <c r="F610" s="401"/>
      <c r="G610" s="417"/>
    </row>
    <row r="611" spans="1:9" ht="12.75" customHeight="1">
      <c r="A611" s="406" t="s">
        <v>209</v>
      </c>
      <c r="B611" s="401"/>
      <c r="C611" s="401" t="s">
        <v>210</v>
      </c>
      <c r="D611" s="471" t="s">
        <v>211</v>
      </c>
      <c r="E611" s="472"/>
      <c r="F611" s="472"/>
      <c r="G611" s="417">
        <f t="shared" si="16"/>
        <v>31353.576211127493</v>
      </c>
      <c r="I611">
        <v>40759.65</v>
      </c>
    </row>
    <row r="612" spans="1:9" ht="12.75" customHeight="1">
      <c r="A612" s="406"/>
      <c r="B612" s="401"/>
      <c r="C612" s="401"/>
      <c r="D612" s="401"/>
      <c r="E612" s="401"/>
      <c r="F612" s="401"/>
      <c r="G612" s="417"/>
    </row>
    <row r="613" spans="1:9" ht="12.75" customHeight="1">
      <c r="A613" s="406"/>
      <c r="B613" s="401"/>
      <c r="C613" s="401"/>
      <c r="D613" s="401"/>
      <c r="E613" s="401" t="s">
        <v>212</v>
      </c>
      <c r="F613" s="401"/>
      <c r="G613" s="417">
        <f t="shared" si="7"/>
        <v>9406.0728633382478</v>
      </c>
    </row>
    <row r="614" spans="1:9" ht="12.75" customHeight="1">
      <c r="A614" s="406"/>
      <c r="B614" s="401"/>
      <c r="C614" s="401"/>
      <c r="D614" s="401"/>
      <c r="E614" s="401"/>
      <c r="F614" s="401"/>
      <c r="G614" s="417"/>
    </row>
    <row r="615" spans="1:9" ht="12.75" customHeight="1" thickBot="1">
      <c r="A615" s="411" t="s">
        <v>213</v>
      </c>
      <c r="B615" s="412"/>
      <c r="C615" s="412"/>
      <c r="D615" s="469" t="s">
        <v>214</v>
      </c>
      <c r="E615" s="470"/>
      <c r="F615" s="470"/>
      <c r="G615" s="418">
        <f t="shared" si="8"/>
        <v>40759.649074465742</v>
      </c>
    </row>
    <row r="616" spans="1:9" ht="17.25" customHeight="1">
      <c r="A616" s="468" t="s">
        <v>174</v>
      </c>
      <c r="B616" s="457"/>
      <c r="C616" s="457"/>
      <c r="D616" s="457"/>
      <c r="E616" s="457"/>
      <c r="F616" s="457"/>
      <c r="G616" s="457"/>
    </row>
    <row r="617" spans="1:9" ht="15" customHeight="1" thickBot="1">
      <c r="A617" s="73"/>
      <c r="B617" s="73"/>
      <c r="C617" s="73"/>
      <c r="D617" s="73"/>
      <c r="E617" s="73"/>
      <c r="F617" s="73"/>
      <c r="G617" s="440"/>
    </row>
    <row r="618" spans="1:9" ht="12.75" customHeight="1">
      <c r="A618" s="404" t="s">
        <v>175</v>
      </c>
      <c r="B618" s="405"/>
      <c r="C618" s="405"/>
      <c r="D618" s="428"/>
      <c r="E618" s="428"/>
      <c r="F618" s="428"/>
      <c r="G618" s="429"/>
    </row>
    <row r="619" spans="1:9" ht="12.75" customHeight="1">
      <c r="A619" s="406" t="str">
        <f>+A4</f>
        <v xml:space="preserve">OBRA N° Conducción - Red de Distribución  </v>
      </c>
      <c r="B619" s="401"/>
      <c r="C619" s="401"/>
      <c r="D619" s="401"/>
      <c r="E619" s="195"/>
      <c r="F619" s="402" t="s">
        <v>177</v>
      </c>
      <c r="G619" s="430">
        <f t="shared" ca="1" si="0"/>
        <v>46289</v>
      </c>
    </row>
    <row r="620" spans="1:9" ht="12.75" customHeight="1">
      <c r="A620" s="406"/>
      <c r="B620" s="426"/>
      <c r="C620" s="426"/>
      <c r="D620" s="426"/>
      <c r="E620" s="426"/>
      <c r="F620" s="426"/>
      <c r="G620" s="431"/>
    </row>
    <row r="621" spans="1:9" ht="12.75" customHeight="1">
      <c r="A621" s="406" t="s">
        <v>522</v>
      </c>
      <c r="B621" s="401" t="s">
        <v>523</v>
      </c>
      <c r="C621" s="401"/>
      <c r="D621" s="401"/>
      <c r="E621" s="401"/>
      <c r="F621" s="401"/>
      <c r="G621" s="417"/>
    </row>
    <row r="622" spans="1:9" ht="12.75" customHeight="1">
      <c r="A622" s="406"/>
      <c r="B622" s="401"/>
      <c r="C622" s="401" t="s">
        <v>179</v>
      </c>
      <c r="D622" s="169">
        <v>6</v>
      </c>
      <c r="E622" s="401" t="s">
        <v>180</v>
      </c>
      <c r="F622" s="401" t="s">
        <v>262</v>
      </c>
      <c r="G622" s="417"/>
    </row>
    <row r="623" spans="1:9" ht="12.75" customHeight="1">
      <c r="A623" s="406" t="s">
        <v>182</v>
      </c>
      <c r="B623" s="401"/>
      <c r="C623" s="401"/>
      <c r="D623" s="401"/>
      <c r="E623" s="401"/>
      <c r="F623" s="401"/>
      <c r="G623" s="417"/>
    </row>
    <row r="624" spans="1:9" ht="12.75" customHeight="1">
      <c r="A624" s="408" t="s">
        <v>111</v>
      </c>
      <c r="B624" s="169" t="s">
        <v>183</v>
      </c>
      <c r="C624" s="169" t="s">
        <v>184</v>
      </c>
      <c r="D624" s="169" t="s">
        <v>185</v>
      </c>
      <c r="E624" s="169" t="s">
        <v>186</v>
      </c>
      <c r="F624" s="401"/>
      <c r="G624" s="417"/>
    </row>
    <row r="625" spans="1:7" ht="12.75" customHeight="1">
      <c r="A625" s="406" t="s">
        <v>187</v>
      </c>
      <c r="B625" s="401"/>
      <c r="C625" s="401"/>
      <c r="D625" s="401"/>
      <c r="E625" s="403">
        <f t="shared" si="14"/>
        <v>1392.5093335001129</v>
      </c>
      <c r="F625" s="401"/>
      <c r="G625" s="417"/>
    </row>
    <row r="626" spans="1:7" ht="12.75" customHeight="1">
      <c r="A626" s="406"/>
      <c r="B626" s="401"/>
      <c r="C626" s="401"/>
      <c r="D626" s="401"/>
      <c r="E626" s="401"/>
      <c r="F626" s="401"/>
      <c r="G626" s="417"/>
    </row>
    <row r="627" spans="1:7" ht="12.75" customHeight="1">
      <c r="A627" s="406"/>
      <c r="B627" s="401"/>
      <c r="C627" s="401"/>
      <c r="D627" s="401"/>
      <c r="E627" s="401"/>
      <c r="F627" s="401"/>
      <c r="G627" s="417"/>
    </row>
    <row r="628" spans="1:7" ht="12.75" customHeight="1">
      <c r="A628" s="406"/>
      <c r="B628" s="401"/>
      <c r="C628" s="401"/>
      <c r="D628" s="401"/>
      <c r="E628" s="401"/>
      <c r="F628" s="401" t="s">
        <v>189</v>
      </c>
      <c r="G628" s="417">
        <f t="shared" si="2"/>
        <v>1392.5093335001129</v>
      </c>
    </row>
    <row r="629" spans="1:7" ht="12.75" customHeight="1">
      <c r="A629" s="406" t="s">
        <v>191</v>
      </c>
      <c r="B629" s="401"/>
      <c r="C629" s="401"/>
      <c r="D629" s="401"/>
      <c r="E629" s="401"/>
      <c r="F629" s="401"/>
      <c r="G629" s="417"/>
    </row>
    <row r="630" spans="1:7" ht="12.75" customHeight="1">
      <c r="A630" s="408" t="s">
        <v>111</v>
      </c>
      <c r="B630" s="169" t="s">
        <v>193</v>
      </c>
      <c r="C630" s="169" t="s">
        <v>194</v>
      </c>
      <c r="D630" s="169" t="s">
        <v>195</v>
      </c>
      <c r="E630" s="169" t="s">
        <v>186</v>
      </c>
      <c r="F630" s="401"/>
      <c r="G630" s="417"/>
    </row>
    <row r="631" spans="1:7" ht="12.75" customHeight="1">
      <c r="A631" s="406" t="s">
        <v>524</v>
      </c>
      <c r="B631" s="169" t="s">
        <v>193</v>
      </c>
      <c r="C631" s="403">
        <f>33392*1.19</f>
        <v>39736.479999999996</v>
      </c>
      <c r="D631" s="401">
        <v>1.05</v>
      </c>
      <c r="E631" s="403">
        <f t="shared" si="15"/>
        <v>41723.303999999996</v>
      </c>
      <c r="F631" s="401"/>
      <c r="G631" s="417"/>
    </row>
    <row r="632" spans="1:7" ht="12.75" customHeight="1">
      <c r="A632" s="406" t="s">
        <v>325</v>
      </c>
      <c r="B632" s="169" t="s">
        <v>256</v>
      </c>
      <c r="C632" s="403">
        <v>1350</v>
      </c>
      <c r="D632" s="401">
        <v>1</v>
      </c>
      <c r="E632" s="403">
        <f t="shared" si="15"/>
        <v>1350</v>
      </c>
      <c r="F632" s="401"/>
      <c r="G632" s="417"/>
    </row>
    <row r="633" spans="1:7" ht="12.75" customHeight="1">
      <c r="A633" s="406"/>
      <c r="B633" s="401"/>
      <c r="C633" s="401"/>
      <c r="D633" s="401"/>
      <c r="E633" s="401"/>
      <c r="F633" s="401"/>
      <c r="G633" s="417"/>
    </row>
    <row r="634" spans="1:7" ht="12.75" customHeight="1">
      <c r="A634" s="406"/>
      <c r="B634" s="401"/>
      <c r="C634" s="401"/>
      <c r="D634" s="401"/>
      <c r="E634" s="401"/>
      <c r="F634" s="401"/>
      <c r="G634" s="417"/>
    </row>
    <row r="635" spans="1:7" ht="12.75" customHeight="1">
      <c r="A635" s="406"/>
      <c r="B635" s="401"/>
      <c r="C635" s="401"/>
      <c r="D635" s="401"/>
      <c r="E635" s="401"/>
      <c r="F635" s="401"/>
      <c r="G635" s="417"/>
    </row>
    <row r="636" spans="1:7" ht="12.75" customHeight="1">
      <c r="A636" s="406"/>
      <c r="B636" s="401"/>
      <c r="C636" s="401"/>
      <c r="D636" s="401"/>
      <c r="E636" s="401"/>
      <c r="F636" s="401"/>
      <c r="G636" s="417"/>
    </row>
    <row r="637" spans="1:7" ht="12.75" customHeight="1">
      <c r="A637" s="406"/>
      <c r="B637" s="401"/>
      <c r="C637" s="401"/>
      <c r="D637" s="401"/>
      <c r="E637" s="401"/>
      <c r="F637" s="401" t="s">
        <v>189</v>
      </c>
      <c r="G637" s="417">
        <f t="shared" si="10"/>
        <v>43073.303999999996</v>
      </c>
    </row>
    <row r="638" spans="1:7" ht="12.75" customHeight="1">
      <c r="A638" s="406" t="s">
        <v>197</v>
      </c>
      <c r="B638" s="401"/>
      <c r="C638" s="401"/>
      <c r="D638" s="401"/>
      <c r="E638" s="401"/>
      <c r="F638" s="401"/>
      <c r="G638" s="417"/>
    </row>
    <row r="639" spans="1:7" ht="12.75" customHeight="1">
      <c r="A639" s="408" t="s">
        <v>198</v>
      </c>
      <c r="B639" s="169" t="s">
        <v>199</v>
      </c>
      <c r="C639" s="169" t="s">
        <v>200</v>
      </c>
      <c r="D639" s="169" t="s">
        <v>201</v>
      </c>
      <c r="E639" s="169" t="s">
        <v>186</v>
      </c>
      <c r="F639" s="401"/>
      <c r="G639" s="417"/>
    </row>
    <row r="640" spans="1:7" ht="12.75" customHeight="1">
      <c r="A640" s="406" t="s">
        <v>232</v>
      </c>
      <c r="B640" s="401"/>
      <c r="C640" s="401"/>
      <c r="D640" s="401"/>
      <c r="E640" s="401"/>
      <c r="F640" s="401"/>
      <c r="G640" s="417"/>
    </row>
    <row r="641" spans="1:9" ht="12.75" customHeight="1">
      <c r="A641" s="406"/>
      <c r="B641" s="401"/>
      <c r="C641" s="401"/>
      <c r="D641" s="401"/>
      <c r="E641" s="401"/>
      <c r="F641" s="401"/>
      <c r="G641" s="417"/>
    </row>
    <row r="642" spans="1:9" ht="12.75" customHeight="1">
      <c r="A642" s="406"/>
      <c r="B642" s="401"/>
      <c r="C642" s="401"/>
      <c r="D642" s="401"/>
      <c r="E642" s="401"/>
      <c r="F642" s="401"/>
      <c r="G642" s="417"/>
    </row>
    <row r="643" spans="1:9" ht="12.75" customHeight="1">
      <c r="A643" s="406"/>
      <c r="B643" s="401"/>
      <c r="C643" s="401"/>
      <c r="D643" s="401"/>
      <c r="E643" s="401"/>
      <c r="F643" s="401"/>
      <c r="G643" s="417"/>
    </row>
    <row r="644" spans="1:9" ht="12.75" customHeight="1">
      <c r="A644" s="406"/>
      <c r="B644" s="401"/>
      <c r="C644" s="401"/>
      <c r="D644" s="401"/>
      <c r="E644" s="401"/>
      <c r="F644" s="401" t="s">
        <v>189</v>
      </c>
      <c r="G644" s="417">
        <f t="shared" si="11"/>
        <v>0</v>
      </c>
    </row>
    <row r="645" spans="1:9" ht="12.75" customHeight="1">
      <c r="A645" s="406" t="s">
        <v>202</v>
      </c>
      <c r="B645" s="401"/>
      <c r="C645" s="401"/>
      <c r="D645" s="401"/>
      <c r="E645" s="401"/>
      <c r="F645" s="401"/>
      <c r="G645" s="417"/>
    </row>
    <row r="646" spans="1:9" ht="12.75" customHeight="1">
      <c r="A646" s="408" t="s">
        <v>203</v>
      </c>
      <c r="B646" s="169" t="s">
        <v>204</v>
      </c>
      <c r="C646" s="169" t="s">
        <v>205</v>
      </c>
      <c r="D646" s="169" t="s">
        <v>206</v>
      </c>
      <c r="E646" s="169" t="s">
        <v>207</v>
      </c>
      <c r="F646" s="169" t="s">
        <v>208</v>
      </c>
      <c r="G646" s="417"/>
    </row>
    <row r="647" spans="1:9" ht="12.75" customHeight="1">
      <c r="A647" s="406" t="s">
        <v>188</v>
      </c>
      <c r="B647" s="401">
        <f t="shared" ref="B647:B648" si="35">+B164</f>
        <v>150000</v>
      </c>
      <c r="C647" s="401">
        <f t="shared" si="13"/>
        <v>112500</v>
      </c>
      <c r="D647" s="401">
        <f t="shared" si="3"/>
        <v>262500</v>
      </c>
      <c r="E647" s="401">
        <v>16</v>
      </c>
      <c r="F647" s="403">
        <f t="shared" si="4"/>
        <v>16406.25</v>
      </c>
      <c r="G647" s="417"/>
    </row>
    <row r="648" spans="1:9" ht="12.75" customHeight="1">
      <c r="A648" s="406" t="s">
        <v>190</v>
      </c>
      <c r="B648" s="401">
        <f t="shared" si="35"/>
        <v>100000</v>
      </c>
      <c r="C648" s="403">
        <f t="shared" si="13"/>
        <v>75000</v>
      </c>
      <c r="D648" s="403">
        <f t="shared" si="3"/>
        <v>175000</v>
      </c>
      <c r="E648" s="403">
        <v>15.291940618539398</v>
      </c>
      <c r="F648" s="403">
        <f t="shared" si="4"/>
        <v>11443.936670002257</v>
      </c>
      <c r="G648" s="417"/>
    </row>
    <row r="649" spans="1:9" ht="12.75" customHeight="1">
      <c r="A649" s="406"/>
      <c r="B649" s="401"/>
      <c r="C649" s="401"/>
      <c r="D649" s="401"/>
      <c r="E649" s="401"/>
      <c r="F649" s="401"/>
      <c r="G649" s="417"/>
    </row>
    <row r="650" spans="1:9" ht="12.75" customHeight="1">
      <c r="A650" s="406"/>
      <c r="B650" s="401"/>
      <c r="C650" s="401"/>
      <c r="D650" s="401"/>
      <c r="E650" s="401"/>
      <c r="F650" s="401"/>
      <c r="G650" s="417"/>
    </row>
    <row r="651" spans="1:9" ht="12.75" customHeight="1">
      <c r="A651" s="406"/>
      <c r="B651" s="401"/>
      <c r="C651" s="401"/>
      <c r="D651" s="401"/>
      <c r="E651" s="401"/>
      <c r="F651" s="401"/>
      <c r="G651" s="417"/>
    </row>
    <row r="652" spans="1:9" ht="12.75" customHeight="1">
      <c r="A652" s="406"/>
      <c r="B652" s="401"/>
      <c r="C652" s="401"/>
      <c r="D652" s="401"/>
      <c r="E652" s="401"/>
      <c r="F652" s="401" t="s">
        <v>189</v>
      </c>
      <c r="G652" s="417">
        <f t="shared" si="30"/>
        <v>27850.186670002258</v>
      </c>
    </row>
    <row r="653" spans="1:9" ht="12.75" customHeight="1">
      <c r="A653" s="406"/>
      <c r="B653" s="401"/>
      <c r="C653" s="401"/>
      <c r="D653" s="401"/>
      <c r="E653" s="401"/>
      <c r="F653" s="401"/>
      <c r="G653" s="417"/>
    </row>
    <row r="654" spans="1:9" ht="12.75" customHeight="1">
      <c r="A654" s="406" t="s">
        <v>209</v>
      </c>
      <c r="B654" s="401"/>
      <c r="C654" s="401" t="s">
        <v>210</v>
      </c>
      <c r="D654" s="471" t="s">
        <v>211</v>
      </c>
      <c r="E654" s="472"/>
      <c r="F654" s="472"/>
      <c r="G654" s="417">
        <f t="shared" si="31"/>
        <v>72316.00000350237</v>
      </c>
      <c r="I654">
        <v>94010.8</v>
      </c>
    </row>
    <row r="655" spans="1:9" ht="12.75" customHeight="1">
      <c r="A655" s="406"/>
      <c r="B655" s="401"/>
      <c r="C655" s="401"/>
      <c r="D655" s="401"/>
      <c r="E655" s="401"/>
      <c r="F655" s="401"/>
      <c r="G655" s="417"/>
    </row>
    <row r="656" spans="1:9" ht="12.75" customHeight="1">
      <c r="A656" s="406"/>
      <c r="B656" s="401"/>
      <c r="C656" s="401"/>
      <c r="D656" s="401"/>
      <c r="E656" s="401" t="s">
        <v>212</v>
      </c>
      <c r="F656" s="401"/>
      <c r="G656" s="417">
        <f t="shared" si="7"/>
        <v>21694.800001050709</v>
      </c>
    </row>
    <row r="657" spans="1:7" ht="12.75" customHeight="1">
      <c r="A657" s="406"/>
      <c r="B657" s="401"/>
      <c r="C657" s="401"/>
      <c r="D657" s="401"/>
      <c r="E657" s="401"/>
      <c r="F657" s="401"/>
      <c r="G657" s="417"/>
    </row>
    <row r="658" spans="1:7" ht="12.75" customHeight="1" thickBot="1">
      <c r="A658" s="411" t="s">
        <v>213</v>
      </c>
      <c r="B658" s="412"/>
      <c r="C658" s="412"/>
      <c r="D658" s="469" t="s">
        <v>214</v>
      </c>
      <c r="E658" s="470"/>
      <c r="F658" s="470"/>
      <c r="G658" s="418">
        <f t="shared" si="8"/>
        <v>94010.800004553079</v>
      </c>
    </row>
    <row r="659" spans="1:7" ht="15" customHeight="1">
      <c r="A659" s="468" t="s">
        <v>174</v>
      </c>
      <c r="B659" s="457"/>
      <c r="C659" s="457"/>
      <c r="D659" s="457"/>
      <c r="E659" s="457"/>
      <c r="F659" s="457"/>
      <c r="G659" s="457"/>
    </row>
    <row r="660" spans="1:7" ht="15" customHeight="1" thickBot="1">
      <c r="A660" s="73"/>
      <c r="B660" s="73"/>
      <c r="C660" s="73"/>
      <c r="D660" s="73"/>
      <c r="E660" s="73"/>
      <c r="F660" s="73"/>
      <c r="G660" s="440"/>
    </row>
    <row r="661" spans="1:7" ht="12.75" customHeight="1">
      <c r="A661" s="404" t="s">
        <v>175</v>
      </c>
      <c r="B661" s="405"/>
      <c r="C661" s="405"/>
      <c r="D661" s="428"/>
      <c r="E661" s="428"/>
      <c r="F661" s="428"/>
      <c r="G661" s="429"/>
    </row>
    <row r="662" spans="1:7" ht="12.75" customHeight="1">
      <c r="A662" s="406" t="str">
        <f>+A4</f>
        <v xml:space="preserve">OBRA N° Conducción - Red de Distribución  </v>
      </c>
      <c r="B662" s="401"/>
      <c r="C662" s="401"/>
      <c r="D662" s="401"/>
      <c r="E662" s="195"/>
      <c r="F662" s="402" t="s">
        <v>177</v>
      </c>
      <c r="G662" s="430">
        <f t="shared" ca="1" si="0"/>
        <v>46289</v>
      </c>
    </row>
    <row r="663" spans="1:7" ht="12.75" customHeight="1">
      <c r="A663" s="406"/>
      <c r="B663" s="426"/>
      <c r="C663" s="426"/>
      <c r="D663" s="426"/>
      <c r="E663" s="426"/>
      <c r="F663" s="426"/>
      <c r="G663" s="431"/>
    </row>
    <row r="664" spans="1:7" ht="12.75" customHeight="1">
      <c r="A664" s="406" t="s">
        <v>525</v>
      </c>
      <c r="B664" s="401" t="s">
        <v>526</v>
      </c>
      <c r="C664" s="401"/>
      <c r="D664" s="401"/>
      <c r="E664" s="401"/>
      <c r="F664" s="401"/>
      <c r="G664" s="417"/>
    </row>
    <row r="665" spans="1:7" ht="12.75" customHeight="1">
      <c r="A665" s="406"/>
      <c r="B665" s="401"/>
      <c r="C665" s="401" t="s">
        <v>179</v>
      </c>
      <c r="D665" s="169">
        <v>15</v>
      </c>
      <c r="E665" s="401" t="s">
        <v>180</v>
      </c>
      <c r="F665" s="401" t="s">
        <v>262</v>
      </c>
      <c r="G665" s="417"/>
    </row>
    <row r="666" spans="1:7" ht="12.75" customHeight="1">
      <c r="A666" s="406" t="s">
        <v>182</v>
      </c>
      <c r="B666" s="401"/>
      <c r="C666" s="401"/>
      <c r="D666" s="401"/>
      <c r="E666" s="401"/>
      <c r="F666" s="401"/>
      <c r="G666" s="417"/>
    </row>
    <row r="667" spans="1:7" ht="12.75" customHeight="1">
      <c r="A667" s="408" t="s">
        <v>111</v>
      </c>
      <c r="B667" s="169" t="s">
        <v>183</v>
      </c>
      <c r="C667" s="169" t="s">
        <v>184</v>
      </c>
      <c r="D667" s="169" t="s">
        <v>185</v>
      </c>
      <c r="E667" s="169" t="s">
        <v>186</v>
      </c>
      <c r="F667" s="401"/>
      <c r="G667" s="417"/>
    </row>
    <row r="668" spans="1:7" ht="12.75" customHeight="1">
      <c r="A668" s="406" t="s">
        <v>187</v>
      </c>
      <c r="B668" s="401"/>
      <c r="C668" s="401"/>
      <c r="D668" s="401"/>
      <c r="E668" s="403">
        <f t="shared" si="14"/>
        <v>2252.7145366196542</v>
      </c>
      <c r="F668" s="401"/>
      <c r="G668" s="417"/>
    </row>
    <row r="669" spans="1:7" ht="12.75" customHeight="1">
      <c r="A669" s="406"/>
      <c r="B669" s="401"/>
      <c r="C669" s="401"/>
      <c r="D669" s="401"/>
      <c r="E669" s="401"/>
      <c r="F669" s="401"/>
      <c r="G669" s="417"/>
    </row>
    <row r="670" spans="1:7" ht="12.75" customHeight="1">
      <c r="A670" s="406"/>
      <c r="B670" s="401"/>
      <c r="C670" s="401"/>
      <c r="D670" s="401"/>
      <c r="E670" s="401"/>
      <c r="F670" s="401"/>
      <c r="G670" s="417"/>
    </row>
    <row r="671" spans="1:7" ht="12.75" customHeight="1">
      <c r="A671" s="406"/>
      <c r="B671" s="401"/>
      <c r="C671" s="401"/>
      <c r="D671" s="401"/>
      <c r="E671" s="401"/>
      <c r="F671" s="401" t="s">
        <v>189</v>
      </c>
      <c r="G671" s="417">
        <f t="shared" si="2"/>
        <v>2252.7145366196542</v>
      </c>
    </row>
    <row r="672" spans="1:7" ht="12.75" customHeight="1">
      <c r="A672" s="406" t="s">
        <v>191</v>
      </c>
      <c r="B672" s="401"/>
      <c r="C672" s="401"/>
      <c r="D672" s="401"/>
      <c r="E672" s="401"/>
      <c r="F672" s="401"/>
      <c r="G672" s="417"/>
    </row>
    <row r="673" spans="1:7" ht="12.75" customHeight="1">
      <c r="A673" s="408" t="s">
        <v>111</v>
      </c>
      <c r="B673" s="169" t="s">
        <v>193</v>
      </c>
      <c r="C673" s="169" t="s">
        <v>194</v>
      </c>
      <c r="D673" s="169" t="s">
        <v>195</v>
      </c>
      <c r="E673" s="169" t="s">
        <v>186</v>
      </c>
      <c r="F673" s="401"/>
      <c r="G673" s="417"/>
    </row>
    <row r="674" spans="1:7" ht="12.75" customHeight="1">
      <c r="A674" s="406" t="s">
        <v>527</v>
      </c>
      <c r="B674" s="169" t="s">
        <v>193</v>
      </c>
      <c r="C674" s="403">
        <f>19010*1.19</f>
        <v>22621.899999999998</v>
      </c>
      <c r="D674" s="401">
        <v>1.05</v>
      </c>
      <c r="E674" s="403">
        <f t="shared" si="15"/>
        <v>23752.994999999999</v>
      </c>
      <c r="F674" s="401"/>
      <c r="G674" s="417"/>
    </row>
    <row r="675" spans="1:7" ht="12.75" customHeight="1">
      <c r="A675" s="406"/>
      <c r="B675" s="169"/>
      <c r="C675" s="403"/>
      <c r="D675" s="401"/>
      <c r="E675" s="403"/>
      <c r="F675" s="401"/>
      <c r="G675" s="417"/>
    </row>
    <row r="676" spans="1:7" ht="12.75" customHeight="1">
      <c r="A676" s="406"/>
      <c r="B676" s="401"/>
      <c r="C676" s="401"/>
      <c r="D676" s="401"/>
      <c r="E676" s="401"/>
      <c r="F676" s="401"/>
      <c r="G676" s="417"/>
    </row>
    <row r="677" spans="1:7" ht="12.75" customHeight="1">
      <c r="A677" s="406"/>
      <c r="B677" s="401"/>
      <c r="C677" s="401"/>
      <c r="D677" s="401"/>
      <c r="E677" s="401"/>
      <c r="F677" s="401"/>
      <c r="G677" s="417"/>
    </row>
    <row r="678" spans="1:7" ht="12.75" customHeight="1">
      <c r="A678" s="406"/>
      <c r="B678" s="401"/>
      <c r="C678" s="401"/>
      <c r="D678" s="401"/>
      <c r="E678" s="401"/>
      <c r="F678" s="401"/>
      <c r="G678" s="417"/>
    </row>
    <row r="679" spans="1:7" ht="12.75" customHeight="1">
      <c r="A679" s="406"/>
      <c r="B679" s="401"/>
      <c r="C679" s="401"/>
      <c r="D679" s="401"/>
      <c r="E679" s="401"/>
      <c r="F679" s="401"/>
      <c r="G679" s="417"/>
    </row>
    <row r="680" spans="1:7" ht="12.75" customHeight="1">
      <c r="A680" s="406"/>
      <c r="B680" s="401"/>
      <c r="C680" s="401"/>
      <c r="D680" s="401"/>
      <c r="E680" s="401"/>
      <c r="F680" s="401" t="s">
        <v>189</v>
      </c>
      <c r="G680" s="417">
        <f t="shared" si="10"/>
        <v>23752.994999999999</v>
      </c>
    </row>
    <row r="681" spans="1:7" ht="12.75" customHeight="1">
      <c r="A681" s="406" t="s">
        <v>197</v>
      </c>
      <c r="B681" s="401"/>
      <c r="C681" s="401"/>
      <c r="D681" s="401"/>
      <c r="E681" s="401"/>
      <c r="F681" s="401"/>
      <c r="G681" s="417"/>
    </row>
    <row r="682" spans="1:7" ht="12.75" customHeight="1">
      <c r="A682" s="408" t="s">
        <v>198</v>
      </c>
      <c r="B682" s="169" t="s">
        <v>199</v>
      </c>
      <c r="C682" s="169" t="s">
        <v>200</v>
      </c>
      <c r="D682" s="169" t="s">
        <v>201</v>
      </c>
      <c r="E682" s="169" t="s">
        <v>186</v>
      </c>
      <c r="F682" s="401"/>
      <c r="G682" s="417"/>
    </row>
    <row r="683" spans="1:7" ht="12.75" customHeight="1">
      <c r="A683" s="406" t="s">
        <v>232</v>
      </c>
      <c r="B683" s="401"/>
      <c r="C683" s="401"/>
      <c r="D683" s="401"/>
      <c r="E683" s="401"/>
      <c r="F683" s="401"/>
      <c r="G683" s="417"/>
    </row>
    <row r="684" spans="1:7" ht="12.75" customHeight="1">
      <c r="A684" s="406"/>
      <c r="B684" s="401"/>
      <c r="C684" s="401"/>
      <c r="D684" s="401"/>
      <c r="E684" s="401"/>
      <c r="F684" s="401"/>
      <c r="G684" s="417"/>
    </row>
    <row r="685" spans="1:7" ht="12.75" customHeight="1">
      <c r="A685" s="406"/>
      <c r="B685" s="401"/>
      <c r="C685" s="401"/>
      <c r="D685" s="401"/>
      <c r="E685" s="401"/>
      <c r="F685" s="401"/>
      <c r="G685" s="417"/>
    </row>
    <row r="686" spans="1:7" ht="12.75" customHeight="1">
      <c r="A686" s="406"/>
      <c r="B686" s="401"/>
      <c r="C686" s="401"/>
      <c r="D686" s="401"/>
      <c r="E686" s="401"/>
      <c r="F686" s="401"/>
      <c r="G686" s="417"/>
    </row>
    <row r="687" spans="1:7" ht="12.75" customHeight="1">
      <c r="A687" s="406"/>
      <c r="B687" s="401"/>
      <c r="C687" s="401"/>
      <c r="D687" s="401"/>
      <c r="E687" s="401"/>
      <c r="F687" s="401" t="s">
        <v>189</v>
      </c>
      <c r="G687" s="417">
        <f t="shared" si="11"/>
        <v>0</v>
      </c>
    </row>
    <row r="688" spans="1:7" ht="12.75" customHeight="1">
      <c r="A688" s="406" t="s">
        <v>202</v>
      </c>
      <c r="B688" s="401"/>
      <c r="C688" s="401"/>
      <c r="D688" s="401"/>
      <c r="E688" s="401"/>
      <c r="F688" s="401"/>
      <c r="G688" s="417"/>
    </row>
    <row r="689" spans="1:9" ht="12.75" customHeight="1">
      <c r="A689" s="408" t="s">
        <v>203</v>
      </c>
      <c r="B689" s="169" t="s">
        <v>204</v>
      </c>
      <c r="C689" s="169" t="s">
        <v>205</v>
      </c>
      <c r="D689" s="169" t="s">
        <v>206</v>
      </c>
      <c r="E689" s="169" t="s">
        <v>207</v>
      </c>
      <c r="F689" s="169" t="s">
        <v>208</v>
      </c>
      <c r="G689" s="417"/>
    </row>
    <row r="690" spans="1:9" ht="12.75" customHeight="1">
      <c r="A690" s="406" t="s">
        <v>188</v>
      </c>
      <c r="B690" s="401">
        <f t="shared" ref="B690:B691" si="36">+B164</f>
        <v>150000</v>
      </c>
      <c r="C690" s="401">
        <f t="shared" si="13"/>
        <v>112500</v>
      </c>
      <c r="D690" s="401">
        <f t="shared" si="3"/>
        <v>262500</v>
      </c>
      <c r="E690" s="401">
        <v>10</v>
      </c>
      <c r="F690" s="403">
        <f t="shared" si="4"/>
        <v>26250</v>
      </c>
      <c r="G690" s="417"/>
    </row>
    <row r="691" spans="1:9" ht="12.75" customHeight="1">
      <c r="A691" s="406" t="s">
        <v>190</v>
      </c>
      <c r="B691" s="401">
        <f t="shared" si="36"/>
        <v>100000</v>
      </c>
      <c r="C691" s="403">
        <f t="shared" si="13"/>
        <v>75000</v>
      </c>
      <c r="D691" s="403">
        <f t="shared" si="3"/>
        <v>175000</v>
      </c>
      <c r="E691" s="403">
        <v>9.3063866375208413</v>
      </c>
      <c r="F691" s="403">
        <f t="shared" si="4"/>
        <v>18804.290732393085</v>
      </c>
      <c r="G691" s="417"/>
    </row>
    <row r="692" spans="1:9" ht="12.75" customHeight="1">
      <c r="A692" s="406"/>
      <c r="B692" s="401"/>
      <c r="C692" s="401"/>
      <c r="D692" s="401"/>
      <c r="E692" s="401"/>
      <c r="F692" s="401"/>
      <c r="G692" s="417"/>
    </row>
    <row r="693" spans="1:9" ht="12.75" customHeight="1">
      <c r="A693" s="406"/>
      <c r="B693" s="401"/>
      <c r="C693" s="401"/>
      <c r="D693" s="401"/>
      <c r="E693" s="401"/>
      <c r="F693" s="401"/>
      <c r="G693" s="417"/>
    </row>
    <row r="694" spans="1:9" ht="12.75" customHeight="1">
      <c r="A694" s="406"/>
      <c r="B694" s="401"/>
      <c r="C694" s="401"/>
      <c r="D694" s="401"/>
      <c r="E694" s="401"/>
      <c r="F694" s="401"/>
      <c r="G694" s="417"/>
    </row>
    <row r="695" spans="1:9" ht="12.75" customHeight="1">
      <c r="A695" s="406"/>
      <c r="B695" s="401"/>
      <c r="C695" s="401"/>
      <c r="D695" s="401"/>
      <c r="E695" s="401"/>
      <c r="F695" s="401" t="s">
        <v>189</v>
      </c>
      <c r="G695" s="417">
        <f t="shared" si="30"/>
        <v>45054.290732393085</v>
      </c>
    </row>
    <row r="696" spans="1:9" ht="12.75" customHeight="1">
      <c r="A696" s="406"/>
      <c r="B696" s="401"/>
      <c r="C696" s="401"/>
      <c r="D696" s="401"/>
      <c r="E696" s="401"/>
      <c r="F696" s="401"/>
      <c r="G696" s="417"/>
    </row>
    <row r="697" spans="1:9" ht="12.75" customHeight="1">
      <c r="A697" s="406" t="s">
        <v>209</v>
      </c>
      <c r="B697" s="401"/>
      <c r="C697" s="401" t="s">
        <v>210</v>
      </c>
      <c r="D697" s="471" t="s">
        <v>211</v>
      </c>
      <c r="E697" s="472"/>
      <c r="F697" s="472"/>
      <c r="G697" s="417">
        <f t="shared" si="31"/>
        <v>71060.000269012729</v>
      </c>
      <c r="I697">
        <v>92378</v>
      </c>
    </row>
    <row r="698" spans="1:9" ht="12.75" customHeight="1">
      <c r="A698" s="406"/>
      <c r="B698" s="401"/>
      <c r="C698" s="401"/>
      <c r="D698" s="401"/>
      <c r="E698" s="401"/>
      <c r="F698" s="401"/>
      <c r="G698" s="417"/>
    </row>
    <row r="699" spans="1:9" ht="12.75" customHeight="1">
      <c r="A699" s="406"/>
      <c r="B699" s="401"/>
      <c r="C699" s="401"/>
      <c r="D699" s="401"/>
      <c r="E699" s="401" t="s">
        <v>212</v>
      </c>
      <c r="F699" s="401"/>
      <c r="G699" s="417">
        <f t="shared" si="7"/>
        <v>21318.00008070382</v>
      </c>
    </row>
    <row r="700" spans="1:9" ht="12.75" customHeight="1">
      <c r="A700" s="406"/>
      <c r="B700" s="401"/>
      <c r="C700" s="401"/>
      <c r="D700" s="401"/>
      <c r="E700" s="401"/>
      <c r="F700" s="401"/>
      <c r="G700" s="417"/>
    </row>
    <row r="701" spans="1:9" ht="12.75" customHeight="1" thickBot="1">
      <c r="A701" s="411" t="s">
        <v>213</v>
      </c>
      <c r="B701" s="412"/>
      <c r="C701" s="412"/>
      <c r="D701" s="469" t="s">
        <v>214</v>
      </c>
      <c r="E701" s="470"/>
      <c r="F701" s="470"/>
      <c r="G701" s="418">
        <f t="shared" si="8"/>
        <v>92378.000349716545</v>
      </c>
    </row>
    <row r="702" spans="1:9" ht="15" customHeight="1">
      <c r="A702" s="468" t="s">
        <v>174</v>
      </c>
      <c r="B702" s="457"/>
      <c r="C702" s="457"/>
      <c r="D702" s="457"/>
      <c r="E702" s="457"/>
      <c r="F702" s="457"/>
      <c r="G702" s="457"/>
    </row>
    <row r="703" spans="1:9" ht="15" customHeight="1">
      <c r="A703" s="73"/>
      <c r="B703" s="73"/>
      <c r="C703" s="73"/>
      <c r="D703" s="73"/>
      <c r="E703" s="73"/>
      <c r="F703" s="73"/>
      <c r="G703" s="440"/>
    </row>
    <row r="704" spans="1:9" ht="12.75" customHeight="1">
      <c r="A704" s="1" t="s">
        <v>175</v>
      </c>
      <c r="B704" s="1"/>
      <c r="C704" s="1"/>
      <c r="D704" s="94"/>
      <c r="E704" s="94"/>
      <c r="F704" s="94"/>
      <c r="G704" s="414"/>
    </row>
    <row r="705" spans="1:7" ht="12.75" customHeight="1">
      <c r="A705" s="1" t="str">
        <f t="shared" ref="A705" si="37">+A4</f>
        <v xml:space="preserve">OBRA N° Conducción - Red de Distribución  </v>
      </c>
      <c r="B705" s="1"/>
      <c r="C705" s="1"/>
      <c r="D705" s="1"/>
      <c r="F705" s="95" t="s">
        <v>177</v>
      </c>
      <c r="G705" s="415">
        <f t="shared" ca="1" si="0"/>
        <v>46289</v>
      </c>
    </row>
    <row r="706" spans="1:7" ht="12.75" customHeight="1">
      <c r="A706" s="1"/>
      <c r="B706" s="94"/>
      <c r="C706" s="94"/>
      <c r="D706" s="94"/>
      <c r="E706" s="94"/>
      <c r="F706" s="94"/>
      <c r="G706" s="414"/>
    </row>
    <row r="707" spans="1:7" ht="12.75" customHeight="1">
      <c r="A707" s="1"/>
      <c r="B707" s="94"/>
      <c r="C707" s="94"/>
      <c r="D707" s="94"/>
      <c r="E707" s="94"/>
      <c r="F707" s="94"/>
      <c r="G707" s="414"/>
    </row>
    <row r="708" spans="1:7" ht="12.75" customHeight="1">
      <c r="A708" s="99" t="s">
        <v>528</v>
      </c>
      <c r="B708" s="100" t="s">
        <v>529</v>
      </c>
      <c r="C708" s="100"/>
      <c r="D708" s="100"/>
      <c r="E708" s="100"/>
      <c r="F708" s="100"/>
      <c r="G708" s="138"/>
    </row>
    <row r="709" spans="1:7" ht="12.75" customHeight="1">
      <c r="A709" s="102" t="s">
        <v>530</v>
      </c>
      <c r="B709" s="103"/>
      <c r="C709" s="103" t="s">
        <v>179</v>
      </c>
      <c r="D709" s="104">
        <v>44</v>
      </c>
      <c r="E709" s="103" t="s">
        <v>180</v>
      </c>
      <c r="F709" s="103" t="s">
        <v>262</v>
      </c>
      <c r="G709" s="419"/>
    </row>
    <row r="710" spans="1:7" ht="12.75" customHeight="1">
      <c r="A710" s="1" t="s">
        <v>182</v>
      </c>
      <c r="B710" s="1"/>
      <c r="C710" s="1"/>
      <c r="D710" s="1"/>
      <c r="E710" s="1"/>
      <c r="F710" s="1"/>
      <c r="G710" s="420"/>
    </row>
    <row r="711" spans="1:7" ht="12.75" customHeight="1">
      <c r="A711" s="106" t="s">
        <v>111</v>
      </c>
      <c r="B711" s="107" t="s">
        <v>183</v>
      </c>
      <c r="C711" s="106" t="s">
        <v>184</v>
      </c>
      <c r="D711" s="107" t="s">
        <v>185</v>
      </c>
      <c r="E711" s="106" t="s">
        <v>186</v>
      </c>
      <c r="F711" s="108"/>
      <c r="G711" s="421"/>
    </row>
    <row r="712" spans="1:7" ht="12.75" customHeight="1">
      <c r="A712" s="110" t="s">
        <v>187</v>
      </c>
      <c r="B712" s="100"/>
      <c r="C712" s="110"/>
      <c r="D712" s="100"/>
      <c r="E712" s="111">
        <f t="shared" si="14"/>
        <v>10208.333333333336</v>
      </c>
      <c r="F712" s="112"/>
      <c r="G712" s="422"/>
    </row>
    <row r="713" spans="1:7" ht="12.75" customHeight="1">
      <c r="A713" s="110"/>
      <c r="B713" s="110"/>
      <c r="C713" s="110"/>
      <c r="D713" s="110"/>
      <c r="E713" s="101"/>
      <c r="F713" s="112"/>
      <c r="G713" s="422"/>
    </row>
    <row r="714" spans="1:7" ht="12.75" customHeight="1">
      <c r="A714" s="110"/>
      <c r="B714" s="110"/>
      <c r="C714" s="110"/>
      <c r="D714" s="110"/>
      <c r="E714" s="101"/>
      <c r="F714" s="112"/>
      <c r="G714" s="422"/>
    </row>
    <row r="715" spans="1:7" ht="12.75" customHeight="1">
      <c r="A715" s="110"/>
      <c r="B715" s="110"/>
      <c r="C715" s="110"/>
      <c r="D715" s="110"/>
      <c r="E715" s="101"/>
      <c r="F715" s="102" t="s">
        <v>189</v>
      </c>
      <c r="G715" s="419">
        <f t="shared" si="2"/>
        <v>10208.333333333336</v>
      </c>
    </row>
    <row r="716" spans="1:7" ht="12.75" customHeight="1">
      <c r="A716" s="1" t="s">
        <v>191</v>
      </c>
      <c r="B716" s="1"/>
      <c r="C716" s="1"/>
      <c r="D716" s="1"/>
      <c r="E716" s="1"/>
      <c r="F716" s="1"/>
      <c r="G716" s="420"/>
    </row>
    <row r="717" spans="1:7" ht="12.75" customHeight="1">
      <c r="A717" s="115" t="s">
        <v>111</v>
      </c>
      <c r="B717" s="106" t="s">
        <v>193</v>
      </c>
      <c r="C717" s="80" t="s">
        <v>194</v>
      </c>
      <c r="D717" s="106" t="s">
        <v>195</v>
      </c>
      <c r="E717" s="81" t="s">
        <v>186</v>
      </c>
      <c r="F717" s="108"/>
      <c r="G717" s="421"/>
    </row>
    <row r="718" spans="1:7" ht="12.75" customHeight="1">
      <c r="A718" s="110" t="s">
        <v>531</v>
      </c>
      <c r="B718" s="106" t="s">
        <v>193</v>
      </c>
      <c r="C718" s="111">
        <f>(95000)*1.19</f>
        <v>113050</v>
      </c>
      <c r="D718" s="110">
        <v>1</v>
      </c>
      <c r="E718" s="119">
        <f t="shared" si="15"/>
        <v>113050</v>
      </c>
      <c r="F718" s="112"/>
      <c r="G718" s="422"/>
    </row>
    <row r="719" spans="1:7" ht="12.75" customHeight="1">
      <c r="A719" s="63" t="s">
        <v>532</v>
      </c>
      <c r="B719" s="123" t="s">
        <v>193</v>
      </c>
      <c r="C719" s="111">
        <v>35000</v>
      </c>
      <c r="D719" s="63">
        <v>1</v>
      </c>
      <c r="E719" s="119">
        <f t="shared" si="15"/>
        <v>35000</v>
      </c>
      <c r="F719" s="112"/>
      <c r="G719" s="422"/>
    </row>
    <row r="720" spans="1:7" ht="12.75" customHeight="1">
      <c r="A720" s="110" t="s">
        <v>533</v>
      </c>
      <c r="B720" s="106" t="s">
        <v>193</v>
      </c>
      <c r="C720" s="111">
        <f>(20500)*1.19</f>
        <v>24395</v>
      </c>
      <c r="D720" s="110">
        <v>1</v>
      </c>
      <c r="E720" s="119">
        <f t="shared" si="15"/>
        <v>24395</v>
      </c>
      <c r="F720" s="112"/>
      <c r="G720" s="422"/>
    </row>
    <row r="721" spans="1:7" ht="12.75" customHeight="1">
      <c r="A721" s="63" t="s">
        <v>534</v>
      </c>
      <c r="B721" s="123" t="s">
        <v>193</v>
      </c>
      <c r="C721" s="111">
        <v>3700</v>
      </c>
      <c r="D721" s="63">
        <v>1</v>
      </c>
      <c r="E721" s="119">
        <f t="shared" si="15"/>
        <v>3700</v>
      </c>
      <c r="F721" s="112"/>
      <c r="G721" s="422"/>
    </row>
    <row r="722" spans="1:7" ht="12.75" customHeight="1">
      <c r="A722" s="110" t="s">
        <v>535</v>
      </c>
      <c r="B722" s="106"/>
      <c r="C722" s="110"/>
      <c r="D722" s="110"/>
      <c r="E722" s="119"/>
      <c r="F722" s="112"/>
      <c r="G722" s="422"/>
    </row>
    <row r="723" spans="1:7" ht="12.75" customHeight="1">
      <c r="A723" s="110" t="s">
        <v>536</v>
      </c>
      <c r="B723" s="106" t="s">
        <v>256</v>
      </c>
      <c r="C723" s="110">
        <v>80000</v>
      </c>
      <c r="D723" s="110">
        <v>1</v>
      </c>
      <c r="E723" s="101">
        <v>80000</v>
      </c>
      <c r="F723" s="112"/>
      <c r="G723" s="422"/>
    </row>
    <row r="724" spans="1:7" ht="12.75" customHeight="1">
      <c r="A724" s="116"/>
      <c r="B724" s="116"/>
      <c r="C724" s="116"/>
      <c r="D724" s="116"/>
      <c r="E724" s="101"/>
      <c r="F724" s="102" t="s">
        <v>189</v>
      </c>
      <c r="G724" s="419">
        <f t="shared" si="29"/>
        <v>256145</v>
      </c>
    </row>
    <row r="725" spans="1:7" ht="12.75" customHeight="1">
      <c r="A725" s="1" t="s">
        <v>197</v>
      </c>
      <c r="B725" s="1"/>
      <c r="C725" s="1"/>
      <c r="D725" s="1"/>
      <c r="E725" s="1"/>
      <c r="F725" s="1"/>
      <c r="G725" s="420"/>
    </row>
    <row r="726" spans="1:7" ht="12.75" customHeight="1">
      <c r="A726" s="117" t="s">
        <v>198</v>
      </c>
      <c r="B726" s="117" t="s">
        <v>199</v>
      </c>
      <c r="C726" s="117" t="s">
        <v>200</v>
      </c>
      <c r="D726" s="117" t="s">
        <v>201</v>
      </c>
      <c r="E726" s="81" t="s">
        <v>186</v>
      </c>
      <c r="F726" s="108"/>
      <c r="G726" s="421"/>
    </row>
    <row r="727" spans="1:7" ht="12.75" customHeight="1">
      <c r="A727" s="110" t="s">
        <v>232</v>
      </c>
      <c r="B727" s="110"/>
      <c r="C727" s="110"/>
      <c r="D727" s="110"/>
      <c r="E727" s="101">
        <v>40000</v>
      </c>
      <c r="F727" s="112"/>
      <c r="G727" s="422"/>
    </row>
    <row r="728" spans="1:7" ht="12.75" customHeight="1">
      <c r="A728" s="63"/>
      <c r="B728" s="63"/>
      <c r="C728" s="63"/>
      <c r="D728" s="63"/>
      <c r="E728" s="113"/>
      <c r="F728" s="112"/>
      <c r="G728" s="422"/>
    </row>
    <row r="729" spans="1:7" ht="12.75" customHeight="1">
      <c r="A729" s="110"/>
      <c r="B729" s="110"/>
      <c r="C729" s="110"/>
      <c r="D729" s="110"/>
      <c r="E729" s="101"/>
      <c r="F729" s="112"/>
      <c r="G729" s="422"/>
    </row>
    <row r="730" spans="1:7" ht="12.75" customHeight="1">
      <c r="A730" s="110"/>
      <c r="B730" s="110"/>
      <c r="C730" s="110"/>
      <c r="D730" s="110"/>
      <c r="E730" s="101"/>
      <c r="F730" s="112"/>
      <c r="G730" s="422"/>
    </row>
    <row r="731" spans="1:7" ht="12.75" customHeight="1">
      <c r="A731" s="116"/>
      <c r="B731" s="116"/>
      <c r="C731" s="116"/>
      <c r="D731" s="116"/>
      <c r="E731" s="105"/>
      <c r="F731" s="102" t="s">
        <v>189</v>
      </c>
      <c r="G731" s="419">
        <f t="shared" si="11"/>
        <v>40000</v>
      </c>
    </row>
    <row r="732" spans="1:7" ht="12.75" customHeight="1">
      <c r="A732" s="1" t="s">
        <v>202</v>
      </c>
      <c r="B732" s="1"/>
      <c r="C732" s="1"/>
      <c r="D732" s="1"/>
      <c r="E732" s="1"/>
      <c r="F732" s="1"/>
      <c r="G732" s="420"/>
    </row>
    <row r="733" spans="1:7" ht="12.75" customHeight="1">
      <c r="A733" s="117" t="s">
        <v>203</v>
      </c>
      <c r="B733" s="80" t="s">
        <v>204</v>
      </c>
      <c r="C733" s="117" t="s">
        <v>205</v>
      </c>
      <c r="D733" s="80" t="s">
        <v>206</v>
      </c>
      <c r="E733" s="117" t="s">
        <v>207</v>
      </c>
      <c r="F733" s="80" t="s">
        <v>208</v>
      </c>
      <c r="G733" s="423"/>
    </row>
    <row r="734" spans="1:7" ht="12.75" customHeight="1">
      <c r="A734" s="110" t="s">
        <v>188</v>
      </c>
      <c r="B734" s="100">
        <f>+B164</f>
        <v>150000</v>
      </c>
      <c r="C734" s="110">
        <f t="shared" si="13"/>
        <v>112500</v>
      </c>
      <c r="D734" s="100">
        <f t="shared" si="3"/>
        <v>262500</v>
      </c>
      <c r="E734" s="110">
        <v>3</v>
      </c>
      <c r="F734" s="119">
        <f t="shared" si="4"/>
        <v>87500</v>
      </c>
      <c r="G734" s="424"/>
    </row>
    <row r="735" spans="1:7" ht="12.75" customHeight="1">
      <c r="A735" s="63" t="s">
        <v>227</v>
      </c>
      <c r="B735" s="100">
        <f>+B165*2</f>
        <v>200000</v>
      </c>
      <c r="C735" s="111">
        <f t="shared" si="13"/>
        <v>150000</v>
      </c>
      <c r="D735" s="120">
        <f t="shared" si="3"/>
        <v>350000</v>
      </c>
      <c r="E735" s="110">
        <v>3</v>
      </c>
      <c r="F735" s="119">
        <f t="shared" si="4"/>
        <v>116666.66666666667</v>
      </c>
      <c r="G735" s="424"/>
    </row>
    <row r="736" spans="1:7" ht="12.75" customHeight="1">
      <c r="A736" s="110"/>
      <c r="B736" s="100"/>
      <c r="C736" s="110"/>
      <c r="D736" s="100"/>
      <c r="E736" s="110"/>
      <c r="F736" s="101"/>
      <c r="G736" s="424"/>
    </row>
    <row r="737" spans="1:7" ht="12.75" customHeight="1">
      <c r="A737" s="63"/>
      <c r="B737" s="1"/>
      <c r="C737" s="63"/>
      <c r="D737" s="1"/>
      <c r="E737" s="63"/>
      <c r="F737" s="101"/>
      <c r="G737" s="424"/>
    </row>
    <row r="738" spans="1:7" ht="12.75" customHeight="1">
      <c r="A738" s="116"/>
      <c r="B738" s="103"/>
      <c r="C738" s="116"/>
      <c r="D738" s="103"/>
      <c r="E738" s="116"/>
      <c r="F738" s="101"/>
      <c r="G738" s="425"/>
    </row>
    <row r="739" spans="1:7" ht="12.75" customHeight="1">
      <c r="A739" s="1"/>
      <c r="B739" s="1"/>
      <c r="C739" s="1"/>
      <c r="D739" s="1"/>
      <c r="E739" s="1"/>
      <c r="F739" s="1" t="s">
        <v>189</v>
      </c>
      <c r="G739" s="225">
        <f t="shared" si="30"/>
        <v>204166.66666666669</v>
      </c>
    </row>
    <row r="740" spans="1:7" ht="12.75" customHeight="1">
      <c r="A740" s="1"/>
      <c r="B740" s="1"/>
      <c r="C740" s="1"/>
      <c r="D740" s="1"/>
      <c r="E740" s="1"/>
      <c r="F740" s="1"/>
      <c r="G740" s="420"/>
    </row>
    <row r="741" spans="1:7" ht="12.75" customHeight="1">
      <c r="A741" s="103" t="s">
        <v>209</v>
      </c>
      <c r="B741" s="1"/>
      <c r="C741" s="1" t="s">
        <v>210</v>
      </c>
      <c r="D741" s="473" t="s">
        <v>211</v>
      </c>
      <c r="E741" s="457"/>
      <c r="F741" s="457"/>
      <c r="G741" s="225">
        <f t="shared" si="31"/>
        <v>510520</v>
      </c>
    </row>
    <row r="742" spans="1:7" ht="12.75" customHeight="1">
      <c r="A742" s="1"/>
      <c r="B742" s="1"/>
      <c r="C742" s="1"/>
      <c r="D742" s="1"/>
      <c r="E742" s="1"/>
      <c r="F742" s="1"/>
      <c r="G742" s="420"/>
    </row>
    <row r="743" spans="1:7" ht="12.75" customHeight="1">
      <c r="A743" s="1"/>
      <c r="B743" s="1"/>
      <c r="C743" s="1"/>
      <c r="D743" s="1"/>
      <c r="E743" s="1" t="s">
        <v>212</v>
      </c>
      <c r="F743" s="1"/>
      <c r="G743" s="225">
        <f t="shared" si="7"/>
        <v>153156</v>
      </c>
    </row>
    <row r="744" spans="1:7" ht="12.75" customHeight="1">
      <c r="A744" s="1"/>
      <c r="B744" s="1"/>
      <c r="C744" s="1"/>
      <c r="D744" s="1"/>
      <c r="E744" s="1"/>
      <c r="F744" s="1"/>
      <c r="G744" s="420"/>
    </row>
    <row r="745" spans="1:7" ht="12.75" customHeight="1">
      <c r="A745" s="103" t="s">
        <v>213</v>
      </c>
      <c r="B745" s="1"/>
      <c r="C745" s="1"/>
      <c r="D745" s="473" t="s">
        <v>214</v>
      </c>
      <c r="E745" s="457"/>
      <c r="F745" s="457"/>
      <c r="G745" s="225">
        <f t="shared" si="8"/>
        <v>663676</v>
      </c>
    </row>
    <row r="746" spans="1:7" ht="15" customHeight="1">
      <c r="A746" s="468" t="s">
        <v>174</v>
      </c>
      <c r="B746" s="457"/>
      <c r="C746" s="457"/>
      <c r="D746" s="457"/>
      <c r="E746" s="457"/>
      <c r="F746" s="457"/>
      <c r="G746" s="457"/>
    </row>
    <row r="747" spans="1:7" ht="15" customHeight="1" thickBot="1">
      <c r="A747" s="73"/>
      <c r="B747" s="73"/>
      <c r="C747" s="73"/>
      <c r="D747" s="73"/>
      <c r="E747" s="73"/>
      <c r="F747" s="73"/>
      <c r="G747" s="440"/>
    </row>
    <row r="748" spans="1:7" ht="12.75" customHeight="1">
      <c r="A748" s="404" t="s">
        <v>175</v>
      </c>
      <c r="B748" s="405"/>
      <c r="C748" s="405"/>
      <c r="D748" s="428"/>
      <c r="E748" s="428"/>
      <c r="F748" s="428"/>
      <c r="G748" s="429"/>
    </row>
    <row r="749" spans="1:7" ht="12.75" customHeight="1">
      <c r="A749" s="406" t="str">
        <f t="shared" ref="A749" si="38">+A4</f>
        <v xml:space="preserve">OBRA N° Conducción - Red de Distribución  </v>
      </c>
      <c r="B749" s="401"/>
      <c r="C749" s="401"/>
      <c r="D749" s="401"/>
      <c r="E749" s="195"/>
      <c r="F749" s="402" t="s">
        <v>177</v>
      </c>
      <c r="G749" s="430">
        <f t="shared" ca="1" si="0"/>
        <v>46289</v>
      </c>
    </row>
    <row r="750" spans="1:7" ht="12.75" customHeight="1">
      <c r="A750" s="406"/>
      <c r="B750" s="426"/>
      <c r="C750" s="426"/>
      <c r="D750" s="426"/>
      <c r="E750" s="426"/>
      <c r="F750" s="426"/>
      <c r="G750" s="431"/>
    </row>
    <row r="751" spans="1:7" ht="12.75" customHeight="1">
      <c r="A751" s="406" t="s">
        <v>537</v>
      </c>
      <c r="B751" s="401" t="s">
        <v>538</v>
      </c>
      <c r="C751" s="401"/>
      <c r="D751" s="401"/>
      <c r="E751" s="401"/>
      <c r="F751" s="401"/>
      <c r="G751" s="417"/>
    </row>
    <row r="752" spans="1:7" ht="12.75" customHeight="1">
      <c r="A752" s="406"/>
      <c r="B752" s="401"/>
      <c r="C752" s="401" t="s">
        <v>179</v>
      </c>
      <c r="D752" s="169">
        <v>1</v>
      </c>
      <c r="E752" s="401" t="s">
        <v>180</v>
      </c>
      <c r="F752" s="401" t="s">
        <v>262</v>
      </c>
      <c r="G752" s="417"/>
    </row>
    <row r="753" spans="1:7" ht="12.75" customHeight="1">
      <c r="A753" s="406" t="s">
        <v>182</v>
      </c>
      <c r="B753" s="401"/>
      <c r="C753" s="401"/>
      <c r="D753" s="401"/>
      <c r="E753" s="401"/>
      <c r="F753" s="401"/>
      <c r="G753" s="417"/>
    </row>
    <row r="754" spans="1:7" ht="12.75" customHeight="1">
      <c r="A754" s="408" t="s">
        <v>111</v>
      </c>
      <c r="B754" s="169" t="s">
        <v>183</v>
      </c>
      <c r="C754" s="169" t="s">
        <v>184</v>
      </c>
      <c r="D754" s="169" t="s">
        <v>185</v>
      </c>
      <c r="E754" s="169" t="s">
        <v>186</v>
      </c>
      <c r="F754" s="401"/>
      <c r="G754" s="417"/>
    </row>
    <row r="755" spans="1:7" ht="12.75" customHeight="1">
      <c r="A755" s="406" t="s">
        <v>187</v>
      </c>
      <c r="B755" s="401"/>
      <c r="C755" s="401"/>
      <c r="D755" s="401"/>
      <c r="E755" s="403">
        <f t="shared" si="14"/>
        <v>1569.7831586155053</v>
      </c>
      <c r="F755" s="401"/>
      <c r="G755" s="417"/>
    </row>
    <row r="756" spans="1:7" ht="12.75" customHeight="1">
      <c r="A756" s="406"/>
      <c r="B756" s="401"/>
      <c r="C756" s="401"/>
      <c r="D756" s="401"/>
      <c r="E756" s="401"/>
      <c r="F756" s="401"/>
      <c r="G756" s="417"/>
    </row>
    <row r="757" spans="1:7" ht="12.75" customHeight="1">
      <c r="A757" s="406"/>
      <c r="B757" s="401"/>
      <c r="C757" s="401"/>
      <c r="D757" s="401"/>
      <c r="E757" s="401"/>
      <c r="F757" s="401"/>
      <c r="G757" s="417"/>
    </row>
    <row r="758" spans="1:7" ht="12.75" customHeight="1">
      <c r="A758" s="406"/>
      <c r="B758" s="401"/>
      <c r="C758" s="401"/>
      <c r="D758" s="401"/>
      <c r="E758" s="401"/>
      <c r="F758" s="401" t="s">
        <v>189</v>
      </c>
      <c r="G758" s="417">
        <f t="shared" si="2"/>
        <v>1569.7831586155053</v>
      </c>
    </row>
    <row r="759" spans="1:7" ht="12.75" customHeight="1">
      <c r="A759" s="406" t="s">
        <v>191</v>
      </c>
      <c r="B759" s="401"/>
      <c r="C759" s="401"/>
      <c r="D759" s="401"/>
      <c r="E759" s="401"/>
      <c r="F759" s="401"/>
      <c r="G759" s="417"/>
    </row>
    <row r="760" spans="1:7" ht="12.75" customHeight="1">
      <c r="A760" s="408" t="s">
        <v>111</v>
      </c>
      <c r="B760" s="169" t="s">
        <v>193</v>
      </c>
      <c r="C760" s="169" t="s">
        <v>194</v>
      </c>
      <c r="D760" s="169" t="s">
        <v>195</v>
      </c>
      <c r="E760" s="169" t="s">
        <v>186</v>
      </c>
      <c r="F760" s="401"/>
      <c r="G760" s="417"/>
    </row>
    <row r="761" spans="1:7" ht="12.75" customHeight="1">
      <c r="A761" s="406" t="s">
        <v>539</v>
      </c>
      <c r="B761" s="169" t="s">
        <v>193</v>
      </c>
      <c r="C761" s="403">
        <f>79500*1.19</f>
        <v>94605</v>
      </c>
      <c r="D761" s="401">
        <v>1</v>
      </c>
      <c r="E761" s="403">
        <f>+C761*D761</f>
        <v>94605</v>
      </c>
      <c r="F761" s="401"/>
      <c r="G761" s="417"/>
    </row>
    <row r="762" spans="1:7" ht="12.75" customHeight="1">
      <c r="A762" s="406" t="s">
        <v>540</v>
      </c>
      <c r="B762" s="169" t="s">
        <v>193</v>
      </c>
      <c r="C762" s="403">
        <f>1450*1.19</f>
        <v>1725.5</v>
      </c>
      <c r="D762" s="401">
        <v>2</v>
      </c>
      <c r="E762" s="403">
        <f t="shared" si="15"/>
        <v>3451</v>
      </c>
      <c r="F762" s="401"/>
      <c r="G762" s="417"/>
    </row>
    <row r="763" spans="1:7" ht="12.75" customHeight="1">
      <c r="A763" s="406" t="s">
        <v>272</v>
      </c>
      <c r="B763" s="169" t="s">
        <v>256</v>
      </c>
      <c r="C763" s="403">
        <v>500</v>
      </c>
      <c r="D763" s="401">
        <v>1</v>
      </c>
      <c r="E763" s="403">
        <f t="shared" si="15"/>
        <v>500</v>
      </c>
      <c r="F763" s="401"/>
      <c r="G763" s="417"/>
    </row>
    <row r="764" spans="1:7" ht="12.75" customHeight="1">
      <c r="A764" s="406"/>
      <c r="B764" s="169"/>
      <c r="C764" s="403"/>
      <c r="D764" s="401"/>
      <c r="E764" s="403"/>
      <c r="F764" s="401"/>
      <c r="G764" s="417"/>
    </row>
    <row r="765" spans="1:7" ht="12.75" customHeight="1">
      <c r="A765" s="406"/>
      <c r="B765" s="169"/>
      <c r="C765" s="401"/>
      <c r="D765" s="401"/>
      <c r="E765" s="403"/>
      <c r="F765" s="401"/>
      <c r="G765" s="417"/>
    </row>
    <row r="766" spans="1:7" ht="12.75" customHeight="1">
      <c r="A766" s="406"/>
      <c r="B766" s="401"/>
      <c r="C766" s="401"/>
      <c r="D766" s="401"/>
      <c r="E766" s="401"/>
      <c r="F766" s="401"/>
      <c r="G766" s="417"/>
    </row>
    <row r="767" spans="1:7" ht="12.75" customHeight="1">
      <c r="A767" s="406"/>
      <c r="B767" s="401"/>
      <c r="C767" s="401"/>
      <c r="D767" s="401"/>
      <c r="E767" s="401"/>
      <c r="F767" s="401" t="s">
        <v>189</v>
      </c>
      <c r="G767" s="417">
        <f t="shared" si="10"/>
        <v>98556</v>
      </c>
    </row>
    <row r="768" spans="1:7" ht="12.75" customHeight="1">
      <c r="A768" s="406" t="s">
        <v>197</v>
      </c>
      <c r="B768" s="401"/>
      <c r="C768" s="401"/>
      <c r="D768" s="401"/>
      <c r="E768" s="401"/>
      <c r="F768" s="401"/>
      <c r="G768" s="417"/>
    </row>
    <row r="769" spans="1:9" ht="12.75" customHeight="1">
      <c r="A769" s="408" t="s">
        <v>198</v>
      </c>
      <c r="B769" s="169" t="s">
        <v>199</v>
      </c>
      <c r="C769" s="169" t="s">
        <v>200</v>
      </c>
      <c r="D769" s="169" t="s">
        <v>201</v>
      </c>
      <c r="E769" s="169" t="s">
        <v>186</v>
      </c>
      <c r="F769" s="401"/>
      <c r="G769" s="417"/>
    </row>
    <row r="770" spans="1:9" ht="12.75" customHeight="1">
      <c r="A770" s="406" t="s">
        <v>232</v>
      </c>
      <c r="B770" s="401"/>
      <c r="C770" s="401"/>
      <c r="D770" s="401"/>
      <c r="E770" s="401"/>
      <c r="F770" s="401"/>
      <c r="G770" s="417"/>
    </row>
    <row r="771" spans="1:9" ht="12.75" customHeight="1">
      <c r="A771" s="406"/>
      <c r="B771" s="401"/>
      <c r="C771" s="401"/>
      <c r="D771" s="401"/>
      <c r="E771" s="401"/>
      <c r="F771" s="401"/>
      <c r="G771" s="417"/>
    </row>
    <row r="772" spans="1:9" ht="12.75" customHeight="1">
      <c r="A772" s="406"/>
      <c r="B772" s="401"/>
      <c r="C772" s="401"/>
      <c r="D772" s="401"/>
      <c r="E772" s="401"/>
      <c r="F772" s="401"/>
      <c r="G772" s="417"/>
    </row>
    <row r="773" spans="1:9" ht="12.75" customHeight="1">
      <c r="A773" s="406"/>
      <c r="B773" s="401"/>
      <c r="C773" s="401"/>
      <c r="D773" s="401"/>
      <c r="E773" s="401"/>
      <c r="F773" s="401" t="s">
        <v>189</v>
      </c>
      <c r="G773" s="417">
        <f t="shared" si="2"/>
        <v>0</v>
      </c>
    </row>
    <row r="774" spans="1:9" ht="12.75" customHeight="1">
      <c r="A774" s="406" t="s">
        <v>202</v>
      </c>
      <c r="B774" s="401"/>
      <c r="C774" s="401"/>
      <c r="D774" s="401"/>
      <c r="E774" s="401"/>
      <c r="F774" s="401"/>
      <c r="G774" s="417"/>
    </row>
    <row r="775" spans="1:9" ht="12.75" customHeight="1">
      <c r="A775" s="408" t="s">
        <v>203</v>
      </c>
      <c r="B775" s="169" t="s">
        <v>204</v>
      </c>
      <c r="C775" s="169" t="s">
        <v>205</v>
      </c>
      <c r="D775" s="169" t="s">
        <v>206</v>
      </c>
      <c r="E775" s="169" t="s">
        <v>207</v>
      </c>
      <c r="F775" s="169" t="s">
        <v>208</v>
      </c>
      <c r="G775" s="417"/>
    </row>
    <row r="776" spans="1:9" ht="12.75" customHeight="1">
      <c r="A776" s="406" t="s">
        <v>188</v>
      </c>
      <c r="B776" s="401">
        <f t="shared" ref="B776:B777" si="39">+B164</f>
        <v>150000</v>
      </c>
      <c r="C776" s="401">
        <f t="shared" si="13"/>
        <v>112500</v>
      </c>
      <c r="D776" s="401">
        <f t="shared" si="3"/>
        <v>262500</v>
      </c>
      <c r="E776" s="401">
        <v>15</v>
      </c>
      <c r="F776" s="403">
        <f t="shared" si="4"/>
        <v>17500</v>
      </c>
      <c r="G776" s="417"/>
    </row>
    <row r="777" spans="1:9" ht="12.75" customHeight="1">
      <c r="A777" s="406" t="s">
        <v>190</v>
      </c>
      <c r="B777" s="401">
        <f t="shared" si="39"/>
        <v>100000</v>
      </c>
      <c r="C777" s="403">
        <f t="shared" si="13"/>
        <v>75000</v>
      </c>
      <c r="D777" s="403">
        <f t="shared" si="3"/>
        <v>175000</v>
      </c>
      <c r="E777" s="403">
        <v>12.593857366140149</v>
      </c>
      <c r="F777" s="403">
        <f t="shared" si="4"/>
        <v>13895.663172310104</v>
      </c>
      <c r="G777" s="417"/>
    </row>
    <row r="778" spans="1:9" ht="12.75" customHeight="1">
      <c r="A778" s="406"/>
      <c r="B778" s="401"/>
      <c r="C778" s="401"/>
      <c r="D778" s="401"/>
      <c r="E778" s="401"/>
      <c r="F778" s="401"/>
      <c r="G778" s="417"/>
    </row>
    <row r="779" spans="1:9" ht="12.75" customHeight="1">
      <c r="A779" s="406"/>
      <c r="B779" s="401"/>
      <c r="C779" s="401"/>
      <c r="D779" s="401"/>
      <c r="E779" s="401"/>
      <c r="F779" s="401"/>
      <c r="G779" s="417"/>
    </row>
    <row r="780" spans="1:9" ht="12.75" customHeight="1">
      <c r="A780" s="406"/>
      <c r="B780" s="401"/>
      <c r="C780" s="401"/>
      <c r="D780" s="401"/>
      <c r="E780" s="401"/>
      <c r="F780" s="401"/>
      <c r="G780" s="417"/>
    </row>
    <row r="781" spans="1:9" ht="12.75" customHeight="1">
      <c r="A781" s="406"/>
      <c r="B781" s="401"/>
      <c r="C781" s="401"/>
      <c r="D781" s="401"/>
      <c r="E781" s="401"/>
      <c r="F781" s="401"/>
      <c r="G781" s="417"/>
    </row>
    <row r="782" spans="1:9" ht="12.75" customHeight="1">
      <c r="A782" s="406"/>
      <c r="B782" s="401"/>
      <c r="C782" s="401"/>
      <c r="D782" s="401"/>
      <c r="E782" s="401"/>
      <c r="F782" s="401" t="s">
        <v>189</v>
      </c>
      <c r="G782" s="417">
        <f t="shared" si="5"/>
        <v>31395.663172310102</v>
      </c>
    </row>
    <row r="783" spans="1:9" ht="12.75" customHeight="1">
      <c r="A783" s="406"/>
      <c r="B783" s="401"/>
      <c r="C783" s="401"/>
      <c r="D783" s="401"/>
      <c r="E783" s="401"/>
      <c r="F783" s="401"/>
      <c r="G783" s="417"/>
    </row>
    <row r="784" spans="1:9" ht="12.75" customHeight="1">
      <c r="A784" s="406" t="s">
        <v>209</v>
      </c>
      <c r="B784" s="401"/>
      <c r="C784" s="401" t="s">
        <v>210</v>
      </c>
      <c r="D784" s="471" t="s">
        <v>211</v>
      </c>
      <c r="E784" s="472"/>
      <c r="F784" s="472"/>
      <c r="G784" s="417">
        <f t="shared" si="33"/>
        <v>131521.44633092562</v>
      </c>
      <c r="I784">
        <v>170977.88</v>
      </c>
    </row>
    <row r="785" spans="1:7" ht="12.75" customHeight="1">
      <c r="A785" s="406"/>
      <c r="B785" s="401"/>
      <c r="C785" s="401"/>
      <c r="D785" s="401"/>
      <c r="E785" s="401"/>
      <c r="F785" s="401"/>
      <c r="G785" s="417"/>
    </row>
    <row r="786" spans="1:7" ht="12.75" customHeight="1">
      <c r="A786" s="406"/>
      <c r="B786" s="401"/>
      <c r="C786" s="401"/>
      <c r="D786" s="401"/>
      <c r="E786" s="401" t="s">
        <v>212</v>
      </c>
      <c r="F786" s="401"/>
      <c r="G786" s="417">
        <f t="shared" si="7"/>
        <v>39456.433899277683</v>
      </c>
    </row>
    <row r="787" spans="1:7" ht="12.75" customHeight="1">
      <c r="A787" s="406"/>
      <c r="B787" s="401"/>
      <c r="C787" s="401"/>
      <c r="D787" s="401"/>
      <c r="E787" s="401"/>
      <c r="F787" s="401"/>
      <c r="G787" s="417"/>
    </row>
    <row r="788" spans="1:7" ht="12.75" customHeight="1" thickBot="1">
      <c r="A788" s="411" t="s">
        <v>213</v>
      </c>
      <c r="B788" s="412"/>
      <c r="C788" s="412"/>
      <c r="D788" s="469" t="s">
        <v>214</v>
      </c>
      <c r="E788" s="470"/>
      <c r="F788" s="470"/>
      <c r="G788" s="418">
        <f t="shared" si="8"/>
        <v>170977.8802302033</v>
      </c>
    </row>
    <row r="789" spans="1:7" ht="15" customHeight="1">
      <c r="A789" s="468" t="s">
        <v>174</v>
      </c>
      <c r="B789" s="457"/>
      <c r="C789" s="457"/>
      <c r="D789" s="457"/>
      <c r="E789" s="457"/>
      <c r="F789" s="457"/>
      <c r="G789" s="457"/>
    </row>
    <row r="790" spans="1:7" ht="15" customHeight="1" thickBot="1">
      <c r="A790" s="73"/>
      <c r="B790" s="73"/>
      <c r="C790" s="73"/>
      <c r="D790" s="73"/>
      <c r="E790" s="73"/>
      <c r="F790" s="73"/>
      <c r="G790" s="440"/>
    </row>
    <row r="791" spans="1:7" ht="12.75" customHeight="1">
      <c r="A791" s="404" t="s">
        <v>175</v>
      </c>
      <c r="B791" s="405"/>
      <c r="C791" s="405"/>
      <c r="D791" s="428"/>
      <c r="E791" s="428"/>
      <c r="F791" s="428"/>
      <c r="G791" s="429"/>
    </row>
    <row r="792" spans="1:7" ht="12.75" customHeight="1">
      <c r="A792" s="406" t="str">
        <f t="shared" ref="A792" si="40">+A4</f>
        <v xml:space="preserve">OBRA N° Conducción - Red de Distribución  </v>
      </c>
      <c r="B792" s="401"/>
      <c r="C792" s="401"/>
      <c r="D792" s="401"/>
      <c r="E792" s="195"/>
      <c r="F792" s="402" t="s">
        <v>177</v>
      </c>
      <c r="G792" s="430">
        <f t="shared" ca="1" si="0"/>
        <v>46289</v>
      </c>
    </row>
    <row r="793" spans="1:7" ht="12.75" customHeight="1">
      <c r="A793" s="406"/>
      <c r="B793" s="426"/>
      <c r="C793" s="426"/>
      <c r="D793" s="426"/>
      <c r="E793" s="426"/>
      <c r="F793" s="426"/>
      <c r="G793" s="431"/>
    </row>
    <row r="794" spans="1:7" ht="12.75" customHeight="1">
      <c r="A794" s="406" t="s">
        <v>541</v>
      </c>
      <c r="B794" s="401" t="s">
        <v>542</v>
      </c>
      <c r="C794" s="401"/>
      <c r="D794" s="401"/>
      <c r="E794" s="401"/>
      <c r="F794" s="401"/>
      <c r="G794" s="417"/>
    </row>
    <row r="795" spans="1:7" ht="12.75" customHeight="1">
      <c r="A795" s="406"/>
      <c r="B795" s="401"/>
      <c r="C795" s="401" t="s">
        <v>179</v>
      </c>
      <c r="D795" s="169">
        <v>1</v>
      </c>
      <c r="E795" s="401" t="s">
        <v>180</v>
      </c>
      <c r="F795" s="401" t="s">
        <v>262</v>
      </c>
      <c r="G795" s="417"/>
    </row>
    <row r="796" spans="1:7" ht="12.75" customHeight="1">
      <c r="A796" s="406" t="s">
        <v>182</v>
      </c>
      <c r="B796" s="401"/>
      <c r="C796" s="401"/>
      <c r="D796" s="401"/>
      <c r="E796" s="401"/>
      <c r="F796" s="401"/>
      <c r="G796" s="417"/>
    </row>
    <row r="797" spans="1:7" ht="12.75" customHeight="1">
      <c r="A797" s="408" t="s">
        <v>111</v>
      </c>
      <c r="B797" s="169" t="s">
        <v>183</v>
      </c>
      <c r="C797" s="169" t="s">
        <v>184</v>
      </c>
      <c r="D797" s="169" t="s">
        <v>185</v>
      </c>
      <c r="E797" s="169" t="s">
        <v>186</v>
      </c>
      <c r="F797" s="401"/>
      <c r="G797" s="417"/>
    </row>
    <row r="798" spans="1:7" ht="12.75" customHeight="1">
      <c r="A798" s="406" t="s">
        <v>187</v>
      </c>
      <c r="B798" s="401"/>
      <c r="C798" s="401"/>
      <c r="D798" s="401"/>
      <c r="E798" s="403">
        <f t="shared" si="14"/>
        <v>1089.2666672105424</v>
      </c>
      <c r="F798" s="401"/>
      <c r="G798" s="417"/>
    </row>
    <row r="799" spans="1:7" ht="12.75" customHeight="1">
      <c r="A799" s="406"/>
      <c r="B799" s="401"/>
      <c r="C799" s="401"/>
      <c r="D799" s="401"/>
      <c r="E799" s="401"/>
      <c r="F799" s="401"/>
      <c r="G799" s="417"/>
    </row>
    <row r="800" spans="1:7" ht="12.75" customHeight="1">
      <c r="A800" s="406"/>
      <c r="B800" s="401"/>
      <c r="C800" s="401"/>
      <c r="D800" s="401"/>
      <c r="E800" s="401"/>
      <c r="F800" s="401"/>
      <c r="G800" s="417"/>
    </row>
    <row r="801" spans="1:7" ht="12.75" customHeight="1">
      <c r="A801" s="406"/>
      <c r="B801" s="401"/>
      <c r="C801" s="401"/>
      <c r="D801" s="401"/>
      <c r="E801" s="401"/>
      <c r="F801" s="401" t="s">
        <v>189</v>
      </c>
      <c r="G801" s="417">
        <f t="shared" si="2"/>
        <v>1089.2666672105424</v>
      </c>
    </row>
    <row r="802" spans="1:7" ht="12.75" customHeight="1">
      <c r="A802" s="406" t="s">
        <v>191</v>
      </c>
      <c r="B802" s="401"/>
      <c r="C802" s="401"/>
      <c r="D802" s="401"/>
      <c r="E802" s="401"/>
      <c r="F802" s="401"/>
      <c r="G802" s="417"/>
    </row>
    <row r="803" spans="1:7" ht="12.75" customHeight="1">
      <c r="A803" s="408" t="s">
        <v>111</v>
      </c>
      <c r="B803" s="169" t="s">
        <v>193</v>
      </c>
      <c r="C803" s="169" t="s">
        <v>194</v>
      </c>
      <c r="D803" s="169" t="s">
        <v>195</v>
      </c>
      <c r="E803" s="169" t="s">
        <v>186</v>
      </c>
      <c r="F803" s="401"/>
      <c r="G803" s="417"/>
    </row>
    <row r="804" spans="1:7" ht="12.75" customHeight="1">
      <c r="A804" s="406" t="s">
        <v>543</v>
      </c>
      <c r="B804" s="169" t="s">
        <v>193</v>
      </c>
      <c r="C804" s="403">
        <f>98500*1.19</f>
        <v>117215</v>
      </c>
      <c r="D804" s="401">
        <v>1</v>
      </c>
      <c r="E804" s="403">
        <v>135000</v>
      </c>
      <c r="F804" s="401"/>
      <c r="G804" s="417"/>
    </row>
    <row r="805" spans="1:7" ht="12.75" customHeight="1">
      <c r="A805" s="406" t="s">
        <v>544</v>
      </c>
      <c r="B805" s="169" t="s">
        <v>193</v>
      </c>
      <c r="C805" s="403">
        <f>2850*1.19</f>
        <v>3391.5</v>
      </c>
      <c r="D805" s="401">
        <v>2</v>
      </c>
      <c r="E805" s="403">
        <f t="shared" si="15"/>
        <v>6783</v>
      </c>
      <c r="F805" s="401"/>
      <c r="G805" s="417"/>
    </row>
    <row r="806" spans="1:7" ht="12.75" customHeight="1">
      <c r="A806" s="406" t="s">
        <v>272</v>
      </c>
      <c r="B806" s="169" t="s">
        <v>256</v>
      </c>
      <c r="C806" s="403">
        <v>500</v>
      </c>
      <c r="D806" s="401">
        <v>1</v>
      </c>
      <c r="E806" s="403">
        <f t="shared" si="15"/>
        <v>500</v>
      </c>
      <c r="F806" s="401"/>
      <c r="G806" s="417"/>
    </row>
    <row r="807" spans="1:7" ht="12.75" customHeight="1">
      <c r="A807" s="406"/>
      <c r="B807" s="169"/>
      <c r="C807" s="403"/>
      <c r="D807" s="401"/>
      <c r="E807" s="403"/>
      <c r="F807" s="401"/>
      <c r="G807" s="417"/>
    </row>
    <row r="808" spans="1:7" ht="12.75" customHeight="1">
      <c r="A808" s="406"/>
      <c r="B808" s="169"/>
      <c r="C808" s="401"/>
      <c r="D808" s="401"/>
      <c r="E808" s="403"/>
      <c r="F808" s="401"/>
      <c r="G808" s="417"/>
    </row>
    <row r="809" spans="1:7" ht="12.75" customHeight="1">
      <c r="A809" s="406"/>
      <c r="B809" s="401"/>
      <c r="C809" s="401"/>
      <c r="D809" s="401"/>
      <c r="E809" s="401"/>
      <c r="F809" s="401"/>
      <c r="G809" s="417"/>
    </row>
    <row r="810" spans="1:7" ht="12.75" customHeight="1">
      <c r="A810" s="406"/>
      <c r="B810" s="401"/>
      <c r="C810" s="401"/>
      <c r="D810" s="401"/>
      <c r="E810" s="401"/>
      <c r="F810" s="401" t="s">
        <v>189</v>
      </c>
      <c r="G810" s="417">
        <f t="shared" si="10"/>
        <v>142283</v>
      </c>
    </row>
    <row r="811" spans="1:7" ht="12.75" customHeight="1">
      <c r="A811" s="406" t="s">
        <v>197</v>
      </c>
      <c r="B811" s="401"/>
      <c r="C811" s="401"/>
      <c r="D811" s="401"/>
      <c r="E811" s="401"/>
      <c r="F811" s="401"/>
      <c r="G811" s="417"/>
    </row>
    <row r="812" spans="1:7" ht="12.75" customHeight="1">
      <c r="A812" s="408" t="s">
        <v>198</v>
      </c>
      <c r="B812" s="169" t="s">
        <v>199</v>
      </c>
      <c r="C812" s="169" t="s">
        <v>200</v>
      </c>
      <c r="D812" s="169" t="s">
        <v>201</v>
      </c>
      <c r="E812" s="169" t="s">
        <v>186</v>
      </c>
      <c r="F812" s="401"/>
      <c r="G812" s="417"/>
    </row>
    <row r="813" spans="1:7" ht="12.75" customHeight="1">
      <c r="A813" s="406" t="s">
        <v>232</v>
      </c>
      <c r="B813" s="401"/>
      <c r="C813" s="401"/>
      <c r="D813" s="401"/>
      <c r="E813" s="401"/>
      <c r="F813" s="401"/>
      <c r="G813" s="417"/>
    </row>
    <row r="814" spans="1:7" ht="12.75" customHeight="1">
      <c r="A814" s="406"/>
      <c r="B814" s="401"/>
      <c r="C814" s="401"/>
      <c r="D814" s="401"/>
      <c r="E814" s="401"/>
      <c r="F814" s="401"/>
      <c r="G814" s="417"/>
    </row>
    <row r="815" spans="1:7" ht="12.75" customHeight="1">
      <c r="A815" s="406"/>
      <c r="B815" s="401"/>
      <c r="C815" s="401"/>
      <c r="D815" s="401"/>
      <c r="E815" s="401"/>
      <c r="F815" s="401"/>
      <c r="G815" s="417"/>
    </row>
    <row r="816" spans="1:7" ht="12.75" customHeight="1">
      <c r="A816" s="406"/>
      <c r="B816" s="401"/>
      <c r="C816" s="401"/>
      <c r="D816" s="401"/>
      <c r="E816" s="401"/>
      <c r="F816" s="401" t="s">
        <v>189</v>
      </c>
      <c r="G816" s="417">
        <f t="shared" si="2"/>
        <v>0</v>
      </c>
    </row>
    <row r="817" spans="1:9" ht="12.75" customHeight="1">
      <c r="A817" s="406" t="s">
        <v>202</v>
      </c>
      <c r="B817" s="401"/>
      <c r="C817" s="401"/>
      <c r="D817" s="401"/>
      <c r="E817" s="401"/>
      <c r="F817" s="401"/>
      <c r="G817" s="417"/>
    </row>
    <row r="818" spans="1:9" ht="12.75" customHeight="1">
      <c r="A818" s="408" t="s">
        <v>203</v>
      </c>
      <c r="B818" s="169" t="s">
        <v>204</v>
      </c>
      <c r="C818" s="169" t="s">
        <v>205</v>
      </c>
      <c r="D818" s="169" t="s">
        <v>206</v>
      </c>
      <c r="E818" s="169" t="s">
        <v>207</v>
      </c>
      <c r="F818" s="169" t="s">
        <v>208</v>
      </c>
      <c r="G818" s="417"/>
    </row>
    <row r="819" spans="1:9" ht="12.75" customHeight="1">
      <c r="A819" s="406" t="s">
        <v>188</v>
      </c>
      <c r="B819" s="401">
        <f t="shared" ref="B819:B820" si="41">+B164</f>
        <v>150000</v>
      </c>
      <c r="C819" s="401">
        <f t="shared" si="13"/>
        <v>112500</v>
      </c>
      <c r="D819" s="401">
        <f t="shared" si="3"/>
        <v>262500</v>
      </c>
      <c r="E819" s="401">
        <v>20</v>
      </c>
      <c r="F819" s="403">
        <f t="shared" si="4"/>
        <v>13125</v>
      </c>
      <c r="G819" s="417"/>
    </row>
    <row r="820" spans="1:9" ht="12.75" customHeight="1">
      <c r="A820" s="406" t="s">
        <v>190</v>
      </c>
      <c r="B820" s="401">
        <f t="shared" si="41"/>
        <v>100000</v>
      </c>
      <c r="C820" s="403">
        <f t="shared" si="13"/>
        <v>75000</v>
      </c>
      <c r="D820" s="403">
        <f t="shared" si="3"/>
        <v>175000</v>
      </c>
      <c r="E820" s="403">
        <v>20.207074375143055</v>
      </c>
      <c r="F820" s="403">
        <f t="shared" si="4"/>
        <v>8660.3333442108487</v>
      </c>
      <c r="G820" s="417"/>
    </row>
    <row r="821" spans="1:9" ht="12.75" customHeight="1">
      <c r="A821" s="406"/>
      <c r="B821" s="401"/>
      <c r="C821" s="401"/>
      <c r="D821" s="401"/>
      <c r="E821" s="401"/>
      <c r="F821" s="401"/>
      <c r="G821" s="417"/>
    </row>
    <row r="822" spans="1:9" ht="12.75" customHeight="1">
      <c r="A822" s="406"/>
      <c r="B822" s="401"/>
      <c r="C822" s="401"/>
      <c r="D822" s="401"/>
      <c r="E822" s="401"/>
      <c r="F822" s="401"/>
      <c r="G822" s="417"/>
    </row>
    <row r="823" spans="1:9" ht="12.75" customHeight="1">
      <c r="A823" s="406"/>
      <c r="B823" s="401"/>
      <c r="C823" s="401"/>
      <c r="D823" s="401"/>
      <c r="E823" s="401"/>
      <c r="F823" s="401"/>
      <c r="G823" s="417"/>
    </row>
    <row r="824" spans="1:9" ht="12.75" customHeight="1">
      <c r="A824" s="406"/>
      <c r="B824" s="401"/>
      <c r="C824" s="401"/>
      <c r="D824" s="401"/>
      <c r="E824" s="401"/>
      <c r="F824" s="401"/>
      <c r="G824" s="417"/>
    </row>
    <row r="825" spans="1:9" ht="12.75" customHeight="1">
      <c r="A825" s="406"/>
      <c r="B825" s="401"/>
      <c r="C825" s="401"/>
      <c r="D825" s="401"/>
      <c r="E825" s="401"/>
      <c r="F825" s="401" t="s">
        <v>189</v>
      </c>
      <c r="G825" s="417">
        <f t="shared" si="5"/>
        <v>21785.333344210849</v>
      </c>
    </row>
    <row r="826" spans="1:9" ht="12.75" customHeight="1">
      <c r="A826" s="406"/>
      <c r="B826" s="401"/>
      <c r="C826" s="401"/>
      <c r="D826" s="401"/>
      <c r="E826" s="401"/>
      <c r="F826" s="401"/>
      <c r="G826" s="417"/>
    </row>
    <row r="827" spans="1:9" ht="12.75" customHeight="1">
      <c r="A827" s="406" t="s">
        <v>209</v>
      </c>
      <c r="B827" s="401"/>
      <c r="C827" s="401" t="s">
        <v>210</v>
      </c>
      <c r="D827" s="471" t="s">
        <v>211</v>
      </c>
      <c r="E827" s="472"/>
      <c r="F827" s="472"/>
      <c r="G827" s="417">
        <f t="shared" si="33"/>
        <v>165157.6000114214</v>
      </c>
      <c r="I827">
        <v>214704.88</v>
      </c>
    </row>
    <row r="828" spans="1:9" ht="12.75" customHeight="1">
      <c r="A828" s="406"/>
      <c r="B828" s="401"/>
      <c r="C828" s="401"/>
      <c r="D828" s="401"/>
      <c r="E828" s="401"/>
      <c r="F828" s="401"/>
      <c r="G828" s="417"/>
    </row>
    <row r="829" spans="1:9" ht="12.75" customHeight="1">
      <c r="A829" s="406"/>
      <c r="B829" s="401"/>
      <c r="C829" s="401"/>
      <c r="D829" s="401"/>
      <c r="E829" s="401" t="s">
        <v>212</v>
      </c>
      <c r="F829" s="401"/>
      <c r="G829" s="417">
        <f t="shared" si="7"/>
        <v>49547.280003426415</v>
      </c>
    </row>
    <row r="830" spans="1:9" ht="12.75" customHeight="1">
      <c r="A830" s="406"/>
      <c r="B830" s="401"/>
      <c r="C830" s="401"/>
      <c r="D830" s="401"/>
      <c r="E830" s="401"/>
      <c r="F830" s="401"/>
      <c r="G830" s="417"/>
    </row>
    <row r="831" spans="1:9" ht="12.75" customHeight="1" thickBot="1">
      <c r="A831" s="411" t="s">
        <v>213</v>
      </c>
      <c r="B831" s="412"/>
      <c r="C831" s="412"/>
      <c r="D831" s="469" t="s">
        <v>214</v>
      </c>
      <c r="E831" s="470"/>
      <c r="F831" s="470"/>
      <c r="G831" s="418">
        <f t="shared" si="8"/>
        <v>214704.88001484782</v>
      </c>
    </row>
    <row r="832" spans="1:9" ht="15" customHeight="1">
      <c r="A832" s="468" t="s">
        <v>174</v>
      </c>
      <c r="B832" s="457"/>
      <c r="C832" s="457"/>
      <c r="D832" s="457"/>
      <c r="E832" s="457"/>
      <c r="F832" s="457"/>
      <c r="G832" s="457"/>
    </row>
    <row r="833" spans="1:7" ht="15" customHeight="1" thickBot="1">
      <c r="A833" s="73"/>
      <c r="B833" s="73"/>
      <c r="C833" s="73"/>
      <c r="D833" s="73"/>
      <c r="E833" s="73"/>
      <c r="F833" s="73"/>
      <c r="G833" s="440"/>
    </row>
    <row r="834" spans="1:7" ht="12.75" customHeight="1">
      <c r="A834" s="404" t="s">
        <v>175</v>
      </c>
      <c r="B834" s="405"/>
      <c r="C834" s="405"/>
      <c r="D834" s="428"/>
      <c r="E834" s="428"/>
      <c r="F834" s="428"/>
      <c r="G834" s="429"/>
    </row>
    <row r="835" spans="1:7" ht="12.75" customHeight="1">
      <c r="A835" s="406" t="str">
        <f>+A4</f>
        <v xml:space="preserve">OBRA N° Conducción - Red de Distribución  </v>
      </c>
      <c r="B835" s="401"/>
      <c r="C835" s="401"/>
      <c r="D835" s="401"/>
      <c r="E835" s="195"/>
      <c r="F835" s="402" t="s">
        <v>177</v>
      </c>
      <c r="G835" s="430">
        <f t="shared" ca="1" si="0"/>
        <v>46289</v>
      </c>
    </row>
    <row r="836" spans="1:7" ht="12.75" customHeight="1">
      <c r="A836" s="406"/>
      <c r="B836" s="426"/>
      <c r="C836" s="426"/>
      <c r="D836" s="426"/>
      <c r="E836" s="426"/>
      <c r="F836" s="426"/>
      <c r="G836" s="431"/>
    </row>
    <row r="837" spans="1:7" ht="12.75" customHeight="1">
      <c r="A837" s="406"/>
      <c r="B837" s="426"/>
      <c r="C837" s="426"/>
      <c r="D837" s="426"/>
      <c r="E837" s="426"/>
      <c r="F837" s="426"/>
      <c r="G837" s="431"/>
    </row>
    <row r="838" spans="1:7" ht="12.75" customHeight="1">
      <c r="A838" s="406" t="s">
        <v>545</v>
      </c>
      <c r="B838" s="401" t="s">
        <v>546</v>
      </c>
      <c r="C838" s="401"/>
      <c r="D838" s="401"/>
      <c r="E838" s="401"/>
      <c r="F838" s="401"/>
      <c r="G838" s="417"/>
    </row>
    <row r="839" spans="1:7" ht="12.75" customHeight="1">
      <c r="A839" s="406"/>
      <c r="B839" s="401"/>
      <c r="C839" s="401" t="s">
        <v>179</v>
      </c>
      <c r="D839" s="169">
        <v>1</v>
      </c>
      <c r="E839" s="401" t="s">
        <v>180</v>
      </c>
      <c r="F839" s="401" t="s">
        <v>262</v>
      </c>
      <c r="G839" s="417"/>
    </row>
    <row r="840" spans="1:7" ht="12.75" customHeight="1">
      <c r="A840" s="406" t="s">
        <v>182</v>
      </c>
      <c r="B840" s="401"/>
      <c r="C840" s="401"/>
      <c r="D840" s="401"/>
      <c r="E840" s="401"/>
      <c r="F840" s="401"/>
      <c r="G840" s="417"/>
    </row>
    <row r="841" spans="1:7" ht="12.75" customHeight="1">
      <c r="A841" s="408" t="s">
        <v>111</v>
      </c>
      <c r="B841" s="169" t="s">
        <v>183</v>
      </c>
      <c r="C841" s="169" t="s">
        <v>184</v>
      </c>
      <c r="D841" s="169" t="s">
        <v>185</v>
      </c>
      <c r="E841" s="169" t="s">
        <v>186</v>
      </c>
      <c r="F841" s="401"/>
      <c r="G841" s="417"/>
    </row>
    <row r="842" spans="1:7" ht="12.75" customHeight="1">
      <c r="A842" s="406" t="s">
        <v>187</v>
      </c>
      <c r="B842" s="401"/>
      <c r="C842" s="401"/>
      <c r="D842" s="401"/>
      <c r="E842" s="403">
        <f t="shared" si="14"/>
        <v>1211.6848214501022</v>
      </c>
      <c r="F842" s="401"/>
      <c r="G842" s="417"/>
    </row>
    <row r="843" spans="1:7" ht="12.75" customHeight="1">
      <c r="A843" s="406"/>
      <c r="B843" s="401"/>
      <c r="C843" s="401"/>
      <c r="D843" s="401"/>
      <c r="E843" s="401"/>
      <c r="F843" s="401"/>
      <c r="G843" s="417"/>
    </row>
    <row r="844" spans="1:7" ht="12.75" customHeight="1">
      <c r="A844" s="406"/>
      <c r="B844" s="401"/>
      <c r="C844" s="401"/>
      <c r="D844" s="401"/>
      <c r="E844" s="401"/>
      <c r="F844" s="401"/>
      <c r="G844" s="417"/>
    </row>
    <row r="845" spans="1:7" ht="12.75" customHeight="1">
      <c r="A845" s="406"/>
      <c r="B845" s="401"/>
      <c r="C845" s="401"/>
      <c r="D845" s="401"/>
      <c r="E845" s="401"/>
      <c r="F845" s="401" t="s">
        <v>189</v>
      </c>
      <c r="G845" s="417">
        <f t="shared" si="2"/>
        <v>1211.6848214501022</v>
      </c>
    </row>
    <row r="846" spans="1:7" ht="12.75" customHeight="1">
      <c r="A846" s="406" t="s">
        <v>191</v>
      </c>
      <c r="B846" s="401"/>
      <c r="C846" s="401"/>
      <c r="D846" s="401"/>
      <c r="E846" s="401"/>
      <c r="F846" s="401"/>
      <c r="G846" s="417"/>
    </row>
    <row r="847" spans="1:7" ht="12.75" customHeight="1">
      <c r="A847" s="408" t="s">
        <v>111</v>
      </c>
      <c r="B847" s="169" t="s">
        <v>193</v>
      </c>
      <c r="C847" s="169" t="s">
        <v>194</v>
      </c>
      <c r="D847" s="169" t="s">
        <v>195</v>
      </c>
      <c r="E847" s="169" t="s">
        <v>186</v>
      </c>
      <c r="F847" s="401"/>
      <c r="G847" s="417"/>
    </row>
    <row r="848" spans="1:7" ht="12.75" customHeight="1">
      <c r="A848" s="406" t="s">
        <v>333</v>
      </c>
      <c r="B848" s="169" t="s">
        <v>193</v>
      </c>
      <c r="C848" s="403">
        <f>265265*1.19</f>
        <v>315665.34999999998</v>
      </c>
      <c r="D848" s="401">
        <v>1</v>
      </c>
      <c r="E848" s="403">
        <f t="shared" si="15"/>
        <v>315665.34999999998</v>
      </c>
      <c r="F848" s="401"/>
      <c r="G848" s="417"/>
    </row>
    <row r="849" spans="1:7" ht="12.75" customHeight="1">
      <c r="A849" s="406" t="s">
        <v>547</v>
      </c>
      <c r="B849" s="169" t="s">
        <v>193</v>
      </c>
      <c r="C849" s="403">
        <f>9475*1.19</f>
        <v>11275.25</v>
      </c>
      <c r="D849" s="401">
        <v>2</v>
      </c>
      <c r="E849" s="403">
        <f t="shared" si="15"/>
        <v>22550.5</v>
      </c>
      <c r="F849" s="401"/>
      <c r="G849" s="417"/>
    </row>
    <row r="850" spans="1:7" ht="12.75" customHeight="1">
      <c r="A850" s="406" t="s">
        <v>272</v>
      </c>
      <c r="B850" s="169" t="s">
        <v>256</v>
      </c>
      <c r="C850" s="403">
        <v>1000</v>
      </c>
      <c r="D850" s="401">
        <v>1</v>
      </c>
      <c r="E850" s="403">
        <f t="shared" si="15"/>
        <v>1000</v>
      </c>
      <c r="F850" s="401"/>
      <c r="G850" s="417"/>
    </row>
    <row r="851" spans="1:7" ht="12.75" customHeight="1">
      <c r="A851" s="406"/>
      <c r="B851" s="169"/>
      <c r="C851" s="403"/>
      <c r="D851" s="401"/>
      <c r="E851" s="403"/>
      <c r="F851" s="401"/>
      <c r="G851" s="417"/>
    </row>
    <row r="852" spans="1:7" ht="12.75" customHeight="1">
      <c r="A852" s="406"/>
      <c r="B852" s="169"/>
      <c r="C852" s="401"/>
      <c r="D852" s="401"/>
      <c r="E852" s="403"/>
      <c r="F852" s="401"/>
      <c r="G852" s="417"/>
    </row>
    <row r="853" spans="1:7" ht="12.75" customHeight="1">
      <c r="A853" s="406"/>
      <c r="B853" s="401"/>
      <c r="C853" s="401"/>
      <c r="D853" s="401"/>
      <c r="E853" s="401"/>
      <c r="F853" s="401"/>
      <c r="G853" s="417"/>
    </row>
    <row r="854" spans="1:7" ht="12.75" customHeight="1">
      <c r="A854" s="406"/>
      <c r="B854" s="401"/>
      <c r="C854" s="401"/>
      <c r="D854" s="401"/>
      <c r="E854" s="401"/>
      <c r="F854" s="401" t="s">
        <v>189</v>
      </c>
      <c r="G854" s="417">
        <f t="shared" si="10"/>
        <v>339215.85</v>
      </c>
    </row>
    <row r="855" spans="1:7" ht="12.75" customHeight="1">
      <c r="A855" s="406" t="s">
        <v>197</v>
      </c>
      <c r="B855" s="401"/>
      <c r="C855" s="401"/>
      <c r="D855" s="401"/>
      <c r="E855" s="401"/>
      <c r="F855" s="401"/>
      <c r="G855" s="417"/>
    </row>
    <row r="856" spans="1:7" ht="12.75" customHeight="1">
      <c r="A856" s="408" t="s">
        <v>198</v>
      </c>
      <c r="B856" s="169" t="s">
        <v>199</v>
      </c>
      <c r="C856" s="169" t="s">
        <v>200</v>
      </c>
      <c r="D856" s="169" t="s">
        <v>201</v>
      </c>
      <c r="E856" s="169" t="s">
        <v>186</v>
      </c>
      <c r="F856" s="401"/>
      <c r="G856" s="417"/>
    </row>
    <row r="857" spans="1:7" ht="12.75" customHeight="1">
      <c r="A857" s="406" t="s">
        <v>232</v>
      </c>
      <c r="B857" s="401"/>
      <c r="C857" s="401"/>
      <c r="D857" s="401"/>
      <c r="E857" s="401"/>
      <c r="F857" s="401"/>
      <c r="G857" s="417"/>
    </row>
    <row r="858" spans="1:7" ht="12.75" customHeight="1">
      <c r="A858" s="406"/>
      <c r="B858" s="401"/>
      <c r="C858" s="401"/>
      <c r="D858" s="401"/>
      <c r="E858" s="401"/>
      <c r="F858" s="401"/>
      <c r="G858" s="417"/>
    </row>
    <row r="859" spans="1:7" ht="12.75" customHeight="1">
      <c r="A859" s="406"/>
      <c r="B859" s="401"/>
      <c r="C859" s="401"/>
      <c r="D859" s="401"/>
      <c r="E859" s="401"/>
      <c r="F859" s="401"/>
      <c r="G859" s="417"/>
    </row>
    <row r="860" spans="1:7" ht="12.75" customHeight="1">
      <c r="A860" s="406"/>
      <c r="B860" s="401"/>
      <c r="C860" s="401"/>
      <c r="D860" s="401"/>
      <c r="E860" s="401"/>
      <c r="F860" s="401"/>
      <c r="G860" s="417"/>
    </row>
    <row r="861" spans="1:7" ht="12.75" customHeight="1">
      <c r="A861" s="406"/>
      <c r="B861" s="401"/>
      <c r="C861" s="401"/>
      <c r="D861" s="401"/>
      <c r="E861" s="401"/>
      <c r="F861" s="401" t="s">
        <v>189</v>
      </c>
      <c r="G861" s="417">
        <f t="shared" si="11"/>
        <v>0</v>
      </c>
    </row>
    <row r="862" spans="1:7" ht="12.75" customHeight="1">
      <c r="A862" s="406" t="s">
        <v>202</v>
      </c>
      <c r="B862" s="401"/>
      <c r="C862" s="401"/>
      <c r="D862" s="401"/>
      <c r="E862" s="401"/>
      <c r="F862" s="401"/>
      <c r="G862" s="417"/>
    </row>
    <row r="863" spans="1:7" ht="12.75" customHeight="1">
      <c r="A863" s="408" t="s">
        <v>203</v>
      </c>
      <c r="B863" s="169" t="s">
        <v>204</v>
      </c>
      <c r="C863" s="169" t="s">
        <v>205</v>
      </c>
      <c r="D863" s="169" t="s">
        <v>206</v>
      </c>
      <c r="E863" s="169" t="s">
        <v>207</v>
      </c>
      <c r="F863" s="169" t="s">
        <v>208</v>
      </c>
      <c r="G863" s="417"/>
    </row>
    <row r="864" spans="1:7" ht="12.75" customHeight="1">
      <c r="A864" s="406" t="s">
        <v>188</v>
      </c>
      <c r="B864" s="401">
        <f>+B164</f>
        <v>150000</v>
      </c>
      <c r="C864" s="401">
        <f t="shared" si="13"/>
        <v>112500</v>
      </c>
      <c r="D864" s="401">
        <f t="shared" si="3"/>
        <v>262500</v>
      </c>
      <c r="E864" s="401">
        <v>18</v>
      </c>
      <c r="F864" s="403">
        <f t="shared" si="4"/>
        <v>14583.333333333334</v>
      </c>
      <c r="G864" s="417"/>
    </row>
    <row r="865" spans="1:9" ht="12.75" customHeight="1">
      <c r="A865" s="406" t="s">
        <v>190</v>
      </c>
      <c r="B865" s="401">
        <f>+B165</f>
        <v>100000</v>
      </c>
      <c r="C865" s="403">
        <f t="shared" si="13"/>
        <v>75000</v>
      </c>
      <c r="D865" s="403">
        <f t="shared" si="3"/>
        <v>175000</v>
      </c>
      <c r="E865" s="403">
        <v>18.134032705830911</v>
      </c>
      <c r="F865" s="403">
        <f t="shared" si="4"/>
        <v>9650.3630956687084</v>
      </c>
      <c r="G865" s="417"/>
    </row>
    <row r="866" spans="1:9" ht="12.75" customHeight="1">
      <c r="A866" s="406"/>
      <c r="B866" s="401"/>
      <c r="C866" s="401"/>
      <c r="D866" s="401"/>
      <c r="E866" s="401"/>
      <c r="F866" s="401"/>
      <c r="G866" s="417"/>
    </row>
    <row r="867" spans="1:9" ht="12.75" customHeight="1">
      <c r="A867" s="406"/>
      <c r="B867" s="401"/>
      <c r="C867" s="401"/>
      <c r="D867" s="401"/>
      <c r="E867" s="401"/>
      <c r="F867" s="401"/>
      <c r="G867" s="417"/>
    </row>
    <row r="868" spans="1:9" ht="12.75" customHeight="1">
      <c r="A868" s="406"/>
      <c r="B868" s="401"/>
      <c r="C868" s="401"/>
      <c r="D868" s="401"/>
      <c r="E868" s="401"/>
      <c r="F868" s="401"/>
      <c r="G868" s="417"/>
    </row>
    <row r="869" spans="1:9" ht="12.75" customHeight="1">
      <c r="A869" s="406"/>
      <c r="B869" s="401"/>
      <c r="C869" s="401"/>
      <c r="D869" s="401"/>
      <c r="E869" s="401"/>
      <c r="F869" s="401" t="s">
        <v>189</v>
      </c>
      <c r="G869" s="417">
        <f t="shared" si="30"/>
        <v>24233.696429002041</v>
      </c>
    </row>
    <row r="870" spans="1:9" ht="12.75" customHeight="1">
      <c r="A870" s="406"/>
      <c r="B870" s="401"/>
      <c r="C870" s="401"/>
      <c r="D870" s="401"/>
      <c r="E870" s="401"/>
      <c r="F870" s="401"/>
      <c r="G870" s="417"/>
    </row>
    <row r="871" spans="1:9" ht="12.75" customHeight="1">
      <c r="A871" s="406" t="s">
        <v>209</v>
      </c>
      <c r="B871" s="401"/>
      <c r="C871" s="401" t="s">
        <v>210</v>
      </c>
      <c r="D871" s="471" t="s">
        <v>211</v>
      </c>
      <c r="E871" s="472"/>
      <c r="F871" s="472"/>
      <c r="G871" s="417">
        <f t="shared" si="31"/>
        <v>364661.23125045211</v>
      </c>
      <c r="I871">
        <v>474059.6</v>
      </c>
    </row>
    <row r="872" spans="1:9" ht="12.75" customHeight="1">
      <c r="A872" s="406"/>
      <c r="B872" s="401"/>
      <c r="C872" s="401"/>
      <c r="D872" s="401"/>
      <c r="E872" s="401"/>
      <c r="F872" s="401"/>
      <c r="G872" s="417"/>
    </row>
    <row r="873" spans="1:9" ht="12.75" customHeight="1">
      <c r="A873" s="406"/>
      <c r="B873" s="401"/>
      <c r="C873" s="401"/>
      <c r="D873" s="401"/>
      <c r="E873" s="401" t="s">
        <v>212</v>
      </c>
      <c r="F873" s="401"/>
      <c r="G873" s="417">
        <f t="shared" si="7"/>
        <v>109398.36937513563</v>
      </c>
    </row>
    <row r="874" spans="1:9" ht="12.75" customHeight="1">
      <c r="A874" s="406"/>
      <c r="B874" s="401"/>
      <c r="C874" s="401"/>
      <c r="D874" s="401"/>
      <c r="E874" s="401"/>
      <c r="F874" s="401"/>
      <c r="G874" s="417"/>
    </row>
    <row r="875" spans="1:9" ht="12.75" customHeight="1" thickBot="1">
      <c r="A875" s="411" t="s">
        <v>213</v>
      </c>
      <c r="B875" s="412"/>
      <c r="C875" s="412"/>
      <c r="D875" s="469" t="s">
        <v>214</v>
      </c>
      <c r="E875" s="470"/>
      <c r="F875" s="470"/>
      <c r="G875" s="418">
        <f t="shared" si="8"/>
        <v>474059.60062558774</v>
      </c>
    </row>
    <row r="876" spans="1:9" ht="15" customHeight="1" thickBot="1">
      <c r="A876" s="468" t="s">
        <v>174</v>
      </c>
      <c r="B876" s="457"/>
      <c r="C876" s="457"/>
      <c r="D876" s="457"/>
      <c r="E876" s="457"/>
      <c r="F876" s="457"/>
      <c r="G876" s="457"/>
    </row>
    <row r="877" spans="1:9" ht="15" customHeight="1">
      <c r="A877" s="449"/>
      <c r="B877" s="175"/>
      <c r="C877" s="175"/>
      <c r="D877" s="175"/>
      <c r="E877" s="175"/>
      <c r="F877" s="175"/>
      <c r="G877" s="450"/>
    </row>
    <row r="878" spans="1:9" ht="12.75" customHeight="1">
      <c r="A878" s="406" t="s">
        <v>175</v>
      </c>
      <c r="B878" s="401"/>
      <c r="C878" s="401"/>
      <c r="D878" s="426"/>
      <c r="E878" s="426"/>
      <c r="F878" s="426"/>
      <c r="G878" s="431"/>
    </row>
    <row r="879" spans="1:9" ht="12.75" customHeight="1">
      <c r="A879" s="406" t="str">
        <f>+A4</f>
        <v xml:space="preserve">OBRA N° Conducción - Red de Distribución  </v>
      </c>
      <c r="B879" s="401"/>
      <c r="C879" s="401"/>
      <c r="D879" s="401"/>
      <c r="E879" s="195"/>
      <c r="F879" s="402" t="s">
        <v>177</v>
      </c>
      <c r="G879" s="430">
        <f t="shared" ca="1" si="0"/>
        <v>46289</v>
      </c>
    </row>
    <row r="880" spans="1:9" ht="12.75" customHeight="1">
      <c r="A880" s="406"/>
      <c r="B880" s="426"/>
      <c r="C880" s="426"/>
      <c r="D880" s="426"/>
      <c r="E880" s="426"/>
      <c r="F880" s="426"/>
      <c r="G880" s="431"/>
    </row>
    <row r="881" spans="1:7" ht="12.75" customHeight="1">
      <c r="A881" s="406"/>
      <c r="B881" s="426"/>
      <c r="C881" s="426"/>
      <c r="D881" s="426"/>
      <c r="E881" s="426"/>
      <c r="F881" s="426"/>
      <c r="G881" s="431"/>
    </row>
    <row r="882" spans="1:7" ht="12.75" customHeight="1">
      <c r="A882" s="406" t="s">
        <v>548</v>
      </c>
      <c r="B882" s="401" t="s">
        <v>549</v>
      </c>
      <c r="C882" s="401"/>
      <c r="D882" s="401"/>
      <c r="E882" s="401"/>
      <c r="F882" s="401"/>
      <c r="G882" s="417"/>
    </row>
    <row r="883" spans="1:7" ht="12.75" customHeight="1">
      <c r="A883" s="406"/>
      <c r="B883" s="401"/>
      <c r="C883" s="401" t="s">
        <v>179</v>
      </c>
      <c r="D883" s="169">
        <v>4</v>
      </c>
      <c r="E883" s="401" t="s">
        <v>180</v>
      </c>
      <c r="F883" s="401" t="s">
        <v>262</v>
      </c>
      <c r="G883" s="417"/>
    </row>
    <row r="884" spans="1:7" ht="12.75" customHeight="1">
      <c r="A884" s="406" t="s">
        <v>182</v>
      </c>
      <c r="B884" s="401"/>
      <c r="C884" s="401"/>
      <c r="D884" s="401"/>
      <c r="E884" s="401"/>
      <c r="F884" s="401"/>
      <c r="G884" s="417"/>
    </row>
    <row r="885" spans="1:7" ht="12.75" customHeight="1">
      <c r="A885" s="408" t="s">
        <v>111</v>
      </c>
      <c r="B885" s="169" t="s">
        <v>183</v>
      </c>
      <c r="C885" s="169" t="s">
        <v>184</v>
      </c>
      <c r="D885" s="169" t="s">
        <v>185</v>
      </c>
      <c r="E885" s="169" t="s">
        <v>186</v>
      </c>
      <c r="F885" s="401"/>
      <c r="G885" s="417"/>
    </row>
    <row r="886" spans="1:7" ht="12.75" customHeight="1">
      <c r="A886" s="406" t="s">
        <v>187</v>
      </c>
      <c r="B886" s="401"/>
      <c r="C886" s="401"/>
      <c r="D886" s="401"/>
      <c r="E886" s="403">
        <f t="shared" si="14"/>
        <v>2979.7710622721465</v>
      </c>
      <c r="F886" s="401"/>
      <c r="G886" s="417"/>
    </row>
    <row r="887" spans="1:7" ht="12.75" customHeight="1">
      <c r="A887" s="406"/>
      <c r="B887" s="401"/>
      <c r="C887" s="401"/>
      <c r="D887" s="401"/>
      <c r="E887" s="401"/>
      <c r="F887" s="401"/>
      <c r="G887" s="417"/>
    </row>
    <row r="888" spans="1:7" ht="12.75" customHeight="1">
      <c r="A888" s="406"/>
      <c r="B888" s="401"/>
      <c r="C888" s="401"/>
      <c r="D888" s="401"/>
      <c r="E888" s="401"/>
      <c r="F888" s="401"/>
      <c r="G888" s="417"/>
    </row>
    <row r="889" spans="1:7" ht="12.75" customHeight="1">
      <c r="A889" s="406"/>
      <c r="B889" s="401"/>
      <c r="C889" s="401"/>
      <c r="D889" s="401"/>
      <c r="E889" s="401"/>
      <c r="F889" s="401" t="s">
        <v>189</v>
      </c>
      <c r="G889" s="417">
        <f t="shared" si="2"/>
        <v>2979.7710622721465</v>
      </c>
    </row>
    <row r="890" spans="1:7" ht="12.75" customHeight="1">
      <c r="A890" s="406" t="s">
        <v>191</v>
      </c>
      <c r="B890" s="401"/>
      <c r="C890" s="401"/>
      <c r="D890" s="401"/>
      <c r="E890" s="401"/>
      <c r="F890" s="401"/>
      <c r="G890" s="417"/>
    </row>
    <row r="891" spans="1:7" ht="12.75" customHeight="1">
      <c r="A891" s="408" t="s">
        <v>111</v>
      </c>
      <c r="B891" s="169" t="s">
        <v>193</v>
      </c>
      <c r="C891" s="169" t="s">
        <v>194</v>
      </c>
      <c r="D891" s="169" t="s">
        <v>195</v>
      </c>
      <c r="E891" s="169" t="s">
        <v>186</v>
      </c>
      <c r="F891" s="401"/>
      <c r="G891" s="417"/>
    </row>
    <row r="892" spans="1:7" ht="12.75" customHeight="1">
      <c r="A892" s="406" t="s">
        <v>550</v>
      </c>
      <c r="B892" s="169" t="s">
        <v>193</v>
      </c>
      <c r="C892" s="403">
        <f>198000*1.19</f>
        <v>235620</v>
      </c>
      <c r="D892" s="401">
        <v>1</v>
      </c>
      <c r="E892" s="403">
        <f t="shared" si="15"/>
        <v>235620</v>
      </c>
      <c r="F892" s="401"/>
      <c r="G892" s="417"/>
    </row>
    <row r="893" spans="1:7" ht="12.75" customHeight="1">
      <c r="A893" s="406" t="s">
        <v>539</v>
      </c>
      <c r="B893" s="169" t="s">
        <v>193</v>
      </c>
      <c r="C893" s="403">
        <v>35000</v>
      </c>
      <c r="D893" s="401">
        <v>1</v>
      </c>
      <c r="E893" s="403">
        <f t="shared" si="15"/>
        <v>35000</v>
      </c>
      <c r="F893" s="401"/>
      <c r="G893" s="417"/>
    </row>
    <row r="894" spans="1:7" ht="12.75" customHeight="1">
      <c r="A894" s="406" t="s">
        <v>551</v>
      </c>
      <c r="B894" s="169" t="s">
        <v>193</v>
      </c>
      <c r="C894" s="403">
        <v>3500</v>
      </c>
      <c r="D894" s="401">
        <v>2</v>
      </c>
      <c r="E894" s="403">
        <f t="shared" si="15"/>
        <v>7000</v>
      </c>
      <c r="F894" s="401"/>
      <c r="G894" s="417"/>
    </row>
    <row r="895" spans="1:7" ht="12.75" customHeight="1">
      <c r="A895" s="406" t="s">
        <v>272</v>
      </c>
      <c r="B895" s="169" t="s">
        <v>256</v>
      </c>
      <c r="C895" s="403">
        <v>700</v>
      </c>
      <c r="D895" s="401">
        <v>1</v>
      </c>
      <c r="E895" s="403">
        <f t="shared" si="15"/>
        <v>700</v>
      </c>
      <c r="F895" s="401"/>
      <c r="G895" s="417"/>
    </row>
    <row r="896" spans="1:7" ht="12.75" customHeight="1">
      <c r="A896" s="406"/>
      <c r="B896" s="169"/>
      <c r="C896" s="401"/>
      <c r="D896" s="401"/>
      <c r="E896" s="403"/>
      <c r="F896" s="401"/>
      <c r="G896" s="417"/>
    </row>
    <row r="897" spans="1:7" ht="12.75" customHeight="1">
      <c r="A897" s="406"/>
      <c r="B897" s="401"/>
      <c r="C897" s="401"/>
      <c r="D897" s="401"/>
      <c r="E897" s="401"/>
      <c r="F897" s="401"/>
      <c r="G897" s="417"/>
    </row>
    <row r="898" spans="1:7" ht="12.75" customHeight="1">
      <c r="A898" s="406"/>
      <c r="B898" s="401"/>
      <c r="C898" s="401"/>
      <c r="D898" s="401"/>
      <c r="E898" s="401"/>
      <c r="F898" s="401" t="s">
        <v>189</v>
      </c>
      <c r="G898" s="417">
        <f t="shared" si="10"/>
        <v>278320</v>
      </c>
    </row>
    <row r="899" spans="1:7" ht="12.75" customHeight="1">
      <c r="A899" s="406" t="s">
        <v>197</v>
      </c>
      <c r="B899" s="401"/>
      <c r="C899" s="401"/>
      <c r="D899" s="401"/>
      <c r="E899" s="401"/>
      <c r="F899" s="401"/>
      <c r="G899" s="417"/>
    </row>
    <row r="900" spans="1:7" ht="12.75" customHeight="1">
      <c r="A900" s="408" t="s">
        <v>198</v>
      </c>
      <c r="B900" s="169" t="s">
        <v>199</v>
      </c>
      <c r="C900" s="169" t="s">
        <v>200</v>
      </c>
      <c r="D900" s="169" t="s">
        <v>201</v>
      </c>
      <c r="E900" s="169" t="s">
        <v>186</v>
      </c>
      <c r="F900" s="401"/>
      <c r="G900" s="417"/>
    </row>
    <row r="901" spans="1:7" ht="12.75" customHeight="1">
      <c r="A901" s="406" t="s">
        <v>232</v>
      </c>
      <c r="B901" s="401"/>
      <c r="C901" s="401"/>
      <c r="D901" s="401"/>
      <c r="E901" s="401"/>
      <c r="F901" s="401"/>
      <c r="G901" s="417"/>
    </row>
    <row r="902" spans="1:7" ht="12.75" customHeight="1">
      <c r="A902" s="406"/>
      <c r="B902" s="401"/>
      <c r="C902" s="401"/>
      <c r="D902" s="401"/>
      <c r="E902" s="401"/>
      <c r="F902" s="401"/>
      <c r="G902" s="417"/>
    </row>
    <row r="903" spans="1:7" ht="12.75" customHeight="1">
      <c r="A903" s="406"/>
      <c r="B903" s="401"/>
      <c r="C903" s="401"/>
      <c r="D903" s="401"/>
      <c r="E903" s="401"/>
      <c r="F903" s="401"/>
      <c r="G903" s="417"/>
    </row>
    <row r="904" spans="1:7" ht="12.75" customHeight="1">
      <c r="A904" s="406"/>
      <c r="B904" s="401"/>
      <c r="C904" s="401"/>
      <c r="D904" s="401"/>
      <c r="E904" s="401"/>
      <c r="F904" s="401"/>
      <c r="G904" s="417"/>
    </row>
    <row r="905" spans="1:7" ht="12.75" customHeight="1">
      <c r="A905" s="406"/>
      <c r="B905" s="401"/>
      <c r="C905" s="401"/>
      <c r="D905" s="401"/>
      <c r="E905" s="401"/>
      <c r="F905" s="401" t="s">
        <v>189</v>
      </c>
      <c r="G905" s="417">
        <f t="shared" si="11"/>
        <v>0</v>
      </c>
    </row>
    <row r="906" spans="1:7" ht="12.75" customHeight="1">
      <c r="A906" s="406" t="s">
        <v>202</v>
      </c>
      <c r="B906" s="401"/>
      <c r="C906" s="401"/>
      <c r="D906" s="401"/>
      <c r="E906" s="401"/>
      <c r="F906" s="401"/>
      <c r="G906" s="417"/>
    </row>
    <row r="907" spans="1:7" ht="12.75" customHeight="1">
      <c r="A907" s="408" t="s">
        <v>203</v>
      </c>
      <c r="B907" s="169" t="s">
        <v>204</v>
      </c>
      <c r="C907" s="169" t="s">
        <v>205</v>
      </c>
      <c r="D907" s="169" t="s">
        <v>206</v>
      </c>
      <c r="E907" s="169" t="s">
        <v>207</v>
      </c>
      <c r="F907" s="169" t="s">
        <v>208</v>
      </c>
      <c r="G907" s="417"/>
    </row>
    <row r="908" spans="1:7" ht="12.75" customHeight="1">
      <c r="A908" s="406" t="s">
        <v>188</v>
      </c>
      <c r="B908" s="401">
        <f>+B164</f>
        <v>150000</v>
      </c>
      <c r="C908" s="401">
        <f t="shared" si="13"/>
        <v>112500</v>
      </c>
      <c r="D908" s="401">
        <f t="shared" si="3"/>
        <v>262500</v>
      </c>
      <c r="E908" s="403">
        <v>7.5877093138323248</v>
      </c>
      <c r="F908" s="403">
        <f t="shared" si="4"/>
        <v>34595.421245442929</v>
      </c>
      <c r="G908" s="417"/>
    </row>
    <row r="909" spans="1:7" ht="12.75" customHeight="1">
      <c r="A909" s="406" t="s">
        <v>190</v>
      </c>
      <c r="B909" s="401">
        <f>+B165</f>
        <v>100000</v>
      </c>
      <c r="C909" s="403">
        <f t="shared" si="13"/>
        <v>75000</v>
      </c>
      <c r="D909" s="403">
        <f t="shared" si="3"/>
        <v>175000</v>
      </c>
      <c r="E909" s="401">
        <v>7</v>
      </c>
      <c r="F909" s="403">
        <f t="shared" si="4"/>
        <v>25000</v>
      </c>
      <c r="G909" s="417"/>
    </row>
    <row r="910" spans="1:7" ht="12.75" customHeight="1">
      <c r="A910" s="406"/>
      <c r="B910" s="401"/>
      <c r="C910" s="401"/>
      <c r="D910" s="401"/>
      <c r="E910" s="401"/>
      <c r="F910" s="401"/>
      <c r="G910" s="417"/>
    </row>
    <row r="911" spans="1:7" ht="12.75" customHeight="1">
      <c r="A911" s="406"/>
      <c r="B911" s="401"/>
      <c r="C911" s="401"/>
      <c r="D911" s="401"/>
      <c r="E911" s="401"/>
      <c r="F911" s="401"/>
      <c r="G911" s="417"/>
    </row>
    <row r="912" spans="1:7" ht="12.75" customHeight="1">
      <c r="A912" s="406"/>
      <c r="B912" s="401"/>
      <c r="C912" s="401"/>
      <c r="D912" s="401"/>
      <c r="E912" s="401"/>
      <c r="F912" s="401"/>
      <c r="G912" s="417"/>
    </row>
    <row r="913" spans="1:9" ht="12.75" customHeight="1">
      <c r="A913" s="406"/>
      <c r="B913" s="401"/>
      <c r="C913" s="401"/>
      <c r="D913" s="401"/>
      <c r="E913" s="401"/>
      <c r="F913" s="401" t="s">
        <v>189</v>
      </c>
      <c r="G913" s="417">
        <f t="shared" si="30"/>
        <v>59595.421245442929</v>
      </c>
    </row>
    <row r="914" spans="1:9" ht="12.75" customHeight="1">
      <c r="A914" s="406"/>
      <c r="B914" s="401"/>
      <c r="C914" s="401"/>
      <c r="D914" s="401"/>
      <c r="E914" s="401"/>
      <c r="F914" s="401"/>
      <c r="G914" s="417"/>
    </row>
    <row r="915" spans="1:9" ht="12.75" customHeight="1">
      <c r="A915" s="406" t="s">
        <v>209</v>
      </c>
      <c r="B915" s="401"/>
      <c r="C915" s="401" t="s">
        <v>210</v>
      </c>
      <c r="D915" s="471" t="s">
        <v>211</v>
      </c>
      <c r="E915" s="472"/>
      <c r="F915" s="472"/>
      <c r="G915" s="417">
        <f t="shared" si="31"/>
        <v>340895.19230771507</v>
      </c>
      <c r="I915">
        <v>443163.75</v>
      </c>
    </row>
    <row r="916" spans="1:9" ht="12.75" customHeight="1">
      <c r="A916" s="406"/>
      <c r="B916" s="401"/>
      <c r="C916" s="401"/>
      <c r="D916" s="401"/>
      <c r="E916" s="401"/>
      <c r="F916" s="401"/>
      <c r="G916" s="417"/>
    </row>
    <row r="917" spans="1:9" ht="12.75" customHeight="1">
      <c r="A917" s="406"/>
      <c r="B917" s="401"/>
      <c r="C917" s="401"/>
      <c r="D917" s="401"/>
      <c r="E917" s="401" t="s">
        <v>212</v>
      </c>
      <c r="F917" s="401"/>
      <c r="G917" s="417">
        <f t="shared" si="7"/>
        <v>102268.55769231451</v>
      </c>
    </row>
    <row r="918" spans="1:9" ht="12.75" customHeight="1">
      <c r="A918" s="406"/>
      <c r="B918" s="401"/>
      <c r="C918" s="401"/>
      <c r="D918" s="401"/>
      <c r="E918" s="401"/>
      <c r="F918" s="401"/>
      <c r="G918" s="417"/>
    </row>
    <row r="919" spans="1:9" ht="12.75" customHeight="1" thickBot="1">
      <c r="A919" s="411" t="s">
        <v>213</v>
      </c>
      <c r="B919" s="412"/>
      <c r="C919" s="412"/>
      <c r="D919" s="469" t="s">
        <v>214</v>
      </c>
      <c r="E919" s="470"/>
      <c r="F919" s="470"/>
      <c r="G919" s="418">
        <f t="shared" si="8"/>
        <v>443163.75000002957</v>
      </c>
    </row>
    <row r="920" spans="1:9" ht="15" customHeight="1">
      <c r="A920" s="468" t="s">
        <v>174</v>
      </c>
      <c r="B920" s="457"/>
      <c r="C920" s="457"/>
      <c r="D920" s="457"/>
      <c r="E920" s="457"/>
      <c r="F920" s="457"/>
      <c r="G920" s="457"/>
    </row>
    <row r="921" spans="1:9" ht="12.75" customHeight="1" thickBot="1">
      <c r="A921" s="77"/>
      <c r="B921" s="77"/>
      <c r="C921" s="77"/>
      <c r="D921" s="77"/>
      <c r="E921" s="77"/>
      <c r="F921" s="77"/>
    </row>
    <row r="922" spans="1:9" ht="12.75" customHeight="1">
      <c r="A922" s="404" t="s">
        <v>175</v>
      </c>
      <c r="B922" s="405"/>
      <c r="C922" s="405"/>
      <c r="D922" s="428"/>
      <c r="E922" s="428"/>
      <c r="F922" s="428"/>
      <c r="G922" s="429"/>
    </row>
    <row r="923" spans="1:9" ht="12.75" customHeight="1">
      <c r="A923" s="406" t="str">
        <f>+A4</f>
        <v xml:space="preserve">OBRA N° Conducción - Red de Distribución  </v>
      </c>
      <c r="B923" s="401"/>
      <c r="C923" s="401"/>
      <c r="D923" s="401"/>
      <c r="E923" s="195"/>
      <c r="F923" s="402" t="s">
        <v>177</v>
      </c>
      <c r="G923" s="430">
        <f t="shared" ca="1" si="0"/>
        <v>46289</v>
      </c>
    </row>
    <row r="924" spans="1:9" ht="12.75" customHeight="1">
      <c r="A924" s="406"/>
      <c r="B924" s="426"/>
      <c r="C924" s="426"/>
      <c r="D924" s="426"/>
      <c r="E924" s="426"/>
      <c r="F924" s="426"/>
      <c r="G924" s="431"/>
    </row>
    <row r="925" spans="1:9" ht="12.75" customHeight="1">
      <c r="A925" s="406" t="s">
        <v>871</v>
      </c>
      <c r="B925" s="401" t="s">
        <v>552</v>
      </c>
      <c r="C925" s="401"/>
      <c r="D925" s="401"/>
      <c r="E925" s="401"/>
      <c r="F925" s="401"/>
      <c r="G925" s="417"/>
    </row>
    <row r="926" spans="1:9" ht="12.75" customHeight="1">
      <c r="A926" s="406" t="s">
        <v>553</v>
      </c>
      <c r="B926" s="401"/>
      <c r="C926" s="401" t="s">
        <v>179</v>
      </c>
      <c r="D926" s="169">
        <v>4</v>
      </c>
      <c r="E926" s="401" t="s">
        <v>180</v>
      </c>
      <c r="F926" s="401" t="s">
        <v>262</v>
      </c>
      <c r="G926" s="417"/>
    </row>
    <row r="927" spans="1:9" ht="12.75" customHeight="1">
      <c r="A927" s="406" t="s">
        <v>182</v>
      </c>
      <c r="B927" s="401"/>
      <c r="C927" s="401"/>
      <c r="D927" s="401"/>
      <c r="E927" s="401"/>
      <c r="F927" s="401"/>
      <c r="G927" s="417"/>
    </row>
    <row r="928" spans="1:9" ht="12.75" customHeight="1">
      <c r="A928" s="408" t="s">
        <v>111</v>
      </c>
      <c r="B928" s="169" t="s">
        <v>183</v>
      </c>
      <c r="C928" s="169" t="s">
        <v>184</v>
      </c>
      <c r="D928" s="169" t="s">
        <v>185</v>
      </c>
      <c r="E928" s="169" t="s">
        <v>186</v>
      </c>
      <c r="F928" s="401"/>
      <c r="G928" s="417"/>
    </row>
    <row r="929" spans="1:7" ht="12.75" customHeight="1">
      <c r="A929" s="406" t="s">
        <v>187</v>
      </c>
      <c r="B929" s="401"/>
      <c r="C929" s="401"/>
      <c r="D929" s="401"/>
      <c r="E929" s="403">
        <f t="shared" si="1"/>
        <v>6774.5238095454688</v>
      </c>
      <c r="F929" s="401"/>
      <c r="G929" s="417"/>
    </row>
    <row r="930" spans="1:7" ht="12.75" customHeight="1">
      <c r="A930" s="406"/>
      <c r="B930" s="401"/>
      <c r="C930" s="401"/>
      <c r="D930" s="401"/>
      <c r="E930" s="401"/>
      <c r="F930" s="401"/>
      <c r="G930" s="417"/>
    </row>
    <row r="931" spans="1:7" ht="12.75" customHeight="1">
      <c r="A931" s="406"/>
      <c r="B931" s="401"/>
      <c r="C931" s="401"/>
      <c r="D931" s="401"/>
      <c r="E931" s="401"/>
      <c r="F931" s="401"/>
      <c r="G931" s="417"/>
    </row>
    <row r="932" spans="1:7" ht="12.75" customHeight="1">
      <c r="A932" s="406"/>
      <c r="B932" s="401"/>
      <c r="C932" s="401"/>
      <c r="D932" s="401"/>
      <c r="E932" s="401"/>
      <c r="F932" s="401" t="s">
        <v>189</v>
      </c>
      <c r="G932" s="417">
        <f t="shared" si="2"/>
        <v>6774.5238095454688</v>
      </c>
    </row>
    <row r="933" spans="1:7" ht="12.75" customHeight="1">
      <c r="A933" s="406" t="s">
        <v>191</v>
      </c>
      <c r="B933" s="401"/>
      <c r="C933" s="401"/>
      <c r="D933" s="401"/>
      <c r="E933" s="401"/>
      <c r="F933" s="401"/>
      <c r="G933" s="417"/>
    </row>
    <row r="934" spans="1:7" ht="12.75" customHeight="1">
      <c r="A934" s="408" t="s">
        <v>111</v>
      </c>
      <c r="B934" s="169" t="s">
        <v>193</v>
      </c>
      <c r="C934" s="169" t="s">
        <v>194</v>
      </c>
      <c r="D934" s="169" t="s">
        <v>195</v>
      </c>
      <c r="E934" s="169" t="s">
        <v>186</v>
      </c>
      <c r="F934" s="401"/>
      <c r="G934" s="417"/>
    </row>
    <row r="935" spans="1:7" ht="12.75" customHeight="1">
      <c r="A935" s="406" t="s">
        <v>554</v>
      </c>
      <c r="B935" s="169" t="s">
        <v>193</v>
      </c>
      <c r="C935" s="403">
        <f>129000*1.19</f>
        <v>153510</v>
      </c>
      <c r="D935" s="401">
        <v>1</v>
      </c>
      <c r="E935" s="403">
        <f t="shared" si="15"/>
        <v>153510</v>
      </c>
      <c r="F935" s="401"/>
      <c r="G935" s="417"/>
    </row>
    <row r="936" spans="1:7" ht="12.75" customHeight="1">
      <c r="A936" s="406" t="s">
        <v>539</v>
      </c>
      <c r="B936" s="169" t="s">
        <v>193</v>
      </c>
      <c r="C936" s="403">
        <f>49500*1.19</f>
        <v>58905</v>
      </c>
      <c r="D936" s="401">
        <v>1</v>
      </c>
      <c r="E936" s="403">
        <f t="shared" si="15"/>
        <v>58905</v>
      </c>
      <c r="F936" s="401"/>
      <c r="G936" s="417"/>
    </row>
    <row r="937" spans="1:7" ht="12.75" customHeight="1">
      <c r="A937" s="406" t="s">
        <v>555</v>
      </c>
      <c r="B937" s="169" t="s">
        <v>193</v>
      </c>
      <c r="C937" s="403">
        <f>35000*1.19</f>
        <v>41650</v>
      </c>
      <c r="D937" s="401">
        <v>1</v>
      </c>
      <c r="E937" s="403">
        <f t="shared" si="15"/>
        <v>41650</v>
      </c>
      <c r="F937" s="401"/>
      <c r="G937" s="417"/>
    </row>
    <row r="938" spans="1:7" ht="12.75" customHeight="1">
      <c r="A938" s="406" t="s">
        <v>556</v>
      </c>
      <c r="B938" s="169" t="s">
        <v>193</v>
      </c>
      <c r="C938" s="403">
        <f t="shared" ref="C938:C1070" si="42">38500*1.19</f>
        <v>45815</v>
      </c>
      <c r="D938" s="401">
        <v>1</v>
      </c>
      <c r="E938" s="403">
        <f t="shared" si="15"/>
        <v>45815</v>
      </c>
      <c r="F938" s="401"/>
      <c r="G938" s="417"/>
    </row>
    <row r="939" spans="1:7" ht="12.75" customHeight="1">
      <c r="A939" s="406" t="s">
        <v>557</v>
      </c>
      <c r="B939" s="169" t="s">
        <v>193</v>
      </c>
      <c r="C939" s="403">
        <v>4000</v>
      </c>
      <c r="D939" s="401">
        <v>3</v>
      </c>
      <c r="E939" s="403">
        <f t="shared" si="15"/>
        <v>12000</v>
      </c>
      <c r="F939" s="401"/>
      <c r="G939" s="417"/>
    </row>
    <row r="940" spans="1:7" ht="12.75" customHeight="1">
      <c r="A940" s="406" t="s">
        <v>558</v>
      </c>
      <c r="B940" s="169" t="s">
        <v>193</v>
      </c>
      <c r="C940" s="401">
        <v>655</v>
      </c>
      <c r="D940" s="401">
        <v>6</v>
      </c>
      <c r="E940" s="403">
        <f t="shared" si="15"/>
        <v>3930</v>
      </c>
      <c r="F940" s="401"/>
      <c r="G940" s="417"/>
    </row>
    <row r="941" spans="1:7" ht="12.75" customHeight="1">
      <c r="A941" s="406"/>
      <c r="B941" s="401"/>
      <c r="C941" s="401"/>
      <c r="D941" s="401"/>
      <c r="E941" s="401"/>
      <c r="F941" s="401" t="s">
        <v>189</v>
      </c>
      <c r="G941" s="417">
        <f t="shared" si="10"/>
        <v>315810</v>
      </c>
    </row>
    <row r="942" spans="1:7" ht="12.75" customHeight="1">
      <c r="A942" s="406" t="s">
        <v>197</v>
      </c>
      <c r="B942" s="401"/>
      <c r="C942" s="401"/>
      <c r="D942" s="401"/>
      <c r="E942" s="401"/>
      <c r="F942" s="401"/>
      <c r="G942" s="417"/>
    </row>
    <row r="943" spans="1:7" ht="12.75" customHeight="1">
      <c r="A943" s="408" t="s">
        <v>198</v>
      </c>
      <c r="B943" s="169" t="s">
        <v>199</v>
      </c>
      <c r="C943" s="169" t="s">
        <v>200</v>
      </c>
      <c r="D943" s="169" t="s">
        <v>201</v>
      </c>
      <c r="E943" s="169" t="s">
        <v>186</v>
      </c>
      <c r="F943" s="401"/>
      <c r="G943" s="417"/>
    </row>
    <row r="944" spans="1:7" ht="12.75" customHeight="1">
      <c r="A944" s="406" t="s">
        <v>232</v>
      </c>
      <c r="B944" s="401"/>
      <c r="C944" s="401"/>
      <c r="D944" s="401"/>
      <c r="E944" s="401"/>
      <c r="F944" s="401"/>
      <c r="G944" s="417"/>
    </row>
    <row r="945" spans="1:9" ht="12.75" customHeight="1">
      <c r="A945" s="406"/>
      <c r="B945" s="401"/>
      <c r="C945" s="401"/>
      <c r="D945" s="401"/>
      <c r="E945" s="401"/>
      <c r="F945" s="401"/>
      <c r="G945" s="417"/>
    </row>
    <row r="946" spans="1:9" ht="12.75" customHeight="1">
      <c r="A946" s="406"/>
      <c r="B946" s="401"/>
      <c r="C946" s="401"/>
      <c r="D946" s="401"/>
      <c r="E946" s="401"/>
      <c r="F946" s="401"/>
      <c r="G946" s="417"/>
    </row>
    <row r="947" spans="1:9" ht="12.75" customHeight="1">
      <c r="A947" s="406"/>
      <c r="B947" s="401"/>
      <c r="C947" s="401"/>
      <c r="D947" s="401"/>
      <c r="E947" s="401"/>
      <c r="F947" s="401"/>
      <c r="G947" s="417"/>
    </row>
    <row r="948" spans="1:9" ht="12.75" customHeight="1">
      <c r="A948" s="406"/>
      <c r="B948" s="401"/>
      <c r="C948" s="401"/>
      <c r="D948" s="401"/>
      <c r="E948" s="401"/>
      <c r="F948" s="401" t="s">
        <v>189</v>
      </c>
      <c r="G948" s="417">
        <f t="shared" si="11"/>
        <v>0</v>
      </c>
    </row>
    <row r="949" spans="1:9" ht="12.75" customHeight="1">
      <c r="A949" s="406" t="s">
        <v>202</v>
      </c>
      <c r="B949" s="401"/>
      <c r="C949" s="401"/>
      <c r="D949" s="401"/>
      <c r="E949" s="401"/>
      <c r="F949" s="401"/>
      <c r="G949" s="417"/>
    </row>
    <row r="950" spans="1:9" ht="12.75" customHeight="1">
      <c r="A950" s="408" t="s">
        <v>203</v>
      </c>
      <c r="B950" s="169" t="s">
        <v>204</v>
      </c>
      <c r="C950" s="169" t="s">
        <v>205</v>
      </c>
      <c r="D950" s="169" t="s">
        <v>206</v>
      </c>
      <c r="E950" s="169" t="s">
        <v>207</v>
      </c>
      <c r="F950" s="169" t="s">
        <v>208</v>
      </c>
      <c r="G950" s="417"/>
    </row>
    <row r="951" spans="1:9" ht="12.75" customHeight="1">
      <c r="A951" s="406" t="s">
        <v>188</v>
      </c>
      <c r="B951" s="401">
        <f>+B164</f>
        <v>150000</v>
      </c>
      <c r="C951" s="401">
        <f t="shared" si="13"/>
        <v>112500</v>
      </c>
      <c r="D951" s="401">
        <f t="shared" si="3"/>
        <v>262500</v>
      </c>
      <c r="E951" s="403">
        <v>3.4021477503974893</v>
      </c>
      <c r="F951" s="403">
        <f t="shared" si="4"/>
        <v>77157.142857576036</v>
      </c>
      <c r="G951" s="417"/>
    </row>
    <row r="952" spans="1:9" ht="12.75" customHeight="1">
      <c r="A952" s="406" t="s">
        <v>190</v>
      </c>
      <c r="B952" s="401">
        <f>+B165</f>
        <v>100000</v>
      </c>
      <c r="C952" s="403">
        <f t="shared" si="13"/>
        <v>75000</v>
      </c>
      <c r="D952" s="403">
        <f t="shared" si="3"/>
        <v>175000</v>
      </c>
      <c r="E952" s="401">
        <v>3</v>
      </c>
      <c r="F952" s="403">
        <f t="shared" si="4"/>
        <v>58333.333333333336</v>
      </c>
      <c r="G952" s="417"/>
    </row>
    <row r="953" spans="1:9" ht="12.75" customHeight="1">
      <c r="A953" s="406"/>
      <c r="B953" s="401"/>
      <c r="C953" s="401"/>
      <c r="D953" s="401"/>
      <c r="E953" s="401"/>
      <c r="F953" s="401"/>
      <c r="G953" s="417"/>
    </row>
    <row r="954" spans="1:9" ht="12.75" customHeight="1">
      <c r="A954" s="406"/>
      <c r="B954" s="401"/>
      <c r="C954" s="401"/>
      <c r="D954" s="401"/>
      <c r="E954" s="401"/>
      <c r="F954" s="401"/>
      <c r="G954" s="417"/>
    </row>
    <row r="955" spans="1:9" ht="12.75" customHeight="1">
      <c r="A955" s="406"/>
      <c r="B955" s="401"/>
      <c r="C955" s="401"/>
      <c r="D955" s="401"/>
      <c r="E955" s="401"/>
      <c r="F955" s="401"/>
      <c r="G955" s="417"/>
    </row>
    <row r="956" spans="1:9" ht="12.75" customHeight="1">
      <c r="A956" s="406"/>
      <c r="B956" s="401"/>
      <c r="C956" s="401"/>
      <c r="D956" s="401"/>
      <c r="E956" s="401"/>
      <c r="F956" s="401"/>
      <c r="G956" s="417"/>
    </row>
    <row r="957" spans="1:9" ht="12.75" customHeight="1">
      <c r="A957" s="406"/>
      <c r="B957" s="401"/>
      <c r="C957" s="401"/>
      <c r="D957" s="401"/>
      <c r="E957" s="401"/>
      <c r="F957" s="401" t="s">
        <v>189</v>
      </c>
      <c r="G957" s="417">
        <f t="shared" si="5"/>
        <v>135490.47619090936</v>
      </c>
    </row>
    <row r="958" spans="1:9" ht="12.75" customHeight="1">
      <c r="A958" s="406"/>
      <c r="B958" s="401"/>
      <c r="C958" s="401"/>
      <c r="D958" s="401"/>
      <c r="E958" s="401"/>
      <c r="F958" s="401"/>
      <c r="G958" s="417"/>
    </row>
    <row r="959" spans="1:9" ht="12.75" customHeight="1">
      <c r="A959" s="406" t="s">
        <v>209</v>
      </c>
      <c r="B959" s="401"/>
      <c r="C959" s="401" t="s">
        <v>210</v>
      </c>
      <c r="D959" s="471" t="s">
        <v>211</v>
      </c>
      <c r="E959" s="472"/>
      <c r="F959" s="472"/>
      <c r="G959" s="417">
        <f t="shared" si="6"/>
        <v>458075.00000045483</v>
      </c>
      <c r="I959">
        <v>595497.5</v>
      </c>
    </row>
    <row r="960" spans="1:9" ht="12.75" customHeight="1">
      <c r="A960" s="406"/>
      <c r="B960" s="401"/>
      <c r="C960" s="401"/>
      <c r="D960" s="401"/>
      <c r="E960" s="401"/>
      <c r="F960" s="401"/>
      <c r="G960" s="417"/>
    </row>
    <row r="961" spans="1:7" ht="12.75" customHeight="1">
      <c r="A961" s="406"/>
      <c r="B961" s="401"/>
      <c r="C961" s="401"/>
      <c r="D961" s="401"/>
      <c r="E961" s="401" t="s">
        <v>212</v>
      </c>
      <c r="F961" s="401"/>
      <c r="G961" s="417">
        <f t="shared" si="7"/>
        <v>137422.50000013644</v>
      </c>
    </row>
    <row r="962" spans="1:7" ht="12.75" customHeight="1">
      <c r="A962" s="406"/>
      <c r="B962" s="401"/>
      <c r="C962" s="401"/>
      <c r="D962" s="401"/>
      <c r="E962" s="401"/>
      <c r="F962" s="401"/>
      <c r="G962" s="417"/>
    </row>
    <row r="963" spans="1:7" ht="12.75" customHeight="1" thickBot="1">
      <c r="A963" s="411" t="s">
        <v>213</v>
      </c>
      <c r="B963" s="412"/>
      <c r="C963" s="412"/>
      <c r="D963" s="469" t="s">
        <v>214</v>
      </c>
      <c r="E963" s="470"/>
      <c r="F963" s="470"/>
      <c r="G963" s="418">
        <f t="shared" si="8"/>
        <v>595497.50000059127</v>
      </c>
    </row>
    <row r="964" spans="1:7" ht="15" customHeight="1">
      <c r="A964" s="468" t="s">
        <v>174</v>
      </c>
      <c r="B964" s="457"/>
      <c r="C964" s="457"/>
      <c r="D964" s="457"/>
      <c r="E964" s="457"/>
      <c r="F964" s="457"/>
      <c r="G964" s="457"/>
    </row>
    <row r="965" spans="1:7" ht="12.75" customHeight="1" thickBot="1">
      <c r="A965" s="77"/>
      <c r="B965" s="77"/>
      <c r="C965" s="77"/>
      <c r="D965" s="77"/>
      <c r="E965" s="77"/>
      <c r="F965" s="77"/>
    </row>
    <row r="966" spans="1:7" ht="12.75" customHeight="1">
      <c r="A966" s="404" t="s">
        <v>175</v>
      </c>
      <c r="B966" s="405"/>
      <c r="C966" s="405"/>
      <c r="D966" s="428"/>
      <c r="E966" s="428"/>
      <c r="F966" s="428"/>
      <c r="G966" s="429"/>
    </row>
    <row r="967" spans="1:7" ht="12.75" customHeight="1">
      <c r="A967" s="406" t="str">
        <f>+A48</f>
        <v xml:space="preserve">OBRA N° Conducción - Red de Distribución  </v>
      </c>
      <c r="B967" s="401"/>
      <c r="C967" s="401"/>
      <c r="D967" s="401"/>
      <c r="E967" s="195"/>
      <c r="F967" s="402" t="s">
        <v>177</v>
      </c>
      <c r="G967" s="430">
        <f t="shared" ca="1" si="0"/>
        <v>46289</v>
      </c>
    </row>
    <row r="968" spans="1:7" ht="12.75" customHeight="1">
      <c r="A968" s="406"/>
      <c r="B968" s="426"/>
      <c r="C968" s="426"/>
      <c r="D968" s="426"/>
      <c r="E968" s="426"/>
      <c r="F968" s="426"/>
      <c r="G968" s="431"/>
    </row>
    <row r="969" spans="1:7" ht="12.75" customHeight="1">
      <c r="A969" s="406" t="s">
        <v>870</v>
      </c>
      <c r="B969" s="401" t="s">
        <v>865</v>
      </c>
      <c r="C969" s="401"/>
      <c r="D969" s="401"/>
      <c r="E969" s="401"/>
      <c r="F969" s="401"/>
      <c r="G969" s="417"/>
    </row>
    <row r="970" spans="1:7" ht="12.75" customHeight="1">
      <c r="A970" s="406" t="s">
        <v>553</v>
      </c>
      <c r="B970" s="401"/>
      <c r="C970" s="401" t="s">
        <v>179</v>
      </c>
      <c r="D970" s="169">
        <v>4</v>
      </c>
      <c r="E970" s="401" t="s">
        <v>180</v>
      </c>
      <c r="F970" s="401" t="s">
        <v>262</v>
      </c>
      <c r="G970" s="417"/>
    </row>
    <row r="971" spans="1:7" ht="12.75" customHeight="1">
      <c r="A971" s="406" t="s">
        <v>182</v>
      </c>
      <c r="B971" s="401"/>
      <c r="C971" s="401"/>
      <c r="D971" s="401"/>
      <c r="E971" s="401"/>
      <c r="F971" s="401"/>
      <c r="G971" s="417"/>
    </row>
    <row r="972" spans="1:7" ht="12.75" customHeight="1">
      <c r="A972" s="408" t="s">
        <v>111</v>
      </c>
      <c r="B972" s="169" t="s">
        <v>183</v>
      </c>
      <c r="C972" s="169" t="s">
        <v>184</v>
      </c>
      <c r="D972" s="169" t="s">
        <v>185</v>
      </c>
      <c r="E972" s="169" t="s">
        <v>186</v>
      </c>
      <c r="F972" s="401"/>
      <c r="G972" s="417"/>
    </row>
    <row r="973" spans="1:7" ht="12.75" customHeight="1">
      <c r="A973" s="406" t="s">
        <v>187</v>
      </c>
      <c r="B973" s="401"/>
      <c r="C973" s="401"/>
      <c r="D973" s="401"/>
      <c r="E973" s="403">
        <f t="shared" ref="E973" si="43">G1001*0.05</f>
        <v>5617.9955860284472</v>
      </c>
      <c r="F973" s="401"/>
      <c r="G973" s="417"/>
    </row>
    <row r="974" spans="1:7" ht="12.75" customHeight="1">
      <c r="A974" s="406"/>
      <c r="B974" s="401"/>
      <c r="C974" s="401"/>
      <c r="D974" s="401"/>
      <c r="E974" s="401"/>
      <c r="F974" s="401"/>
      <c r="G974" s="417"/>
    </row>
    <row r="975" spans="1:7" ht="12.75" customHeight="1">
      <c r="A975" s="406"/>
      <c r="B975" s="401"/>
      <c r="C975" s="401"/>
      <c r="D975" s="401"/>
      <c r="E975" s="401"/>
      <c r="F975" s="401"/>
      <c r="G975" s="417"/>
    </row>
    <row r="976" spans="1:7" ht="12.75" customHeight="1">
      <c r="A976" s="406"/>
      <c r="B976" s="401"/>
      <c r="C976" s="401"/>
      <c r="D976" s="401"/>
      <c r="E976" s="401"/>
      <c r="F976" s="401" t="s">
        <v>189</v>
      </c>
      <c r="G976" s="417">
        <f t="shared" ref="G976" si="44">E973+E974+E975+E976</f>
        <v>5617.9955860284472</v>
      </c>
    </row>
    <row r="977" spans="1:7" ht="12.75" customHeight="1">
      <c r="A977" s="406" t="s">
        <v>191</v>
      </c>
      <c r="B977" s="401"/>
      <c r="C977" s="401"/>
      <c r="D977" s="401"/>
      <c r="E977" s="401"/>
      <c r="F977" s="401"/>
      <c r="G977" s="417"/>
    </row>
    <row r="978" spans="1:7" ht="12.75" customHeight="1">
      <c r="A978" s="408" t="s">
        <v>111</v>
      </c>
      <c r="B978" s="169" t="s">
        <v>193</v>
      </c>
      <c r="C978" s="169" t="s">
        <v>194</v>
      </c>
      <c r="D978" s="169" t="s">
        <v>195</v>
      </c>
      <c r="E978" s="169" t="s">
        <v>186</v>
      </c>
      <c r="F978" s="401"/>
      <c r="G978" s="417"/>
    </row>
    <row r="979" spans="1:7" ht="12.75" customHeight="1">
      <c r="A979" s="406" t="s">
        <v>866</v>
      </c>
      <c r="B979" s="169" t="s">
        <v>193</v>
      </c>
      <c r="C979" s="403">
        <f>(129000*1.19+C1023)/2</f>
        <v>219530</v>
      </c>
      <c r="D979" s="401">
        <v>1</v>
      </c>
      <c r="E979" s="403">
        <f t="shared" ref="E979:E984" si="45">C979*D979</f>
        <v>219530</v>
      </c>
      <c r="F979" s="401"/>
      <c r="G979" s="417"/>
    </row>
    <row r="980" spans="1:7" ht="12.75" customHeight="1">
      <c r="A980" s="406" t="s">
        <v>867</v>
      </c>
      <c r="B980" s="169" t="s">
        <v>193</v>
      </c>
      <c r="C980" s="403">
        <f>(49500*1.19+C1024)/2</f>
        <v>77952.5</v>
      </c>
      <c r="D980" s="401">
        <v>1</v>
      </c>
      <c r="E980" s="403">
        <f t="shared" si="45"/>
        <v>77952.5</v>
      </c>
      <c r="F980" s="401"/>
      <c r="G980" s="417"/>
    </row>
    <row r="981" spans="1:7" ht="12.75" customHeight="1">
      <c r="A981" s="406" t="s">
        <v>868</v>
      </c>
      <c r="B981" s="169" t="s">
        <v>193</v>
      </c>
      <c r="C981" s="403">
        <f>(35000*1.19+C1025)/2</f>
        <v>59084.084999999999</v>
      </c>
      <c r="D981" s="401">
        <v>1</v>
      </c>
      <c r="E981" s="403">
        <f t="shared" si="45"/>
        <v>59084.084999999999</v>
      </c>
      <c r="F981" s="401"/>
      <c r="G981" s="417"/>
    </row>
    <row r="982" spans="1:7" ht="12.75" customHeight="1">
      <c r="A982" s="406" t="s">
        <v>556</v>
      </c>
      <c r="B982" s="169" t="s">
        <v>193</v>
      </c>
      <c r="C982" s="403">
        <f>(38500*1.19+C1026)/2</f>
        <v>48557.5</v>
      </c>
      <c r="D982" s="401">
        <v>1</v>
      </c>
      <c r="E982" s="403">
        <f t="shared" si="45"/>
        <v>48557.5</v>
      </c>
      <c r="F982" s="401"/>
      <c r="G982" s="417"/>
    </row>
    <row r="983" spans="1:7" ht="12.75" customHeight="1">
      <c r="A983" s="406" t="s">
        <v>869</v>
      </c>
      <c r="B983" s="169" t="s">
        <v>193</v>
      </c>
      <c r="C983" s="403">
        <f>+(4000+C1027)/2</f>
        <v>4000</v>
      </c>
      <c r="D983" s="401">
        <v>3</v>
      </c>
      <c r="E983" s="403">
        <f t="shared" si="45"/>
        <v>12000</v>
      </c>
      <c r="F983" s="401"/>
      <c r="G983" s="417"/>
    </row>
    <row r="984" spans="1:7" ht="12.75" customHeight="1">
      <c r="A984" s="406" t="s">
        <v>558</v>
      </c>
      <c r="B984" s="169" t="s">
        <v>193</v>
      </c>
      <c r="C984" s="401">
        <v>655</v>
      </c>
      <c r="D984" s="401">
        <v>6</v>
      </c>
      <c r="E984" s="403">
        <f t="shared" si="45"/>
        <v>3930</v>
      </c>
      <c r="F984" s="401"/>
      <c r="G984" s="417"/>
    </row>
    <row r="985" spans="1:7" ht="12.75" customHeight="1">
      <c r="A985" s="406"/>
      <c r="B985" s="401"/>
      <c r="C985" s="401"/>
      <c r="D985" s="401"/>
      <c r="E985" s="401"/>
      <c r="F985" s="401" t="s">
        <v>189</v>
      </c>
      <c r="G985" s="417">
        <f t="shared" ref="G985" si="46">E979+E980+E981+E982+E983+E984+E985</f>
        <v>421054.08500000002</v>
      </c>
    </row>
    <row r="986" spans="1:7" ht="12.75" customHeight="1">
      <c r="A986" s="406" t="s">
        <v>197</v>
      </c>
      <c r="B986" s="401"/>
      <c r="C986" s="401"/>
      <c r="D986" s="401"/>
      <c r="E986" s="401"/>
      <c r="F986" s="401"/>
      <c r="G986" s="417"/>
    </row>
    <row r="987" spans="1:7" ht="12.75" customHeight="1">
      <c r="A987" s="408" t="s">
        <v>198</v>
      </c>
      <c r="B987" s="169" t="s">
        <v>199</v>
      </c>
      <c r="C987" s="169" t="s">
        <v>200</v>
      </c>
      <c r="D987" s="169" t="s">
        <v>201</v>
      </c>
      <c r="E987" s="169" t="s">
        <v>186</v>
      </c>
      <c r="F987" s="401"/>
      <c r="G987" s="417"/>
    </row>
    <row r="988" spans="1:7" ht="12.75" customHeight="1">
      <c r="A988" s="406" t="s">
        <v>232</v>
      </c>
      <c r="B988" s="401"/>
      <c r="C988" s="401"/>
      <c r="D988" s="401"/>
      <c r="E988" s="401"/>
      <c r="F988" s="401"/>
      <c r="G988" s="417"/>
    </row>
    <row r="989" spans="1:7" ht="12.75" customHeight="1">
      <c r="A989" s="406"/>
      <c r="B989" s="401"/>
      <c r="C989" s="401"/>
      <c r="D989" s="401"/>
      <c r="E989" s="401"/>
      <c r="F989" s="401"/>
      <c r="G989" s="417"/>
    </row>
    <row r="990" spans="1:7" ht="12.75" customHeight="1">
      <c r="A990" s="406"/>
      <c r="B990" s="401"/>
      <c r="C990" s="401"/>
      <c r="D990" s="401"/>
      <c r="E990" s="401"/>
      <c r="F990" s="401"/>
      <c r="G990" s="417"/>
    </row>
    <row r="991" spans="1:7" ht="12.75" customHeight="1">
      <c r="A991" s="406"/>
      <c r="B991" s="401"/>
      <c r="C991" s="401"/>
      <c r="D991" s="401"/>
      <c r="E991" s="401"/>
      <c r="F991" s="401"/>
      <c r="G991" s="417"/>
    </row>
    <row r="992" spans="1:7" ht="12.75" customHeight="1">
      <c r="A992" s="406"/>
      <c r="B992" s="401"/>
      <c r="C992" s="401"/>
      <c r="D992" s="401"/>
      <c r="E992" s="401"/>
      <c r="F992" s="401" t="s">
        <v>189</v>
      </c>
      <c r="G992" s="417">
        <f t="shared" ref="G992" si="47">E988+E989+E990+E991+E992</f>
        <v>0</v>
      </c>
    </row>
    <row r="993" spans="1:9" ht="12.75" customHeight="1">
      <c r="A993" s="406" t="s">
        <v>202</v>
      </c>
      <c r="B993" s="401"/>
      <c r="C993" s="401"/>
      <c r="D993" s="401"/>
      <c r="E993" s="401"/>
      <c r="F993" s="401"/>
      <c r="G993" s="417"/>
    </row>
    <row r="994" spans="1:9" ht="12.75" customHeight="1">
      <c r="A994" s="408" t="s">
        <v>203</v>
      </c>
      <c r="B994" s="169" t="s">
        <v>204</v>
      </c>
      <c r="C994" s="169" t="s">
        <v>205</v>
      </c>
      <c r="D994" s="169" t="s">
        <v>206</v>
      </c>
      <c r="E994" s="169" t="s">
        <v>207</v>
      </c>
      <c r="F994" s="169" t="s">
        <v>208</v>
      </c>
      <c r="G994" s="417"/>
    </row>
    <row r="995" spans="1:9" ht="12.75" customHeight="1">
      <c r="A995" s="406" t="s">
        <v>188</v>
      </c>
      <c r="B995" s="401">
        <f>+B208</f>
        <v>150000</v>
      </c>
      <c r="C995" s="401">
        <f t="shared" ref="C995:C996" si="48">0.75*B995</f>
        <v>112500</v>
      </c>
      <c r="D995" s="401">
        <f t="shared" ref="D995:D996" si="49">B995+C995</f>
        <v>262500</v>
      </c>
      <c r="E995" s="401">
        <v>4</v>
      </c>
      <c r="F995" s="403">
        <f t="shared" ref="F995:F996" si="50">D995/E995</f>
        <v>65625</v>
      </c>
      <c r="G995" s="417"/>
    </row>
    <row r="996" spans="1:9" ht="12.75" customHeight="1">
      <c r="A996" s="406" t="s">
        <v>190</v>
      </c>
      <c r="B996" s="401">
        <f>+B209</f>
        <v>100000</v>
      </c>
      <c r="C996" s="403">
        <f t="shared" si="48"/>
        <v>75000</v>
      </c>
      <c r="D996" s="403">
        <f t="shared" si="49"/>
        <v>175000</v>
      </c>
      <c r="E996" s="403">
        <v>3.7445240304793197</v>
      </c>
      <c r="F996" s="403">
        <f t="shared" si="50"/>
        <v>46734.91172056894</v>
      </c>
      <c r="G996" s="417"/>
    </row>
    <row r="997" spans="1:9" ht="12.75" customHeight="1">
      <c r="A997" s="406"/>
      <c r="B997" s="401"/>
      <c r="C997" s="401"/>
      <c r="D997" s="401"/>
      <c r="E997" s="401"/>
      <c r="F997" s="401"/>
      <c r="G997" s="417"/>
    </row>
    <row r="998" spans="1:9" ht="12.75" customHeight="1">
      <c r="A998" s="406"/>
      <c r="B998" s="401"/>
      <c r="C998" s="401"/>
      <c r="D998" s="401"/>
      <c r="E998" s="401"/>
      <c r="F998" s="401"/>
      <c r="G998" s="417"/>
    </row>
    <row r="999" spans="1:9" ht="12.75" customHeight="1">
      <c r="A999" s="406"/>
      <c r="B999" s="401"/>
      <c r="C999" s="401"/>
      <c r="D999" s="401"/>
      <c r="E999" s="401"/>
      <c r="F999" s="401"/>
      <c r="G999" s="417"/>
    </row>
    <row r="1000" spans="1:9" ht="12.75" customHeight="1">
      <c r="A1000" s="406"/>
      <c r="B1000" s="401"/>
      <c r="C1000" s="401"/>
      <c r="D1000" s="401"/>
      <c r="E1000" s="401"/>
      <c r="F1000" s="401"/>
      <c r="G1000" s="417"/>
    </row>
    <row r="1001" spans="1:9" ht="12.75" customHeight="1">
      <c r="A1001" s="406"/>
      <c r="B1001" s="401"/>
      <c r="C1001" s="401"/>
      <c r="D1001" s="401"/>
      <c r="E1001" s="401"/>
      <c r="F1001" s="401" t="s">
        <v>189</v>
      </c>
      <c r="G1001" s="417">
        <f t="shared" ref="G1001" si="51">F995+F996+F997+F998+F999+F1000</f>
        <v>112359.91172056894</v>
      </c>
    </row>
    <row r="1002" spans="1:9" ht="12.75" customHeight="1">
      <c r="A1002" s="406"/>
      <c r="B1002" s="401"/>
      <c r="C1002" s="401"/>
      <c r="D1002" s="401"/>
      <c r="E1002" s="401"/>
      <c r="F1002" s="401"/>
      <c r="G1002" s="417"/>
    </row>
    <row r="1003" spans="1:9" ht="12.75" customHeight="1">
      <c r="A1003" s="406" t="s">
        <v>209</v>
      </c>
      <c r="B1003" s="401"/>
      <c r="C1003" s="401" t="s">
        <v>210</v>
      </c>
      <c r="D1003" s="471" t="s">
        <v>211</v>
      </c>
      <c r="E1003" s="472"/>
      <c r="F1003" s="472"/>
      <c r="G1003" s="417">
        <f t="shared" si="6"/>
        <v>539031.99230659741</v>
      </c>
      <c r="I1003">
        <v>700741.59</v>
      </c>
    </row>
    <row r="1004" spans="1:9" ht="12.75" customHeight="1">
      <c r="A1004" s="406"/>
      <c r="B1004" s="401"/>
      <c r="C1004" s="401"/>
      <c r="D1004" s="401"/>
      <c r="E1004" s="401"/>
      <c r="F1004" s="401"/>
      <c r="G1004" s="417"/>
    </row>
    <row r="1005" spans="1:9" ht="12.75" customHeight="1">
      <c r="A1005" s="406"/>
      <c r="B1005" s="401"/>
      <c r="C1005" s="401"/>
      <c r="D1005" s="401"/>
      <c r="E1005" s="401" t="s">
        <v>212</v>
      </c>
      <c r="F1005" s="401"/>
      <c r="G1005" s="417">
        <f t="shared" si="7"/>
        <v>161709.59769197923</v>
      </c>
    </row>
    <row r="1006" spans="1:9" ht="12.75" customHeight="1">
      <c r="A1006" s="406"/>
      <c r="B1006" s="401"/>
      <c r="C1006" s="401"/>
      <c r="D1006" s="401"/>
      <c r="E1006" s="401"/>
      <c r="F1006" s="401"/>
      <c r="G1006" s="417"/>
    </row>
    <row r="1007" spans="1:9" ht="12.75" customHeight="1" thickBot="1">
      <c r="A1007" s="411" t="s">
        <v>213</v>
      </c>
      <c r="B1007" s="412"/>
      <c r="C1007" s="412"/>
      <c r="D1007" s="469" t="s">
        <v>214</v>
      </c>
      <c r="E1007" s="470"/>
      <c r="F1007" s="470"/>
      <c r="G1007" s="418">
        <f t="shared" si="8"/>
        <v>700741.58999857667</v>
      </c>
    </row>
    <row r="1008" spans="1:9" ht="15" customHeight="1">
      <c r="A1008" s="468" t="s">
        <v>174</v>
      </c>
      <c r="B1008" s="468"/>
      <c r="C1008" s="468"/>
      <c r="D1008" s="468"/>
      <c r="E1008" s="468"/>
      <c r="F1008" s="468"/>
      <c r="G1008" s="468"/>
    </row>
    <row r="1009" spans="1:7" ht="12.75" customHeight="1" thickBot="1">
      <c r="A1009" s="77"/>
      <c r="B1009" s="77"/>
      <c r="C1009" s="77"/>
      <c r="D1009" s="77"/>
      <c r="E1009" s="77"/>
      <c r="F1009" s="77"/>
    </row>
    <row r="1010" spans="1:7" ht="12.75" customHeight="1">
      <c r="A1010" s="404" t="s">
        <v>175</v>
      </c>
      <c r="B1010" s="405"/>
      <c r="C1010" s="405"/>
      <c r="D1010" s="428"/>
      <c r="E1010" s="428"/>
      <c r="F1010" s="428"/>
      <c r="G1010" s="429"/>
    </row>
    <row r="1011" spans="1:7" ht="12.75" customHeight="1">
      <c r="A1011" s="406" t="str">
        <f>+A4</f>
        <v xml:space="preserve">OBRA N° Conducción - Red de Distribución  </v>
      </c>
      <c r="B1011" s="401"/>
      <c r="C1011" s="401"/>
      <c r="D1011" s="401"/>
      <c r="E1011" s="195"/>
      <c r="F1011" s="402" t="s">
        <v>177</v>
      </c>
      <c r="G1011" s="430">
        <f t="shared" ca="1" si="0"/>
        <v>46289</v>
      </c>
    </row>
    <row r="1012" spans="1:7" ht="12.75" customHeight="1">
      <c r="A1012" s="406"/>
      <c r="B1012" s="426"/>
      <c r="C1012" s="426"/>
      <c r="D1012" s="426"/>
      <c r="E1012" s="426"/>
      <c r="F1012" s="426"/>
      <c r="G1012" s="431"/>
    </row>
    <row r="1013" spans="1:7" ht="12.75" customHeight="1">
      <c r="A1013" s="406" t="s">
        <v>559</v>
      </c>
      <c r="B1013" s="401" t="s">
        <v>560</v>
      </c>
      <c r="C1013" s="401"/>
      <c r="D1013" s="401"/>
      <c r="E1013" s="401"/>
      <c r="F1013" s="401"/>
      <c r="G1013" s="417"/>
    </row>
    <row r="1014" spans="1:7" ht="12.75" customHeight="1">
      <c r="A1014" s="406" t="s">
        <v>553</v>
      </c>
      <c r="B1014" s="401"/>
      <c r="C1014" s="401" t="s">
        <v>179</v>
      </c>
      <c r="D1014" s="169">
        <v>4</v>
      </c>
      <c r="E1014" s="401" t="s">
        <v>180</v>
      </c>
      <c r="F1014" s="401" t="s">
        <v>262</v>
      </c>
      <c r="G1014" s="417"/>
    </row>
    <row r="1015" spans="1:7" ht="12.75" customHeight="1">
      <c r="A1015" s="406" t="s">
        <v>182</v>
      </c>
      <c r="B1015" s="401"/>
      <c r="C1015" s="401"/>
      <c r="D1015" s="401"/>
      <c r="E1015" s="401"/>
      <c r="F1015" s="401"/>
      <c r="G1015" s="417"/>
    </row>
    <row r="1016" spans="1:7" ht="12.75" customHeight="1">
      <c r="A1016" s="408" t="s">
        <v>111</v>
      </c>
      <c r="B1016" s="169" t="s">
        <v>183</v>
      </c>
      <c r="C1016" s="169" t="s">
        <v>184</v>
      </c>
      <c r="D1016" s="169" t="s">
        <v>185</v>
      </c>
      <c r="E1016" s="169" t="s">
        <v>186</v>
      </c>
      <c r="F1016" s="401"/>
      <c r="G1016" s="417"/>
    </row>
    <row r="1017" spans="1:7" ht="12.75" customHeight="1">
      <c r="A1017" s="406" t="s">
        <v>187</v>
      </c>
      <c r="B1017" s="401"/>
      <c r="C1017" s="401"/>
      <c r="D1017" s="401"/>
      <c r="E1017" s="403">
        <f t="shared" si="1"/>
        <v>12611.339893076998</v>
      </c>
      <c r="F1017" s="401"/>
      <c r="G1017" s="417"/>
    </row>
    <row r="1018" spans="1:7" ht="12.75" customHeight="1">
      <c r="A1018" s="406"/>
      <c r="B1018" s="401"/>
      <c r="C1018" s="401"/>
      <c r="D1018" s="401"/>
      <c r="E1018" s="401"/>
      <c r="F1018" s="401"/>
      <c r="G1018" s="417"/>
    </row>
    <row r="1019" spans="1:7" ht="12.75" customHeight="1">
      <c r="A1019" s="406"/>
      <c r="B1019" s="401"/>
      <c r="C1019" s="401"/>
      <c r="D1019" s="401"/>
      <c r="E1019" s="401"/>
      <c r="F1019" s="401"/>
      <c r="G1019" s="417"/>
    </row>
    <row r="1020" spans="1:7" ht="12.75" customHeight="1">
      <c r="A1020" s="406"/>
      <c r="B1020" s="401"/>
      <c r="C1020" s="401"/>
      <c r="D1020" s="401"/>
      <c r="E1020" s="401"/>
      <c r="F1020" s="401" t="s">
        <v>189</v>
      </c>
      <c r="G1020" s="417">
        <f t="shared" si="2"/>
        <v>12611.339893076998</v>
      </c>
    </row>
    <row r="1021" spans="1:7" ht="12.75" customHeight="1">
      <c r="A1021" s="406" t="s">
        <v>191</v>
      </c>
      <c r="B1021" s="401"/>
      <c r="C1021" s="401"/>
      <c r="D1021" s="401"/>
      <c r="E1021" s="401"/>
      <c r="F1021" s="401"/>
      <c r="G1021" s="417"/>
    </row>
    <row r="1022" spans="1:7" ht="12.75" customHeight="1">
      <c r="A1022" s="408" t="s">
        <v>111</v>
      </c>
      <c r="B1022" s="169" t="s">
        <v>193</v>
      </c>
      <c r="C1022" s="169" t="s">
        <v>194</v>
      </c>
      <c r="D1022" s="169" t="s">
        <v>195</v>
      </c>
      <c r="E1022" s="169" t="s">
        <v>186</v>
      </c>
      <c r="F1022" s="401"/>
      <c r="G1022" s="417"/>
    </row>
    <row r="1023" spans="1:7" ht="12.75" customHeight="1">
      <c r="A1023" s="406" t="s">
        <v>561</v>
      </c>
      <c r="B1023" s="169" t="s">
        <v>193</v>
      </c>
      <c r="C1023" s="403">
        <v>285550</v>
      </c>
      <c r="D1023" s="401">
        <v>1</v>
      </c>
      <c r="E1023" s="403">
        <f t="shared" si="15"/>
        <v>285550</v>
      </c>
      <c r="F1023" s="401"/>
      <c r="G1023" s="417"/>
    </row>
    <row r="1024" spans="1:7" ht="12.75" customHeight="1">
      <c r="A1024" s="406" t="s">
        <v>543</v>
      </c>
      <c r="B1024" s="169" t="s">
        <v>193</v>
      </c>
      <c r="C1024" s="403">
        <v>97000</v>
      </c>
      <c r="D1024" s="401">
        <v>1</v>
      </c>
      <c r="E1024" s="403">
        <f t="shared" si="15"/>
        <v>97000</v>
      </c>
      <c r="F1024" s="401"/>
      <c r="G1024" s="417"/>
    </row>
    <row r="1025" spans="1:7" ht="12.75" customHeight="1">
      <c r="A1025" s="406" t="s">
        <v>562</v>
      </c>
      <c r="B1025" s="169" t="s">
        <v>193</v>
      </c>
      <c r="C1025" s="403">
        <v>76518.17</v>
      </c>
      <c r="D1025" s="401">
        <v>1</v>
      </c>
      <c r="E1025" s="403">
        <f t="shared" si="15"/>
        <v>76518.17</v>
      </c>
      <c r="F1025" s="401"/>
      <c r="G1025" s="417"/>
    </row>
    <row r="1026" spans="1:7" ht="12.75" customHeight="1">
      <c r="A1026" s="406" t="s">
        <v>556</v>
      </c>
      <c r="B1026" s="169" t="s">
        <v>193</v>
      </c>
      <c r="C1026" s="403">
        <v>51300</v>
      </c>
      <c r="D1026" s="401">
        <v>1</v>
      </c>
      <c r="E1026" s="403">
        <f t="shared" si="15"/>
        <v>51300</v>
      </c>
      <c r="F1026" s="401"/>
      <c r="G1026" s="417"/>
    </row>
    <row r="1027" spans="1:7" ht="12.75" customHeight="1">
      <c r="A1027" s="406" t="s">
        <v>563</v>
      </c>
      <c r="B1027" s="169" t="s">
        <v>193</v>
      </c>
      <c r="C1027" s="403">
        <v>4000</v>
      </c>
      <c r="D1027" s="401">
        <v>3</v>
      </c>
      <c r="E1027" s="403">
        <f t="shared" si="15"/>
        <v>12000</v>
      </c>
      <c r="F1027" s="401"/>
      <c r="G1027" s="417"/>
    </row>
    <row r="1028" spans="1:7" ht="12.75" customHeight="1">
      <c r="A1028" s="406"/>
      <c r="B1028" s="401"/>
      <c r="C1028" s="401"/>
      <c r="D1028" s="401"/>
      <c r="E1028" s="401"/>
      <c r="F1028" s="401"/>
      <c r="G1028" s="417"/>
    </row>
    <row r="1029" spans="1:7" ht="12.75" customHeight="1">
      <c r="A1029" s="406"/>
      <c r="B1029" s="401"/>
      <c r="C1029" s="401"/>
      <c r="D1029" s="401"/>
      <c r="E1029" s="401"/>
      <c r="F1029" s="401" t="s">
        <v>189</v>
      </c>
      <c r="G1029" s="417">
        <f t="shared" si="10"/>
        <v>522368.17</v>
      </c>
    </row>
    <row r="1030" spans="1:7" ht="12.75" customHeight="1">
      <c r="A1030" s="406" t="s">
        <v>197</v>
      </c>
      <c r="B1030" s="401"/>
      <c r="C1030" s="401"/>
      <c r="D1030" s="401"/>
      <c r="E1030" s="401"/>
      <c r="F1030" s="401"/>
      <c r="G1030" s="417"/>
    </row>
    <row r="1031" spans="1:7" ht="12.75" customHeight="1">
      <c r="A1031" s="408" t="s">
        <v>198</v>
      </c>
      <c r="B1031" s="169" t="s">
        <v>199</v>
      </c>
      <c r="C1031" s="169" t="s">
        <v>200</v>
      </c>
      <c r="D1031" s="169" t="s">
        <v>201</v>
      </c>
      <c r="E1031" s="169" t="s">
        <v>186</v>
      </c>
      <c r="F1031" s="401"/>
      <c r="G1031" s="417"/>
    </row>
    <row r="1032" spans="1:7" ht="12.75" customHeight="1">
      <c r="A1032" s="406" t="s">
        <v>232</v>
      </c>
      <c r="B1032" s="401"/>
      <c r="C1032" s="401"/>
      <c r="D1032" s="401"/>
      <c r="E1032" s="401"/>
      <c r="F1032" s="401"/>
      <c r="G1032" s="417"/>
    </row>
    <row r="1033" spans="1:7" ht="12.75" customHeight="1">
      <c r="A1033" s="406"/>
      <c r="B1033" s="401"/>
      <c r="C1033" s="401"/>
      <c r="D1033" s="401"/>
      <c r="E1033" s="401"/>
      <c r="F1033" s="401"/>
      <c r="G1033" s="417"/>
    </row>
    <row r="1034" spans="1:7" ht="12.75" customHeight="1">
      <c r="A1034" s="406"/>
      <c r="B1034" s="401"/>
      <c r="C1034" s="401"/>
      <c r="D1034" s="401"/>
      <c r="E1034" s="401"/>
      <c r="F1034" s="401"/>
      <c r="G1034" s="417"/>
    </row>
    <row r="1035" spans="1:7" ht="12.75" customHeight="1">
      <c r="A1035" s="406"/>
      <c r="B1035" s="401"/>
      <c r="C1035" s="401"/>
      <c r="D1035" s="401"/>
      <c r="E1035" s="401"/>
      <c r="F1035" s="401"/>
      <c r="G1035" s="417"/>
    </row>
    <row r="1036" spans="1:7" ht="12.75" customHeight="1">
      <c r="A1036" s="406"/>
      <c r="B1036" s="401"/>
      <c r="C1036" s="401"/>
      <c r="D1036" s="401"/>
      <c r="E1036" s="401"/>
      <c r="F1036" s="401" t="s">
        <v>189</v>
      </c>
      <c r="G1036" s="417">
        <f t="shared" si="11"/>
        <v>0</v>
      </c>
    </row>
    <row r="1037" spans="1:7" ht="12.75" customHeight="1">
      <c r="A1037" s="406" t="s">
        <v>202</v>
      </c>
      <c r="B1037" s="401"/>
      <c r="C1037" s="401"/>
      <c r="D1037" s="401"/>
      <c r="E1037" s="401"/>
      <c r="F1037" s="401"/>
      <c r="G1037" s="417"/>
    </row>
    <row r="1038" spans="1:7" ht="12.75" customHeight="1">
      <c r="A1038" s="408" t="s">
        <v>203</v>
      </c>
      <c r="B1038" s="169" t="s">
        <v>204</v>
      </c>
      <c r="C1038" s="169" t="s">
        <v>205</v>
      </c>
      <c r="D1038" s="169" t="s">
        <v>206</v>
      </c>
      <c r="E1038" s="169" t="s">
        <v>207</v>
      </c>
      <c r="F1038" s="169" t="s">
        <v>208</v>
      </c>
      <c r="G1038" s="417"/>
    </row>
    <row r="1039" spans="1:7" ht="12.75" customHeight="1">
      <c r="A1039" s="406" t="s">
        <v>188</v>
      </c>
      <c r="B1039" s="401">
        <f>+B164</f>
        <v>150000</v>
      </c>
      <c r="C1039" s="401">
        <f t="shared" si="32"/>
        <v>102000.00000000001</v>
      </c>
      <c r="D1039" s="401">
        <f t="shared" si="3"/>
        <v>252000</v>
      </c>
      <c r="E1039" s="401">
        <v>2</v>
      </c>
      <c r="F1039" s="403">
        <f t="shared" si="4"/>
        <v>126000</v>
      </c>
      <c r="G1039" s="417"/>
    </row>
    <row r="1040" spans="1:7" ht="12.75" customHeight="1">
      <c r="A1040" s="406" t="s">
        <v>190</v>
      </c>
      <c r="B1040" s="401">
        <f>+B165</f>
        <v>100000</v>
      </c>
      <c r="C1040" s="401">
        <f t="shared" si="32"/>
        <v>68000</v>
      </c>
      <c r="D1040" s="403">
        <f t="shared" si="3"/>
        <v>168000</v>
      </c>
      <c r="E1040" s="401">
        <v>1.3309376681192664</v>
      </c>
      <c r="F1040" s="403">
        <f t="shared" si="4"/>
        <v>126226.79786153996</v>
      </c>
      <c r="G1040" s="417"/>
    </row>
    <row r="1041" spans="1:9" ht="12.75" customHeight="1">
      <c r="A1041" s="406"/>
      <c r="B1041" s="401"/>
      <c r="C1041" s="401"/>
      <c r="D1041" s="401"/>
      <c r="E1041" s="401"/>
      <c r="F1041" s="401"/>
      <c r="G1041" s="417"/>
    </row>
    <row r="1042" spans="1:9" ht="12.75" customHeight="1">
      <c r="A1042" s="406"/>
      <c r="B1042" s="401"/>
      <c r="C1042" s="401"/>
      <c r="D1042" s="401"/>
      <c r="E1042" s="401"/>
      <c r="F1042" s="401"/>
      <c r="G1042" s="417"/>
    </row>
    <row r="1043" spans="1:9" ht="12.75" customHeight="1">
      <c r="A1043" s="406"/>
      <c r="B1043" s="401"/>
      <c r="C1043" s="401"/>
      <c r="D1043" s="401"/>
      <c r="E1043" s="401"/>
      <c r="F1043" s="401"/>
      <c r="G1043" s="417"/>
    </row>
    <row r="1044" spans="1:9" ht="12.75" customHeight="1">
      <c r="A1044" s="406"/>
      <c r="B1044" s="401"/>
      <c r="C1044" s="401"/>
      <c r="D1044" s="401"/>
      <c r="E1044" s="401"/>
      <c r="F1044" s="401"/>
      <c r="G1044" s="417"/>
    </row>
    <row r="1045" spans="1:9" ht="12.75" customHeight="1">
      <c r="A1045" s="406"/>
      <c r="B1045" s="401"/>
      <c r="C1045" s="401"/>
      <c r="D1045" s="401"/>
      <c r="E1045" s="401"/>
      <c r="F1045" s="401" t="s">
        <v>189</v>
      </c>
      <c r="G1045" s="417">
        <f t="shared" si="5"/>
        <v>252226.79786153996</v>
      </c>
    </row>
    <row r="1046" spans="1:9" ht="12.75" customHeight="1">
      <c r="A1046" s="406"/>
      <c r="B1046" s="401"/>
      <c r="C1046" s="401"/>
      <c r="D1046" s="401"/>
      <c r="E1046" s="401"/>
      <c r="F1046" s="401"/>
      <c r="G1046" s="417"/>
    </row>
    <row r="1047" spans="1:9" ht="12.75" customHeight="1">
      <c r="A1047" s="406" t="s">
        <v>209</v>
      </c>
      <c r="B1047" s="401"/>
      <c r="C1047" s="401" t="s">
        <v>210</v>
      </c>
      <c r="D1047" s="471" t="s">
        <v>211</v>
      </c>
      <c r="E1047" s="471"/>
      <c r="F1047" s="471"/>
      <c r="G1047" s="417">
        <f t="shared" si="6"/>
        <v>787206.30775461695</v>
      </c>
      <c r="I1047">
        <v>1023368.17</v>
      </c>
    </row>
    <row r="1048" spans="1:9" ht="12.75" customHeight="1">
      <c r="A1048" s="406"/>
      <c r="B1048" s="401"/>
      <c r="C1048" s="401"/>
      <c r="D1048" s="401"/>
      <c r="E1048" s="401"/>
      <c r="F1048" s="401"/>
      <c r="G1048" s="417"/>
    </row>
    <row r="1049" spans="1:9" ht="12.75" customHeight="1">
      <c r="A1049" s="406"/>
      <c r="B1049" s="401"/>
      <c r="C1049" s="401"/>
      <c r="D1049" s="401"/>
      <c r="E1049" s="401" t="s">
        <v>212</v>
      </c>
      <c r="F1049" s="401"/>
      <c r="G1049" s="417">
        <f t="shared" si="7"/>
        <v>236161.89232638507</v>
      </c>
    </row>
    <row r="1050" spans="1:9" ht="12.75" customHeight="1">
      <c r="A1050" s="406"/>
      <c r="B1050" s="401"/>
      <c r="C1050" s="401"/>
      <c r="D1050" s="401"/>
      <c r="E1050" s="401"/>
      <c r="F1050" s="401"/>
      <c r="G1050" s="417"/>
    </row>
    <row r="1051" spans="1:9" ht="12.75" customHeight="1" thickBot="1">
      <c r="A1051" s="411" t="s">
        <v>213</v>
      </c>
      <c r="B1051" s="412"/>
      <c r="C1051" s="412"/>
      <c r="D1051" s="469" t="s">
        <v>214</v>
      </c>
      <c r="E1051" s="469"/>
      <c r="F1051" s="469"/>
      <c r="G1051" s="418">
        <f t="shared" si="8"/>
        <v>1023368.200081002</v>
      </c>
    </row>
    <row r="1052" spans="1:9" ht="15" customHeight="1">
      <c r="A1052" s="468" t="s">
        <v>174</v>
      </c>
      <c r="B1052" s="457"/>
      <c r="C1052" s="457"/>
      <c r="D1052" s="457"/>
      <c r="E1052" s="457"/>
      <c r="F1052" s="457"/>
      <c r="G1052" s="457"/>
    </row>
    <row r="1053" spans="1:9" ht="12.75" customHeight="1" thickBot="1">
      <c r="A1053" s="77"/>
      <c r="B1053" s="77"/>
      <c r="C1053" s="77"/>
      <c r="D1053" s="77"/>
      <c r="E1053" s="77"/>
      <c r="F1053" s="77"/>
    </row>
    <row r="1054" spans="1:9" ht="12.75" customHeight="1">
      <c r="A1054" s="404" t="s">
        <v>175</v>
      </c>
      <c r="B1054" s="405"/>
      <c r="C1054" s="405"/>
      <c r="D1054" s="428"/>
      <c r="E1054" s="428"/>
      <c r="F1054" s="428"/>
      <c r="G1054" s="429"/>
    </row>
    <row r="1055" spans="1:9" ht="12.75" customHeight="1">
      <c r="A1055" s="406" t="str">
        <f>+A4</f>
        <v xml:space="preserve">OBRA N° Conducción - Red de Distribución  </v>
      </c>
      <c r="B1055" s="401"/>
      <c r="C1055" s="401"/>
      <c r="D1055" s="401"/>
      <c r="E1055" s="195"/>
      <c r="F1055" s="402" t="s">
        <v>177</v>
      </c>
      <c r="G1055" s="430">
        <f t="shared" ca="1" si="0"/>
        <v>46289</v>
      </c>
    </row>
    <row r="1056" spans="1:9" ht="12.75" customHeight="1">
      <c r="A1056" s="406"/>
      <c r="B1056" s="426"/>
      <c r="C1056" s="426"/>
      <c r="D1056" s="426"/>
      <c r="E1056" s="426"/>
      <c r="F1056" s="426"/>
      <c r="G1056" s="431"/>
    </row>
    <row r="1057" spans="1:7" ht="13.5" customHeight="1">
      <c r="A1057" s="406" t="s">
        <v>564</v>
      </c>
      <c r="B1057" s="401" t="s">
        <v>565</v>
      </c>
      <c r="C1057" s="401"/>
      <c r="D1057" s="401"/>
      <c r="E1057" s="401"/>
      <c r="F1057" s="401"/>
      <c r="G1057" s="417"/>
    </row>
    <row r="1058" spans="1:7" ht="12.75" customHeight="1">
      <c r="A1058" s="406" t="s">
        <v>553</v>
      </c>
      <c r="B1058" s="401"/>
      <c r="C1058" s="401" t="s">
        <v>179</v>
      </c>
      <c r="D1058" s="169">
        <v>1</v>
      </c>
      <c r="E1058" s="401" t="s">
        <v>180</v>
      </c>
      <c r="F1058" s="401" t="s">
        <v>262</v>
      </c>
      <c r="G1058" s="417"/>
    </row>
    <row r="1059" spans="1:7" ht="12.75" customHeight="1">
      <c r="A1059" s="406" t="s">
        <v>182</v>
      </c>
      <c r="B1059" s="401"/>
      <c r="C1059" s="401"/>
      <c r="D1059" s="401"/>
      <c r="E1059" s="401"/>
      <c r="F1059" s="401"/>
      <c r="G1059" s="417"/>
    </row>
    <row r="1060" spans="1:7" ht="12.75" customHeight="1">
      <c r="A1060" s="408" t="s">
        <v>111</v>
      </c>
      <c r="B1060" s="169" t="s">
        <v>183</v>
      </c>
      <c r="C1060" s="169" t="s">
        <v>184</v>
      </c>
      <c r="D1060" s="169" t="s">
        <v>185</v>
      </c>
      <c r="E1060" s="169" t="s">
        <v>186</v>
      </c>
      <c r="F1060" s="401"/>
      <c r="G1060" s="417"/>
    </row>
    <row r="1061" spans="1:7" ht="12.75" customHeight="1">
      <c r="A1061" s="406" t="s">
        <v>187</v>
      </c>
      <c r="B1061" s="401"/>
      <c r="C1061" s="401"/>
      <c r="D1061" s="401"/>
      <c r="E1061" s="403">
        <f t="shared" si="1"/>
        <v>16341.424705247024</v>
      </c>
      <c r="F1061" s="401"/>
      <c r="G1061" s="417"/>
    </row>
    <row r="1062" spans="1:7" ht="12.75" customHeight="1">
      <c r="A1062" s="406"/>
      <c r="B1062" s="401"/>
      <c r="C1062" s="401"/>
      <c r="D1062" s="401"/>
      <c r="E1062" s="401"/>
      <c r="F1062" s="401"/>
      <c r="G1062" s="417"/>
    </row>
    <row r="1063" spans="1:7" ht="12.75" customHeight="1">
      <c r="A1063" s="406"/>
      <c r="B1063" s="401"/>
      <c r="C1063" s="401"/>
      <c r="D1063" s="401"/>
      <c r="E1063" s="401"/>
      <c r="F1063" s="401"/>
      <c r="G1063" s="417"/>
    </row>
    <row r="1064" spans="1:7" ht="12.75" customHeight="1">
      <c r="A1064" s="406"/>
      <c r="B1064" s="401"/>
      <c r="C1064" s="401"/>
      <c r="D1064" s="401"/>
      <c r="E1064" s="401"/>
      <c r="F1064" s="401" t="s">
        <v>189</v>
      </c>
      <c r="G1064" s="417">
        <f t="shared" si="2"/>
        <v>16341.424705247024</v>
      </c>
    </row>
    <row r="1065" spans="1:7" ht="12.75" customHeight="1">
      <c r="A1065" s="406" t="s">
        <v>191</v>
      </c>
      <c r="B1065" s="401"/>
      <c r="C1065" s="401"/>
      <c r="D1065" s="401"/>
      <c r="E1065" s="401"/>
      <c r="F1065" s="401"/>
      <c r="G1065" s="417"/>
    </row>
    <row r="1066" spans="1:7" ht="12.75" customHeight="1">
      <c r="A1066" s="408" t="s">
        <v>111</v>
      </c>
      <c r="B1066" s="169" t="s">
        <v>193</v>
      </c>
      <c r="C1066" s="169" t="s">
        <v>194</v>
      </c>
      <c r="D1066" s="169" t="s">
        <v>195</v>
      </c>
      <c r="E1066" s="169" t="s">
        <v>186</v>
      </c>
      <c r="F1066" s="401"/>
      <c r="G1066" s="417"/>
    </row>
    <row r="1067" spans="1:7" ht="12.75" customHeight="1">
      <c r="A1067" s="406" t="s">
        <v>566</v>
      </c>
      <c r="B1067" s="169" t="s">
        <v>193</v>
      </c>
      <c r="C1067" s="403">
        <f>435000*1.19</f>
        <v>517650</v>
      </c>
      <c r="D1067" s="401">
        <v>1</v>
      </c>
      <c r="E1067" s="403">
        <f t="shared" si="15"/>
        <v>517650</v>
      </c>
      <c r="F1067" s="401"/>
      <c r="G1067" s="417"/>
    </row>
    <row r="1068" spans="1:7" ht="12.75" customHeight="1">
      <c r="A1068" s="406" t="s">
        <v>567</v>
      </c>
      <c r="B1068" s="169" t="s">
        <v>193</v>
      </c>
      <c r="C1068" s="403">
        <f>150265*1.19</f>
        <v>178815.35</v>
      </c>
      <c r="D1068" s="401">
        <v>1</v>
      </c>
      <c r="E1068" s="403">
        <f t="shared" si="15"/>
        <v>178815.35</v>
      </c>
      <c r="F1068" s="401"/>
      <c r="G1068" s="417"/>
    </row>
    <row r="1069" spans="1:7" ht="12.75" customHeight="1">
      <c r="A1069" s="406" t="s">
        <v>568</v>
      </c>
      <c r="B1069" s="169" t="s">
        <v>193</v>
      </c>
      <c r="C1069" s="403">
        <f>85000*1.19</f>
        <v>101150</v>
      </c>
      <c r="D1069" s="401">
        <v>1</v>
      </c>
      <c r="E1069" s="403">
        <f t="shared" si="15"/>
        <v>101150</v>
      </c>
      <c r="F1069" s="401"/>
      <c r="G1069" s="417"/>
    </row>
    <row r="1070" spans="1:7" ht="12.75" customHeight="1">
      <c r="A1070" s="406" t="s">
        <v>556</v>
      </c>
      <c r="B1070" s="169" t="s">
        <v>193</v>
      </c>
      <c r="C1070" s="403">
        <f t="shared" si="42"/>
        <v>45815</v>
      </c>
      <c r="D1070" s="401">
        <v>1</v>
      </c>
      <c r="E1070" s="403">
        <f t="shared" si="15"/>
        <v>45815</v>
      </c>
      <c r="F1070" s="401"/>
      <c r="G1070" s="417"/>
    </row>
    <row r="1071" spans="1:7" ht="12.75" customHeight="1">
      <c r="A1071" s="406" t="s">
        <v>569</v>
      </c>
      <c r="B1071" s="169" t="s">
        <v>193</v>
      </c>
      <c r="C1071" s="403">
        <v>4000</v>
      </c>
      <c r="D1071" s="401">
        <v>3</v>
      </c>
      <c r="E1071" s="403">
        <f t="shared" si="15"/>
        <v>12000</v>
      </c>
      <c r="F1071" s="401"/>
      <c r="G1071" s="417"/>
    </row>
    <row r="1072" spans="1:7" ht="12.75" customHeight="1">
      <c r="A1072" s="406" t="s">
        <v>570</v>
      </c>
      <c r="B1072" s="169" t="s">
        <v>193</v>
      </c>
      <c r="C1072" s="401">
        <v>45000</v>
      </c>
      <c r="D1072" s="401">
        <v>1</v>
      </c>
      <c r="E1072" s="401">
        <f t="shared" si="15"/>
        <v>45000</v>
      </c>
      <c r="F1072" s="401"/>
      <c r="G1072" s="417"/>
    </row>
    <row r="1073" spans="1:7" ht="12.75" customHeight="1">
      <c r="A1073" s="406"/>
      <c r="B1073" s="401"/>
      <c r="C1073" s="401"/>
      <c r="D1073" s="401"/>
      <c r="E1073" s="401"/>
      <c r="F1073" s="401" t="s">
        <v>189</v>
      </c>
      <c r="G1073" s="417">
        <f t="shared" si="10"/>
        <v>900430.35</v>
      </c>
    </row>
    <row r="1074" spans="1:7" ht="12.75" customHeight="1">
      <c r="A1074" s="406" t="s">
        <v>197</v>
      </c>
      <c r="B1074" s="401"/>
      <c r="C1074" s="401"/>
      <c r="D1074" s="401"/>
      <c r="E1074" s="401"/>
      <c r="F1074" s="401"/>
      <c r="G1074" s="417"/>
    </row>
    <row r="1075" spans="1:7" ht="12.75" customHeight="1">
      <c r="A1075" s="408" t="s">
        <v>198</v>
      </c>
      <c r="B1075" s="169" t="s">
        <v>199</v>
      </c>
      <c r="C1075" s="169" t="s">
        <v>200</v>
      </c>
      <c r="D1075" s="169" t="s">
        <v>201</v>
      </c>
      <c r="E1075" s="169" t="s">
        <v>186</v>
      </c>
      <c r="F1075" s="401"/>
      <c r="G1075" s="417"/>
    </row>
    <row r="1076" spans="1:7" ht="12.75" customHeight="1">
      <c r="A1076" s="406" t="s">
        <v>232</v>
      </c>
      <c r="B1076" s="401"/>
      <c r="C1076" s="401"/>
      <c r="D1076" s="401"/>
      <c r="E1076" s="401"/>
      <c r="F1076" s="401"/>
      <c r="G1076" s="417"/>
    </row>
    <row r="1077" spans="1:7" ht="12.75" customHeight="1">
      <c r="A1077" s="406"/>
      <c r="B1077" s="401"/>
      <c r="C1077" s="401"/>
      <c r="D1077" s="401"/>
      <c r="E1077" s="401"/>
      <c r="F1077" s="401"/>
      <c r="G1077" s="417"/>
    </row>
    <row r="1078" spans="1:7" ht="12.75" customHeight="1">
      <c r="A1078" s="406"/>
      <c r="B1078" s="401"/>
      <c r="C1078" s="401"/>
      <c r="D1078" s="401"/>
      <c r="E1078" s="401"/>
      <c r="F1078" s="401"/>
      <c r="G1078" s="417"/>
    </row>
    <row r="1079" spans="1:7" ht="12.75" customHeight="1">
      <c r="A1079" s="406"/>
      <c r="B1079" s="401"/>
      <c r="C1079" s="401"/>
      <c r="D1079" s="401"/>
      <c r="E1079" s="401"/>
      <c r="F1079" s="401"/>
      <c r="G1079" s="417"/>
    </row>
    <row r="1080" spans="1:7" ht="12.75" customHeight="1">
      <c r="A1080" s="406"/>
      <c r="B1080" s="401"/>
      <c r="C1080" s="401"/>
      <c r="D1080" s="401"/>
      <c r="E1080" s="401"/>
      <c r="F1080" s="401" t="s">
        <v>189</v>
      </c>
      <c r="G1080" s="417">
        <f t="shared" si="11"/>
        <v>0</v>
      </c>
    </row>
    <row r="1081" spans="1:7" ht="12.75" customHeight="1">
      <c r="A1081" s="406" t="s">
        <v>202</v>
      </c>
      <c r="B1081" s="401"/>
      <c r="C1081" s="401"/>
      <c r="D1081" s="401"/>
      <c r="E1081" s="401"/>
      <c r="F1081" s="401"/>
      <c r="G1081" s="417"/>
    </row>
    <row r="1082" spans="1:7" ht="12.75" customHeight="1">
      <c r="A1082" s="408" t="s">
        <v>203</v>
      </c>
      <c r="B1082" s="169" t="s">
        <v>204</v>
      </c>
      <c r="C1082" s="169" t="s">
        <v>205</v>
      </c>
      <c r="D1082" s="169" t="s">
        <v>206</v>
      </c>
      <c r="E1082" s="169" t="s">
        <v>207</v>
      </c>
      <c r="F1082" s="169" t="s">
        <v>208</v>
      </c>
      <c r="G1082" s="417"/>
    </row>
    <row r="1083" spans="1:7" ht="12.75" customHeight="1">
      <c r="A1083" s="406" t="s">
        <v>188</v>
      </c>
      <c r="B1083" s="401">
        <f>+B164</f>
        <v>150000</v>
      </c>
      <c r="C1083" s="401">
        <f t="shared" si="13"/>
        <v>112500</v>
      </c>
      <c r="D1083" s="401">
        <f t="shared" si="3"/>
        <v>262500</v>
      </c>
      <c r="E1083" s="432">
        <v>1.3656716791955512</v>
      </c>
      <c r="F1083" s="403">
        <f t="shared" si="4"/>
        <v>192213.10948955579</v>
      </c>
      <c r="G1083" s="417"/>
    </row>
    <row r="1084" spans="1:7" ht="12.75" customHeight="1">
      <c r="A1084" s="406" t="s">
        <v>190</v>
      </c>
      <c r="B1084" s="401">
        <f>+B165</f>
        <v>100000</v>
      </c>
      <c r="C1084" s="403">
        <f t="shared" si="13"/>
        <v>75000</v>
      </c>
      <c r="D1084" s="403">
        <f t="shared" si="3"/>
        <v>175000</v>
      </c>
      <c r="E1084" s="401">
        <v>1.3</v>
      </c>
      <c r="F1084" s="403">
        <f t="shared" si="4"/>
        <v>134615.38461538462</v>
      </c>
      <c r="G1084" s="417"/>
    </row>
    <row r="1085" spans="1:7" ht="12.75" customHeight="1">
      <c r="A1085" s="406"/>
      <c r="B1085" s="401"/>
      <c r="C1085" s="401"/>
      <c r="D1085" s="401"/>
      <c r="E1085" s="401"/>
      <c r="F1085" s="401"/>
      <c r="G1085" s="417"/>
    </row>
    <row r="1086" spans="1:7" ht="12.75" customHeight="1">
      <c r="A1086" s="406"/>
      <c r="B1086" s="401"/>
      <c r="C1086" s="401"/>
      <c r="D1086" s="401"/>
      <c r="E1086" s="401"/>
      <c r="F1086" s="401"/>
      <c r="G1086" s="417"/>
    </row>
    <row r="1087" spans="1:7" ht="12.75" customHeight="1">
      <c r="A1087" s="406"/>
      <c r="B1087" s="401"/>
      <c r="C1087" s="401"/>
      <c r="D1087" s="401"/>
      <c r="E1087" s="401"/>
      <c r="F1087" s="401"/>
      <c r="G1087" s="417"/>
    </row>
    <row r="1088" spans="1:7" ht="12.75" customHeight="1">
      <c r="A1088" s="406"/>
      <c r="B1088" s="401"/>
      <c r="C1088" s="401"/>
      <c r="D1088" s="401"/>
      <c r="E1088" s="401"/>
      <c r="F1088" s="401"/>
      <c r="G1088" s="417"/>
    </row>
    <row r="1089" spans="1:9" ht="12.75" customHeight="1">
      <c r="A1089" s="406"/>
      <c r="B1089" s="401"/>
      <c r="C1089" s="401"/>
      <c r="D1089" s="401"/>
      <c r="E1089" s="401"/>
      <c r="F1089" s="401" t="s">
        <v>189</v>
      </c>
      <c r="G1089" s="417">
        <f t="shared" si="5"/>
        <v>326828.49410494044</v>
      </c>
    </row>
    <row r="1090" spans="1:9" ht="12.75" customHeight="1">
      <c r="A1090" s="406"/>
      <c r="B1090" s="401"/>
      <c r="C1090" s="401"/>
      <c r="D1090" s="401"/>
      <c r="E1090" s="401"/>
      <c r="F1090" s="401"/>
      <c r="G1090" s="417"/>
    </row>
    <row r="1091" spans="1:9" ht="12.75" customHeight="1">
      <c r="A1091" s="406" t="s">
        <v>209</v>
      </c>
      <c r="B1091" s="401"/>
      <c r="C1091" s="401" t="s">
        <v>210</v>
      </c>
      <c r="D1091" s="471" t="s">
        <v>211</v>
      </c>
      <c r="E1091" s="472"/>
      <c r="F1091" s="472"/>
      <c r="G1091" s="417">
        <f t="shared" si="6"/>
        <v>1243600.2688101875</v>
      </c>
      <c r="I1091">
        <v>1616680.35</v>
      </c>
    </row>
    <row r="1092" spans="1:9" ht="12.75" customHeight="1">
      <c r="A1092" s="406"/>
      <c r="B1092" s="401"/>
      <c r="C1092" s="401"/>
      <c r="D1092" s="401"/>
      <c r="E1092" s="401"/>
      <c r="F1092" s="401"/>
      <c r="G1092" s="417"/>
    </row>
    <row r="1093" spans="1:9" ht="12.75" customHeight="1">
      <c r="A1093" s="406"/>
      <c r="B1093" s="401"/>
      <c r="C1093" s="401"/>
      <c r="D1093" s="401"/>
      <c r="E1093" s="401" t="s">
        <v>212</v>
      </c>
      <c r="F1093" s="401"/>
      <c r="G1093" s="417">
        <f t="shared" si="7"/>
        <v>373080.08064305625</v>
      </c>
    </row>
    <row r="1094" spans="1:9" ht="12.75" customHeight="1">
      <c r="A1094" s="406"/>
      <c r="B1094" s="401"/>
      <c r="C1094" s="401"/>
      <c r="D1094" s="401"/>
      <c r="E1094" s="401"/>
      <c r="F1094" s="401"/>
      <c r="G1094" s="417"/>
    </row>
    <row r="1095" spans="1:9" ht="12.75" customHeight="1" thickBot="1">
      <c r="A1095" s="411" t="s">
        <v>213</v>
      </c>
      <c r="B1095" s="412"/>
      <c r="C1095" s="412"/>
      <c r="D1095" s="469" t="s">
        <v>214</v>
      </c>
      <c r="E1095" s="470"/>
      <c r="F1095" s="470"/>
      <c r="G1095" s="418">
        <f t="shared" si="8"/>
        <v>1616680.3494532437</v>
      </c>
    </row>
    <row r="1096" spans="1:9" ht="15" customHeight="1">
      <c r="A1096" s="468" t="s">
        <v>174</v>
      </c>
      <c r="B1096" s="457"/>
      <c r="C1096" s="457"/>
      <c r="D1096" s="457"/>
      <c r="E1096" s="457"/>
      <c r="F1096" s="457"/>
      <c r="G1096" s="457"/>
    </row>
    <row r="1097" spans="1:9" ht="12.75" customHeight="1" thickBot="1">
      <c r="A1097" s="77"/>
      <c r="B1097" s="77"/>
      <c r="C1097" s="77"/>
      <c r="D1097" s="77"/>
      <c r="E1097" s="77"/>
      <c r="F1097" s="77"/>
    </row>
    <row r="1098" spans="1:9" ht="12.75" customHeight="1">
      <c r="A1098" s="404" t="s">
        <v>175</v>
      </c>
      <c r="B1098" s="405"/>
      <c r="C1098" s="405"/>
      <c r="D1098" s="428"/>
      <c r="E1098" s="428"/>
      <c r="F1098" s="428"/>
      <c r="G1098" s="429"/>
    </row>
    <row r="1099" spans="1:9" ht="12.75" customHeight="1">
      <c r="A1099" s="406" t="str">
        <f>+A4</f>
        <v xml:space="preserve">OBRA N° Conducción - Red de Distribución  </v>
      </c>
      <c r="B1099" s="401"/>
      <c r="C1099" s="401"/>
      <c r="D1099" s="401"/>
      <c r="E1099" s="195"/>
      <c r="F1099" s="402" t="s">
        <v>177</v>
      </c>
      <c r="G1099" s="430">
        <f t="shared" ca="1" si="0"/>
        <v>46289</v>
      </c>
    </row>
    <row r="1100" spans="1:9" ht="12.75" customHeight="1">
      <c r="A1100" s="433"/>
      <c r="B1100" s="426"/>
      <c r="C1100" s="426"/>
      <c r="D1100" s="426"/>
      <c r="E1100" s="426"/>
      <c r="F1100" s="426"/>
      <c r="G1100" s="431"/>
    </row>
    <row r="1101" spans="1:9" ht="12.75" customHeight="1">
      <c r="A1101" s="406" t="s">
        <v>571</v>
      </c>
      <c r="B1101" s="401" t="s">
        <v>572</v>
      </c>
      <c r="C1101" s="401"/>
      <c r="D1101" s="401"/>
      <c r="E1101" s="401"/>
      <c r="F1101" s="401"/>
      <c r="G1101" s="417"/>
    </row>
    <row r="1102" spans="1:9" ht="12.75" customHeight="1">
      <c r="A1102" s="406"/>
      <c r="B1102" s="401"/>
      <c r="C1102" s="401" t="s">
        <v>179</v>
      </c>
      <c r="D1102" s="401">
        <v>20</v>
      </c>
      <c r="E1102" s="401" t="s">
        <v>180</v>
      </c>
      <c r="F1102" s="401" t="s">
        <v>262</v>
      </c>
      <c r="G1102" s="417"/>
    </row>
    <row r="1103" spans="1:9" ht="12.75" customHeight="1">
      <c r="A1103" s="406" t="s">
        <v>182</v>
      </c>
      <c r="B1103" s="401"/>
      <c r="C1103" s="401"/>
      <c r="D1103" s="401"/>
      <c r="E1103" s="401"/>
      <c r="F1103" s="401"/>
      <c r="G1103" s="417"/>
    </row>
    <row r="1104" spans="1:9" ht="12.75" customHeight="1">
      <c r="A1104" s="408" t="s">
        <v>111</v>
      </c>
      <c r="B1104" s="169" t="s">
        <v>183</v>
      </c>
      <c r="C1104" s="169" t="s">
        <v>184</v>
      </c>
      <c r="D1104" s="169" t="s">
        <v>185</v>
      </c>
      <c r="E1104" s="169" t="s">
        <v>186</v>
      </c>
      <c r="F1104" s="401"/>
      <c r="G1104" s="417"/>
    </row>
    <row r="1105" spans="1:7" ht="12.75" customHeight="1">
      <c r="A1105" s="406" t="s">
        <v>187</v>
      </c>
      <c r="B1105" s="401"/>
      <c r="C1105" s="401"/>
      <c r="D1105" s="401"/>
      <c r="E1105" s="403">
        <f t="shared" si="1"/>
        <v>12201.923076919242</v>
      </c>
      <c r="F1105" s="401"/>
      <c r="G1105" s="417"/>
    </row>
    <row r="1106" spans="1:7" ht="12.75" customHeight="1">
      <c r="A1106" s="406"/>
      <c r="B1106" s="401"/>
      <c r="C1106" s="401"/>
      <c r="D1106" s="401"/>
      <c r="E1106" s="401"/>
      <c r="F1106" s="401"/>
      <c r="G1106" s="417"/>
    </row>
    <row r="1107" spans="1:7" ht="12.75" customHeight="1">
      <c r="A1107" s="406"/>
      <c r="B1107" s="401"/>
      <c r="C1107" s="401"/>
      <c r="D1107" s="401"/>
      <c r="E1107" s="401"/>
      <c r="F1107" s="401"/>
      <c r="G1107" s="417"/>
    </row>
    <row r="1108" spans="1:7" ht="12.75" customHeight="1">
      <c r="A1108" s="406"/>
      <c r="B1108" s="401"/>
      <c r="C1108" s="401"/>
      <c r="D1108" s="401"/>
      <c r="E1108" s="401"/>
      <c r="F1108" s="401" t="s">
        <v>189</v>
      </c>
      <c r="G1108" s="417">
        <f t="shared" si="2"/>
        <v>12201.923076919242</v>
      </c>
    </row>
    <row r="1109" spans="1:7" ht="12.75" customHeight="1">
      <c r="A1109" s="406" t="s">
        <v>191</v>
      </c>
      <c r="B1109" s="401"/>
      <c r="C1109" s="401"/>
      <c r="D1109" s="401"/>
      <c r="E1109" s="401"/>
      <c r="F1109" s="401"/>
      <c r="G1109" s="417"/>
    </row>
    <row r="1110" spans="1:7" ht="12.75" customHeight="1">
      <c r="A1110" s="408" t="s">
        <v>111</v>
      </c>
      <c r="B1110" s="169" t="s">
        <v>193</v>
      </c>
      <c r="C1110" s="169" t="s">
        <v>194</v>
      </c>
      <c r="D1110" s="169" t="s">
        <v>195</v>
      </c>
      <c r="E1110" s="169" t="s">
        <v>186</v>
      </c>
      <c r="F1110" s="401"/>
      <c r="G1110" s="417"/>
    </row>
    <row r="1111" spans="1:7" ht="12.75" customHeight="1">
      <c r="A1111" s="406" t="s">
        <v>449</v>
      </c>
      <c r="B1111" s="169" t="s">
        <v>238</v>
      </c>
      <c r="C1111" s="403">
        <f>+Bocatoma!G242</f>
        <v>777000</v>
      </c>
      <c r="D1111" s="427">
        <v>0.125</v>
      </c>
      <c r="E1111" s="403">
        <f t="shared" si="15"/>
        <v>97125</v>
      </c>
      <c r="F1111" s="401"/>
      <c r="G1111" s="417"/>
    </row>
    <row r="1112" spans="1:7" ht="12.75" customHeight="1">
      <c r="A1112" s="406" t="s">
        <v>573</v>
      </c>
      <c r="B1112" s="169" t="s">
        <v>193</v>
      </c>
      <c r="C1112" s="401">
        <v>80000</v>
      </c>
      <c r="D1112" s="401">
        <v>1</v>
      </c>
      <c r="E1112" s="401">
        <f t="shared" si="15"/>
        <v>80000</v>
      </c>
      <c r="F1112" s="401"/>
      <c r="G1112" s="417"/>
    </row>
    <row r="1113" spans="1:7" ht="12.75" customHeight="1">
      <c r="A1113" s="406"/>
      <c r="B1113" s="169"/>
      <c r="C1113" s="401"/>
      <c r="D1113" s="401"/>
      <c r="E1113" s="401"/>
      <c r="F1113" s="401"/>
      <c r="G1113" s="417"/>
    </row>
    <row r="1114" spans="1:7" ht="12.75" customHeight="1">
      <c r="A1114" s="406"/>
      <c r="B1114" s="401"/>
      <c r="C1114" s="401"/>
      <c r="D1114" s="401"/>
      <c r="E1114" s="401"/>
      <c r="F1114" s="401"/>
      <c r="G1114" s="417"/>
    </row>
    <row r="1115" spans="1:7" ht="12.75" customHeight="1">
      <c r="A1115" s="406"/>
      <c r="B1115" s="401"/>
      <c r="C1115" s="401"/>
      <c r="D1115" s="401"/>
      <c r="E1115" s="401"/>
      <c r="F1115" s="401"/>
      <c r="G1115" s="417"/>
    </row>
    <row r="1116" spans="1:7" ht="12.75" customHeight="1">
      <c r="A1116" s="406"/>
      <c r="B1116" s="401"/>
      <c r="C1116" s="401"/>
      <c r="D1116" s="401"/>
      <c r="E1116" s="401"/>
      <c r="F1116" s="401"/>
      <c r="G1116" s="417"/>
    </row>
    <row r="1117" spans="1:7" ht="12.75" customHeight="1">
      <c r="A1117" s="406"/>
      <c r="B1117" s="401"/>
      <c r="C1117" s="401"/>
      <c r="D1117" s="401"/>
      <c r="E1117" s="401"/>
      <c r="F1117" s="401" t="s">
        <v>189</v>
      </c>
      <c r="G1117" s="417">
        <f t="shared" si="10"/>
        <v>177125</v>
      </c>
    </row>
    <row r="1118" spans="1:7" ht="12.75" customHeight="1">
      <c r="A1118" s="406" t="s">
        <v>197</v>
      </c>
      <c r="B1118" s="401"/>
      <c r="C1118" s="401"/>
      <c r="D1118" s="401"/>
      <c r="E1118" s="401"/>
      <c r="F1118" s="401"/>
      <c r="G1118" s="417"/>
    </row>
    <row r="1119" spans="1:7" ht="12.75" customHeight="1">
      <c r="A1119" s="408" t="s">
        <v>198</v>
      </c>
      <c r="B1119" s="169" t="s">
        <v>199</v>
      </c>
      <c r="C1119" s="169" t="s">
        <v>200</v>
      </c>
      <c r="D1119" s="169" t="s">
        <v>201</v>
      </c>
      <c r="E1119" s="169" t="s">
        <v>186</v>
      </c>
      <c r="F1119" s="401"/>
      <c r="G1119" s="417"/>
    </row>
    <row r="1120" spans="1:7" ht="12.75" customHeight="1">
      <c r="A1120" s="406" t="s">
        <v>243</v>
      </c>
      <c r="B1120" s="401"/>
      <c r="C1120" s="401"/>
      <c r="D1120" s="401"/>
      <c r="E1120" s="401"/>
      <c r="F1120" s="401"/>
      <c r="G1120" s="417"/>
    </row>
    <row r="1121" spans="1:9" ht="12.75" customHeight="1">
      <c r="A1121" s="406"/>
      <c r="B1121" s="401"/>
      <c r="C1121" s="401"/>
      <c r="D1121" s="401"/>
      <c r="E1121" s="401"/>
      <c r="F1121" s="401"/>
      <c r="G1121" s="417"/>
    </row>
    <row r="1122" spans="1:9" ht="12.75" customHeight="1">
      <c r="A1122" s="406"/>
      <c r="B1122" s="401"/>
      <c r="C1122" s="401"/>
      <c r="D1122" s="401"/>
      <c r="E1122" s="401"/>
      <c r="F1122" s="401"/>
      <c r="G1122" s="417"/>
    </row>
    <row r="1123" spans="1:9" ht="12.75" customHeight="1">
      <c r="A1123" s="406"/>
      <c r="B1123" s="401"/>
      <c r="C1123" s="401"/>
      <c r="D1123" s="401"/>
      <c r="E1123" s="401"/>
      <c r="F1123" s="401"/>
      <c r="G1123" s="417"/>
    </row>
    <row r="1124" spans="1:9" ht="12.75" customHeight="1">
      <c r="A1124" s="406"/>
      <c r="B1124" s="401"/>
      <c r="C1124" s="401"/>
      <c r="D1124" s="401"/>
      <c r="E1124" s="401"/>
      <c r="F1124" s="401" t="s">
        <v>189</v>
      </c>
      <c r="G1124" s="417">
        <f t="shared" si="11"/>
        <v>0</v>
      </c>
    </row>
    <row r="1125" spans="1:9" ht="12.75" customHeight="1">
      <c r="A1125" s="406" t="s">
        <v>202</v>
      </c>
      <c r="B1125" s="401"/>
      <c r="C1125" s="401"/>
      <c r="D1125" s="401"/>
      <c r="E1125" s="401"/>
      <c r="F1125" s="401"/>
      <c r="G1125" s="417"/>
    </row>
    <row r="1126" spans="1:9" ht="12.75" customHeight="1">
      <c r="A1126" s="408" t="s">
        <v>203</v>
      </c>
      <c r="B1126" s="169" t="s">
        <v>204</v>
      </c>
      <c r="C1126" s="169" t="s">
        <v>205</v>
      </c>
      <c r="D1126" s="169" t="s">
        <v>206</v>
      </c>
      <c r="E1126" s="169" t="s">
        <v>207</v>
      </c>
      <c r="F1126" s="169" t="s">
        <v>208</v>
      </c>
      <c r="G1126" s="417"/>
    </row>
    <row r="1127" spans="1:9" ht="12.75" customHeight="1">
      <c r="A1127" s="406" t="s">
        <v>188</v>
      </c>
      <c r="B1127" s="401">
        <f>+B164</f>
        <v>150000</v>
      </c>
      <c r="C1127" s="401">
        <f t="shared" si="13"/>
        <v>112500</v>
      </c>
      <c r="D1127" s="401">
        <f t="shared" si="3"/>
        <v>262500</v>
      </c>
      <c r="E1127" s="401">
        <v>1.8</v>
      </c>
      <c r="F1127" s="403">
        <f t="shared" si="4"/>
        <v>145833.33333333334</v>
      </c>
      <c r="G1127" s="417"/>
    </row>
    <row r="1128" spans="1:9" ht="12.75" customHeight="1">
      <c r="A1128" s="406" t="s">
        <v>190</v>
      </c>
      <c r="B1128" s="401">
        <f>+B165</f>
        <v>100000</v>
      </c>
      <c r="C1128" s="403">
        <f t="shared" si="13"/>
        <v>75000</v>
      </c>
      <c r="D1128" s="403">
        <f t="shared" si="3"/>
        <v>175000</v>
      </c>
      <c r="E1128" s="432">
        <v>1.7819843342050476</v>
      </c>
      <c r="F1128" s="403">
        <f t="shared" si="4"/>
        <v>98205.128205051471</v>
      </c>
      <c r="G1128" s="417"/>
    </row>
    <row r="1129" spans="1:9" ht="12.75" customHeight="1">
      <c r="A1129" s="406"/>
      <c r="B1129" s="401"/>
      <c r="C1129" s="401"/>
      <c r="D1129" s="401"/>
      <c r="E1129" s="401"/>
      <c r="F1129" s="401"/>
      <c r="G1129" s="417"/>
    </row>
    <row r="1130" spans="1:9" ht="12.75" customHeight="1">
      <c r="A1130" s="406"/>
      <c r="B1130" s="401"/>
      <c r="C1130" s="401"/>
      <c r="D1130" s="401"/>
      <c r="E1130" s="401"/>
      <c r="F1130" s="401"/>
      <c r="G1130" s="417"/>
    </row>
    <row r="1131" spans="1:9" ht="12.75" customHeight="1">
      <c r="A1131" s="406"/>
      <c r="B1131" s="401"/>
      <c r="C1131" s="401"/>
      <c r="D1131" s="401"/>
      <c r="E1131" s="401"/>
      <c r="F1131" s="401"/>
      <c r="G1131" s="417"/>
    </row>
    <row r="1132" spans="1:9" ht="12.75" customHeight="1">
      <c r="A1132" s="406"/>
      <c r="B1132" s="401"/>
      <c r="C1132" s="401"/>
      <c r="D1132" s="401"/>
      <c r="E1132" s="401"/>
      <c r="F1132" s="401"/>
      <c r="G1132" s="417"/>
    </row>
    <row r="1133" spans="1:9" ht="12.75" customHeight="1">
      <c r="A1133" s="406"/>
      <c r="B1133" s="401"/>
      <c r="C1133" s="401"/>
      <c r="D1133" s="401"/>
      <c r="E1133" s="401"/>
      <c r="F1133" s="401" t="s">
        <v>189</v>
      </c>
      <c r="G1133" s="417">
        <f t="shared" si="5"/>
        <v>244038.46153838481</v>
      </c>
    </row>
    <row r="1134" spans="1:9" ht="12.75" customHeight="1">
      <c r="A1134" s="406"/>
      <c r="B1134" s="401"/>
      <c r="C1134" s="401"/>
      <c r="D1134" s="401"/>
      <c r="E1134" s="401"/>
      <c r="F1134" s="401"/>
      <c r="G1134" s="417"/>
    </row>
    <row r="1135" spans="1:9" ht="12.75" customHeight="1">
      <c r="A1135" s="406" t="s">
        <v>209</v>
      </c>
      <c r="B1135" s="401"/>
      <c r="C1135" s="401" t="s">
        <v>210</v>
      </c>
      <c r="D1135" s="471" t="s">
        <v>211</v>
      </c>
      <c r="E1135" s="472"/>
      <c r="F1135" s="472"/>
      <c r="G1135" s="417">
        <f t="shared" si="6"/>
        <v>433365.38461530406</v>
      </c>
      <c r="I1135">
        <v>563375</v>
      </c>
    </row>
    <row r="1136" spans="1:9" ht="12.75" customHeight="1">
      <c r="A1136" s="406"/>
      <c r="B1136" s="401"/>
      <c r="C1136" s="401"/>
      <c r="D1136" s="401"/>
      <c r="E1136" s="401"/>
      <c r="F1136" s="401"/>
      <c r="G1136" s="417"/>
    </row>
    <row r="1137" spans="1:7" ht="12.75" customHeight="1">
      <c r="A1137" s="406"/>
      <c r="B1137" s="401"/>
      <c r="C1137" s="401"/>
      <c r="D1137" s="401"/>
      <c r="E1137" s="401" t="s">
        <v>212</v>
      </c>
      <c r="F1137" s="401"/>
      <c r="G1137" s="417">
        <f t="shared" si="7"/>
        <v>130009.61538459122</v>
      </c>
    </row>
    <row r="1138" spans="1:7" ht="12.75" customHeight="1">
      <c r="A1138" s="406"/>
      <c r="B1138" s="401"/>
      <c r="C1138" s="401"/>
      <c r="D1138" s="401"/>
      <c r="E1138" s="401"/>
      <c r="F1138" s="401"/>
      <c r="G1138" s="417"/>
    </row>
    <row r="1139" spans="1:7" ht="12.75" customHeight="1" thickBot="1">
      <c r="A1139" s="411" t="s">
        <v>213</v>
      </c>
      <c r="B1139" s="412"/>
      <c r="C1139" s="412"/>
      <c r="D1139" s="469" t="s">
        <v>214</v>
      </c>
      <c r="E1139" s="470"/>
      <c r="F1139" s="470"/>
      <c r="G1139" s="418">
        <f t="shared" si="8"/>
        <v>563374.99999989523</v>
      </c>
    </row>
    <row r="1140" spans="1:7" ht="15" customHeight="1">
      <c r="A1140" s="468" t="s">
        <v>174</v>
      </c>
      <c r="B1140" s="457"/>
      <c r="C1140" s="457"/>
      <c r="D1140" s="457"/>
      <c r="E1140" s="457"/>
      <c r="F1140" s="457"/>
      <c r="G1140" s="457"/>
    </row>
    <row r="1141" spans="1:7" ht="12.75" customHeight="1" thickBot="1"/>
    <row r="1142" spans="1:7" ht="12.75" customHeight="1">
      <c r="A1142" s="404" t="s">
        <v>175</v>
      </c>
      <c r="B1142" s="405"/>
      <c r="C1142" s="405"/>
      <c r="D1142" s="428"/>
      <c r="E1142" s="428"/>
      <c r="F1142" s="428"/>
      <c r="G1142" s="429"/>
    </row>
    <row r="1143" spans="1:7" ht="12.75" customHeight="1">
      <c r="A1143" s="406" t="str">
        <f>+A4</f>
        <v xml:space="preserve">OBRA N° Conducción - Red de Distribución  </v>
      </c>
      <c r="B1143" s="401"/>
      <c r="C1143" s="401"/>
      <c r="D1143" s="401"/>
      <c r="E1143" s="195"/>
      <c r="F1143" s="402" t="s">
        <v>177</v>
      </c>
      <c r="G1143" s="430">
        <f t="shared" ca="1" si="0"/>
        <v>46289</v>
      </c>
    </row>
    <row r="1144" spans="1:7" ht="12.75" customHeight="1">
      <c r="A1144" s="433"/>
      <c r="B1144" s="426"/>
      <c r="C1144" s="426"/>
      <c r="D1144" s="426"/>
      <c r="E1144" s="426"/>
      <c r="F1144" s="426"/>
      <c r="G1144" s="431"/>
    </row>
    <row r="1145" spans="1:7" ht="12.75" customHeight="1">
      <c r="A1145" s="406" t="s">
        <v>574</v>
      </c>
      <c r="B1145" s="401" t="s">
        <v>575</v>
      </c>
      <c r="C1145" s="401"/>
      <c r="D1145" s="401"/>
      <c r="E1145" s="401"/>
      <c r="F1145" s="401"/>
      <c r="G1145" s="417"/>
    </row>
    <row r="1146" spans="1:7" ht="14.25" customHeight="1">
      <c r="A1146" s="406" t="s">
        <v>576</v>
      </c>
      <c r="B1146" s="401"/>
      <c r="C1146" s="401" t="s">
        <v>179</v>
      </c>
      <c r="D1146" s="169">
        <v>5</v>
      </c>
      <c r="E1146" s="401" t="s">
        <v>180</v>
      </c>
      <c r="F1146" s="401" t="s">
        <v>262</v>
      </c>
      <c r="G1146" s="417"/>
    </row>
    <row r="1147" spans="1:7" ht="12.75" customHeight="1">
      <c r="A1147" s="406" t="s">
        <v>182</v>
      </c>
      <c r="B1147" s="401"/>
      <c r="C1147" s="401"/>
      <c r="D1147" s="401"/>
      <c r="E1147" s="401"/>
      <c r="F1147" s="401"/>
      <c r="G1147" s="417"/>
    </row>
    <row r="1148" spans="1:7" ht="12.75" customHeight="1">
      <c r="A1148" s="408" t="s">
        <v>111</v>
      </c>
      <c r="B1148" s="169" t="s">
        <v>183</v>
      </c>
      <c r="C1148" s="169" t="s">
        <v>184</v>
      </c>
      <c r="D1148" s="169" t="s">
        <v>185</v>
      </c>
      <c r="E1148" s="169" t="s">
        <v>186</v>
      </c>
      <c r="F1148" s="401"/>
      <c r="G1148" s="417"/>
    </row>
    <row r="1149" spans="1:7" ht="12.75" customHeight="1">
      <c r="A1149" s="406" t="s">
        <v>187</v>
      </c>
      <c r="B1149" s="401"/>
      <c r="C1149" s="401"/>
      <c r="D1149" s="401"/>
      <c r="E1149" s="403">
        <f t="shared" si="1"/>
        <v>38685.8974315175</v>
      </c>
      <c r="F1149" s="401"/>
      <c r="G1149" s="417"/>
    </row>
    <row r="1150" spans="1:7" ht="12.75" customHeight="1">
      <c r="A1150" s="406"/>
      <c r="B1150" s="401"/>
      <c r="C1150" s="401"/>
      <c r="D1150" s="401"/>
      <c r="E1150" s="401"/>
      <c r="F1150" s="401"/>
      <c r="G1150" s="417"/>
    </row>
    <row r="1151" spans="1:7" ht="12.75" customHeight="1">
      <c r="A1151" s="406"/>
      <c r="B1151" s="401"/>
      <c r="C1151" s="401"/>
      <c r="D1151" s="401"/>
      <c r="E1151" s="401"/>
      <c r="F1151" s="401"/>
      <c r="G1151" s="417"/>
    </row>
    <row r="1152" spans="1:7" ht="12.75" customHeight="1">
      <c r="A1152" s="406"/>
      <c r="B1152" s="401"/>
      <c r="C1152" s="401"/>
      <c r="D1152" s="401"/>
      <c r="E1152" s="401"/>
      <c r="F1152" s="401" t="s">
        <v>189</v>
      </c>
      <c r="G1152" s="417">
        <f t="shared" si="2"/>
        <v>38685.8974315175</v>
      </c>
    </row>
    <row r="1153" spans="1:7" ht="12.75" customHeight="1">
      <c r="A1153" s="406" t="s">
        <v>191</v>
      </c>
      <c r="B1153" s="401"/>
      <c r="C1153" s="401"/>
      <c r="D1153" s="401"/>
      <c r="E1153" s="401"/>
      <c r="F1153" s="401"/>
      <c r="G1153" s="417"/>
    </row>
    <row r="1154" spans="1:7" ht="12.75" customHeight="1">
      <c r="A1154" s="408" t="s">
        <v>111</v>
      </c>
      <c r="B1154" s="169" t="s">
        <v>193</v>
      </c>
      <c r="C1154" s="169" t="s">
        <v>194</v>
      </c>
      <c r="D1154" s="169" t="s">
        <v>195</v>
      </c>
      <c r="E1154" s="169" t="s">
        <v>186</v>
      </c>
      <c r="F1154" s="401"/>
      <c r="G1154" s="417"/>
    </row>
    <row r="1155" spans="1:7" ht="12.75" customHeight="1">
      <c r="A1155" s="406" t="s">
        <v>448</v>
      </c>
      <c r="B1155" s="169" t="s">
        <v>193</v>
      </c>
      <c r="C1155" s="403">
        <v>6100</v>
      </c>
      <c r="D1155" s="403">
        <v>20</v>
      </c>
      <c r="E1155" s="403">
        <f t="shared" si="15"/>
        <v>122000</v>
      </c>
      <c r="F1155" s="401"/>
      <c r="G1155" s="417"/>
    </row>
    <row r="1156" spans="1:7" ht="12.75" customHeight="1">
      <c r="A1156" s="406" t="s">
        <v>573</v>
      </c>
      <c r="B1156" s="169" t="s">
        <v>193</v>
      </c>
      <c r="C1156" s="401">
        <v>88000</v>
      </c>
      <c r="D1156" s="401">
        <v>1</v>
      </c>
      <c r="E1156" s="401">
        <f t="shared" si="15"/>
        <v>88000</v>
      </c>
      <c r="F1156" s="401"/>
      <c r="G1156" s="417"/>
    </row>
    <row r="1157" spans="1:7" ht="12.75" customHeight="1">
      <c r="A1157" s="406" t="s">
        <v>577</v>
      </c>
      <c r="B1157" s="169" t="s">
        <v>256</v>
      </c>
      <c r="C1157" s="401">
        <v>12500</v>
      </c>
      <c r="D1157" s="401">
        <v>1</v>
      </c>
      <c r="E1157" s="401">
        <f t="shared" si="15"/>
        <v>12500</v>
      </c>
      <c r="F1157" s="401"/>
      <c r="G1157" s="417"/>
    </row>
    <row r="1158" spans="1:7" ht="12.75" customHeight="1">
      <c r="A1158" s="406" t="s">
        <v>449</v>
      </c>
      <c r="B1158" s="169" t="s">
        <v>256</v>
      </c>
      <c r="C1158" s="401">
        <v>30000</v>
      </c>
      <c r="D1158" s="401">
        <v>1</v>
      </c>
      <c r="E1158" s="401">
        <f t="shared" si="15"/>
        <v>30000</v>
      </c>
      <c r="F1158" s="401"/>
      <c r="G1158" s="417"/>
    </row>
    <row r="1159" spans="1:7" ht="12.75" customHeight="1">
      <c r="A1159" s="406"/>
      <c r="B1159" s="401"/>
      <c r="C1159" s="401"/>
      <c r="D1159" s="401"/>
      <c r="E1159" s="401"/>
      <c r="F1159" s="401"/>
      <c r="G1159" s="417"/>
    </row>
    <row r="1160" spans="1:7" ht="12.75" customHeight="1">
      <c r="A1160" s="406"/>
      <c r="B1160" s="401"/>
      <c r="C1160" s="401"/>
      <c r="D1160" s="401"/>
      <c r="E1160" s="401"/>
      <c r="F1160" s="401"/>
      <c r="G1160" s="417"/>
    </row>
    <row r="1161" spans="1:7" ht="12.75" customHeight="1">
      <c r="A1161" s="406"/>
      <c r="B1161" s="401"/>
      <c r="C1161" s="401"/>
      <c r="D1161" s="401"/>
      <c r="E1161" s="401"/>
      <c r="F1161" s="401" t="s">
        <v>189</v>
      </c>
      <c r="G1161" s="417">
        <f t="shared" si="10"/>
        <v>252500</v>
      </c>
    </row>
    <row r="1162" spans="1:7" ht="12.75" customHeight="1">
      <c r="A1162" s="406" t="s">
        <v>197</v>
      </c>
      <c r="B1162" s="401"/>
      <c r="C1162" s="401"/>
      <c r="D1162" s="401"/>
      <c r="E1162" s="401"/>
      <c r="F1162" s="401"/>
      <c r="G1162" s="417"/>
    </row>
    <row r="1163" spans="1:7" ht="12.75" customHeight="1">
      <c r="A1163" s="408" t="s">
        <v>198</v>
      </c>
      <c r="B1163" s="169" t="s">
        <v>199</v>
      </c>
      <c r="C1163" s="169" t="s">
        <v>200</v>
      </c>
      <c r="D1163" s="169" t="s">
        <v>201</v>
      </c>
      <c r="E1163" s="169" t="s">
        <v>186</v>
      </c>
      <c r="F1163" s="401"/>
      <c r="G1163" s="417"/>
    </row>
    <row r="1164" spans="1:7" ht="12.75" customHeight="1">
      <c r="A1164" s="406" t="s">
        <v>243</v>
      </c>
      <c r="B1164" s="401"/>
      <c r="C1164" s="401"/>
      <c r="D1164" s="401"/>
      <c r="E1164" s="401"/>
      <c r="F1164" s="401"/>
      <c r="G1164" s="417"/>
    </row>
    <row r="1165" spans="1:7" ht="12.75" customHeight="1">
      <c r="A1165" s="406"/>
      <c r="B1165" s="401"/>
      <c r="C1165" s="401"/>
      <c r="D1165" s="401"/>
      <c r="E1165" s="401"/>
      <c r="F1165" s="401"/>
      <c r="G1165" s="417"/>
    </row>
    <row r="1166" spans="1:7" ht="12.75" customHeight="1">
      <c r="A1166" s="406"/>
      <c r="B1166" s="401"/>
      <c r="C1166" s="401"/>
      <c r="D1166" s="401"/>
      <c r="E1166" s="401"/>
      <c r="F1166" s="401"/>
      <c r="G1166" s="417"/>
    </row>
    <row r="1167" spans="1:7" ht="12.75" customHeight="1">
      <c r="A1167" s="406"/>
      <c r="B1167" s="401"/>
      <c r="C1167" s="401"/>
      <c r="D1167" s="401"/>
      <c r="E1167" s="401"/>
      <c r="F1167" s="401"/>
      <c r="G1167" s="417"/>
    </row>
    <row r="1168" spans="1:7" ht="12.75" customHeight="1">
      <c r="A1168" s="406"/>
      <c r="B1168" s="401"/>
      <c r="C1168" s="401"/>
      <c r="D1168" s="401"/>
      <c r="E1168" s="401"/>
      <c r="F1168" s="401" t="s">
        <v>189</v>
      </c>
      <c r="G1168" s="417">
        <f t="shared" si="11"/>
        <v>0</v>
      </c>
    </row>
    <row r="1169" spans="1:9" ht="12.75" customHeight="1">
      <c r="A1169" s="406" t="s">
        <v>202</v>
      </c>
      <c r="B1169" s="401"/>
      <c r="C1169" s="401"/>
      <c r="D1169" s="401"/>
      <c r="E1169" s="401"/>
      <c r="F1169" s="401"/>
      <c r="G1169" s="417"/>
    </row>
    <row r="1170" spans="1:9" ht="12.75" customHeight="1">
      <c r="A1170" s="408" t="s">
        <v>203</v>
      </c>
      <c r="B1170" s="169" t="s">
        <v>204</v>
      </c>
      <c r="C1170" s="169" t="s">
        <v>205</v>
      </c>
      <c r="D1170" s="169" t="s">
        <v>206</v>
      </c>
      <c r="E1170" s="169" t="s">
        <v>207</v>
      </c>
      <c r="F1170" s="169" t="s">
        <v>208</v>
      </c>
      <c r="G1170" s="417"/>
    </row>
    <row r="1171" spans="1:9" ht="12.75" customHeight="1">
      <c r="A1171" s="406" t="s">
        <v>188</v>
      </c>
      <c r="B1171" s="401">
        <f>+B164</f>
        <v>150000</v>
      </c>
      <c r="C1171" s="401">
        <f t="shared" si="13"/>
        <v>112500</v>
      </c>
      <c r="D1171" s="401">
        <f t="shared" si="3"/>
        <v>262500</v>
      </c>
      <c r="E1171" s="401">
        <v>0.8</v>
      </c>
      <c r="F1171" s="403">
        <f t="shared" si="4"/>
        <v>328125</v>
      </c>
      <c r="G1171" s="417"/>
    </row>
    <row r="1172" spans="1:9" ht="12.75" customHeight="1">
      <c r="A1172" s="406" t="s">
        <v>227</v>
      </c>
      <c r="B1172" s="401">
        <f>+B165*2</f>
        <v>200000</v>
      </c>
      <c r="C1172" s="403">
        <f t="shared" si="13"/>
        <v>150000</v>
      </c>
      <c r="D1172" s="403">
        <f t="shared" si="3"/>
        <v>350000</v>
      </c>
      <c r="E1172" s="432">
        <v>0.78547023932003279</v>
      </c>
      <c r="F1172" s="403">
        <f t="shared" si="4"/>
        <v>445592.94863034989</v>
      </c>
      <c r="G1172" s="417"/>
    </row>
    <row r="1173" spans="1:9" ht="12.75" customHeight="1">
      <c r="A1173" s="406"/>
      <c r="B1173" s="401"/>
      <c r="C1173" s="401"/>
      <c r="D1173" s="401"/>
      <c r="E1173" s="401"/>
      <c r="F1173" s="401"/>
      <c r="G1173" s="417"/>
    </row>
    <row r="1174" spans="1:9" ht="12.75" customHeight="1">
      <c r="A1174" s="406"/>
      <c r="B1174" s="401"/>
      <c r="C1174" s="401"/>
      <c r="D1174" s="401"/>
      <c r="E1174" s="401"/>
      <c r="F1174" s="401"/>
      <c r="G1174" s="417"/>
    </row>
    <row r="1175" spans="1:9" ht="12.75" customHeight="1">
      <c r="A1175" s="406"/>
      <c r="B1175" s="401"/>
      <c r="C1175" s="401"/>
      <c r="D1175" s="401"/>
      <c r="E1175" s="401"/>
      <c r="F1175" s="401"/>
      <c r="G1175" s="417"/>
    </row>
    <row r="1176" spans="1:9" ht="12.75" customHeight="1">
      <c r="A1176" s="406"/>
      <c r="B1176" s="401"/>
      <c r="C1176" s="401"/>
      <c r="D1176" s="401"/>
      <c r="E1176" s="401"/>
      <c r="F1176" s="401"/>
      <c r="G1176" s="417"/>
    </row>
    <row r="1177" spans="1:9" ht="12.75" customHeight="1">
      <c r="A1177" s="406"/>
      <c r="B1177" s="401"/>
      <c r="C1177" s="401"/>
      <c r="D1177" s="401"/>
      <c r="E1177" s="401"/>
      <c r="F1177" s="401" t="s">
        <v>189</v>
      </c>
      <c r="G1177" s="417">
        <f t="shared" si="5"/>
        <v>773717.94863034994</v>
      </c>
    </row>
    <row r="1178" spans="1:9" ht="12.75" customHeight="1">
      <c r="A1178" s="406"/>
      <c r="B1178" s="401"/>
      <c r="C1178" s="401"/>
      <c r="D1178" s="401"/>
      <c r="E1178" s="401"/>
      <c r="F1178" s="401"/>
      <c r="G1178" s="417"/>
    </row>
    <row r="1179" spans="1:9" ht="12.75" customHeight="1">
      <c r="A1179" s="406" t="s">
        <v>209</v>
      </c>
      <c r="B1179" s="401"/>
      <c r="C1179" s="401" t="s">
        <v>210</v>
      </c>
      <c r="D1179" s="471" t="s">
        <v>211</v>
      </c>
      <c r="E1179" s="472"/>
      <c r="F1179" s="472"/>
      <c r="G1179" s="417">
        <f t="shared" si="6"/>
        <v>1064903.8460618674</v>
      </c>
      <c r="I1179">
        <v>1384375</v>
      </c>
    </row>
    <row r="1180" spans="1:9" ht="12.75" customHeight="1">
      <c r="A1180" s="406"/>
      <c r="B1180" s="401"/>
      <c r="C1180" s="401"/>
      <c r="D1180" s="401"/>
      <c r="E1180" s="401"/>
      <c r="F1180" s="401"/>
      <c r="G1180" s="417"/>
    </row>
    <row r="1181" spans="1:9" ht="12.75" customHeight="1">
      <c r="A1181" s="406"/>
      <c r="B1181" s="401"/>
      <c r="C1181" s="401"/>
      <c r="D1181" s="401"/>
      <c r="E1181" s="401" t="s">
        <v>212</v>
      </c>
      <c r="F1181" s="401"/>
      <c r="G1181" s="417">
        <f t="shared" si="7"/>
        <v>319471.15381856024</v>
      </c>
    </row>
    <row r="1182" spans="1:9" ht="12.75" customHeight="1">
      <c r="A1182" s="406"/>
      <c r="B1182" s="401"/>
      <c r="C1182" s="401"/>
      <c r="D1182" s="401"/>
      <c r="E1182" s="401"/>
      <c r="F1182" s="401"/>
      <c r="G1182" s="417"/>
    </row>
    <row r="1183" spans="1:9" ht="12.75" customHeight="1" thickBot="1">
      <c r="A1183" s="411" t="s">
        <v>213</v>
      </c>
      <c r="B1183" s="412"/>
      <c r="C1183" s="412"/>
      <c r="D1183" s="469" t="s">
        <v>214</v>
      </c>
      <c r="E1183" s="470"/>
      <c r="F1183" s="470"/>
      <c r="G1183" s="418">
        <f t="shared" si="8"/>
        <v>1384374.9998804277</v>
      </c>
    </row>
    <row r="1184" spans="1:9" ht="15" customHeight="1">
      <c r="A1184" s="468" t="s">
        <v>174</v>
      </c>
      <c r="B1184" s="457"/>
      <c r="C1184" s="457"/>
      <c r="D1184" s="457"/>
      <c r="E1184" s="457"/>
      <c r="F1184" s="457"/>
      <c r="G1184" s="457"/>
    </row>
    <row r="1185" spans="1:7" ht="12.75" customHeight="1" thickBot="1"/>
    <row r="1186" spans="1:7" ht="12.75" customHeight="1">
      <c r="A1186" s="404" t="s">
        <v>175</v>
      </c>
      <c r="B1186" s="405"/>
      <c r="C1186" s="405"/>
      <c r="D1186" s="428"/>
      <c r="E1186" s="428"/>
      <c r="F1186" s="428"/>
      <c r="G1186" s="429"/>
    </row>
    <row r="1187" spans="1:7" ht="12.75" customHeight="1">
      <c r="A1187" s="406" t="str">
        <f>+A4</f>
        <v xml:space="preserve">OBRA N° Conducción - Red de Distribución  </v>
      </c>
      <c r="B1187" s="401"/>
      <c r="C1187" s="401"/>
      <c r="D1187" s="401"/>
      <c r="E1187" s="195"/>
      <c r="F1187" s="402" t="s">
        <v>177</v>
      </c>
      <c r="G1187" s="430">
        <f t="shared" ca="1" si="0"/>
        <v>46289</v>
      </c>
    </row>
    <row r="1188" spans="1:7" ht="12.75" customHeight="1">
      <c r="A1188" s="433"/>
      <c r="B1188" s="426"/>
      <c r="C1188" s="426"/>
      <c r="D1188" s="426"/>
      <c r="E1188" s="426"/>
      <c r="F1188" s="426"/>
      <c r="G1188" s="431"/>
    </row>
    <row r="1189" spans="1:7" ht="12.75" customHeight="1">
      <c r="A1189" s="406" t="s">
        <v>578</v>
      </c>
      <c r="B1189" s="401" t="s">
        <v>579</v>
      </c>
      <c r="C1189" s="401"/>
      <c r="D1189" s="401"/>
      <c r="E1189" s="401"/>
      <c r="F1189" s="401"/>
      <c r="G1189" s="417"/>
    </row>
    <row r="1190" spans="1:7" ht="12.75" customHeight="1">
      <c r="A1190" s="406" t="s">
        <v>576</v>
      </c>
      <c r="B1190" s="401"/>
      <c r="C1190" s="401" t="s">
        <v>179</v>
      </c>
      <c r="D1190" s="169">
        <v>5</v>
      </c>
      <c r="E1190" s="401" t="s">
        <v>180</v>
      </c>
      <c r="F1190" s="401" t="s">
        <v>262</v>
      </c>
      <c r="G1190" s="417"/>
    </row>
    <row r="1191" spans="1:7" ht="12.75" customHeight="1">
      <c r="A1191" s="406" t="s">
        <v>182</v>
      </c>
      <c r="B1191" s="401"/>
      <c r="C1191" s="401"/>
      <c r="D1191" s="401"/>
      <c r="E1191" s="401"/>
      <c r="F1191" s="401"/>
      <c r="G1191" s="417"/>
    </row>
    <row r="1192" spans="1:7" ht="12.75" customHeight="1">
      <c r="A1192" s="408" t="s">
        <v>111</v>
      </c>
      <c r="B1192" s="169" t="s">
        <v>183</v>
      </c>
      <c r="C1192" s="169" t="s">
        <v>184</v>
      </c>
      <c r="D1192" s="169" t="s">
        <v>185</v>
      </c>
      <c r="E1192" s="169" t="s">
        <v>186</v>
      </c>
      <c r="F1192" s="401"/>
      <c r="G1192" s="417"/>
    </row>
    <row r="1193" spans="1:7" ht="12.75" customHeight="1">
      <c r="A1193" s="406" t="s">
        <v>187</v>
      </c>
      <c r="B1193" s="401"/>
      <c r="C1193" s="401"/>
      <c r="D1193" s="401"/>
      <c r="E1193" s="403">
        <f t="shared" si="1"/>
        <v>37448.656593649874</v>
      </c>
      <c r="F1193" s="401"/>
      <c r="G1193" s="417"/>
    </row>
    <row r="1194" spans="1:7" ht="12.75" customHeight="1">
      <c r="A1194" s="406"/>
      <c r="B1194" s="401"/>
      <c r="C1194" s="401"/>
      <c r="D1194" s="401"/>
      <c r="E1194" s="401"/>
      <c r="F1194" s="401"/>
      <c r="G1194" s="417"/>
    </row>
    <row r="1195" spans="1:7" ht="12.75" customHeight="1">
      <c r="A1195" s="406"/>
      <c r="B1195" s="401"/>
      <c r="C1195" s="401"/>
      <c r="D1195" s="401"/>
      <c r="E1195" s="401"/>
      <c r="F1195" s="401"/>
      <c r="G1195" s="417"/>
    </row>
    <row r="1196" spans="1:7" ht="12.75" customHeight="1">
      <c r="A1196" s="406"/>
      <c r="B1196" s="401"/>
      <c r="C1196" s="401"/>
      <c r="D1196" s="401"/>
      <c r="E1196" s="401"/>
      <c r="F1196" s="401" t="s">
        <v>189</v>
      </c>
      <c r="G1196" s="417">
        <f t="shared" si="2"/>
        <v>37448.656593649874</v>
      </c>
    </row>
    <row r="1197" spans="1:7" ht="12.75" customHeight="1">
      <c r="A1197" s="406" t="s">
        <v>191</v>
      </c>
      <c r="B1197" s="401"/>
      <c r="C1197" s="401"/>
      <c r="D1197" s="401"/>
      <c r="E1197" s="401"/>
      <c r="F1197" s="401"/>
      <c r="G1197" s="417"/>
    </row>
    <row r="1198" spans="1:7" ht="12.75" customHeight="1">
      <c r="A1198" s="408" t="s">
        <v>111</v>
      </c>
      <c r="B1198" s="169" t="s">
        <v>193</v>
      </c>
      <c r="C1198" s="169" t="s">
        <v>194</v>
      </c>
      <c r="D1198" s="169" t="s">
        <v>195</v>
      </c>
      <c r="E1198" s="169" t="s">
        <v>186</v>
      </c>
      <c r="F1198" s="401"/>
      <c r="G1198" s="417"/>
    </row>
    <row r="1199" spans="1:7" ht="12.75" customHeight="1">
      <c r="A1199" s="406" t="s">
        <v>448</v>
      </c>
      <c r="B1199" s="169" t="s">
        <v>193</v>
      </c>
      <c r="C1199" s="403">
        <v>6100</v>
      </c>
      <c r="D1199" s="403">
        <v>50</v>
      </c>
      <c r="E1199" s="403">
        <f t="shared" si="15"/>
        <v>305000</v>
      </c>
      <c r="F1199" s="401"/>
      <c r="G1199" s="417"/>
    </row>
    <row r="1200" spans="1:7" ht="12.75" customHeight="1">
      <c r="A1200" s="406" t="s">
        <v>573</v>
      </c>
      <c r="B1200" s="169" t="s">
        <v>193</v>
      </c>
      <c r="C1200" s="401">
        <v>195000</v>
      </c>
      <c r="D1200" s="401">
        <v>1</v>
      </c>
      <c r="E1200" s="401">
        <f t="shared" si="15"/>
        <v>195000</v>
      </c>
      <c r="F1200" s="401"/>
      <c r="G1200" s="417"/>
    </row>
    <row r="1201" spans="1:7" ht="12.75" customHeight="1">
      <c r="A1201" s="406" t="s">
        <v>577</v>
      </c>
      <c r="B1201" s="169" t="s">
        <v>256</v>
      </c>
      <c r="C1201" s="401">
        <v>60000</v>
      </c>
      <c r="D1201" s="401">
        <v>1</v>
      </c>
      <c r="E1201" s="401">
        <f t="shared" si="15"/>
        <v>60000</v>
      </c>
      <c r="F1201" s="401"/>
      <c r="G1201" s="417"/>
    </row>
    <row r="1202" spans="1:7" ht="12.75" customHeight="1">
      <c r="A1202" s="406" t="s">
        <v>449</v>
      </c>
      <c r="B1202" s="169" t="s">
        <v>256</v>
      </c>
      <c r="C1202" s="401">
        <v>180825</v>
      </c>
      <c r="D1202" s="401">
        <v>0.33</v>
      </c>
      <c r="E1202" s="403">
        <f t="shared" si="15"/>
        <v>59672.25</v>
      </c>
      <c r="F1202" s="401"/>
      <c r="G1202" s="417"/>
    </row>
    <row r="1203" spans="1:7" ht="12.75" customHeight="1">
      <c r="A1203" s="406" t="s">
        <v>580</v>
      </c>
      <c r="B1203" s="169" t="s">
        <v>256</v>
      </c>
      <c r="C1203" s="401">
        <f>+Bocatoma!C238</f>
        <v>85000</v>
      </c>
      <c r="D1203" s="401">
        <v>1</v>
      </c>
      <c r="E1203" s="403">
        <f t="shared" si="15"/>
        <v>85000</v>
      </c>
      <c r="F1203" s="401"/>
      <c r="G1203" s="417"/>
    </row>
    <row r="1204" spans="1:7" ht="12.75" customHeight="1">
      <c r="A1204" s="406"/>
      <c r="B1204" s="401"/>
      <c r="C1204" s="401"/>
      <c r="D1204" s="401"/>
      <c r="E1204" s="401"/>
      <c r="F1204" s="401"/>
      <c r="G1204" s="417"/>
    </row>
    <row r="1205" spans="1:7" ht="12.75" customHeight="1">
      <c r="A1205" s="406"/>
      <c r="B1205" s="401"/>
      <c r="C1205" s="401"/>
      <c r="D1205" s="401"/>
      <c r="E1205" s="401"/>
      <c r="F1205" s="401" t="s">
        <v>189</v>
      </c>
      <c r="G1205" s="417">
        <f t="shared" si="10"/>
        <v>704672.25</v>
      </c>
    </row>
    <row r="1206" spans="1:7" ht="12.75" customHeight="1">
      <c r="A1206" s="406" t="s">
        <v>197</v>
      </c>
      <c r="B1206" s="401"/>
      <c r="C1206" s="401"/>
      <c r="D1206" s="401"/>
      <c r="E1206" s="401"/>
      <c r="F1206" s="401"/>
      <c r="G1206" s="417"/>
    </row>
    <row r="1207" spans="1:7" ht="12.75" customHeight="1">
      <c r="A1207" s="408" t="s">
        <v>198</v>
      </c>
      <c r="B1207" s="169" t="s">
        <v>199</v>
      </c>
      <c r="C1207" s="169" t="s">
        <v>200</v>
      </c>
      <c r="D1207" s="169" t="s">
        <v>201</v>
      </c>
      <c r="E1207" s="169" t="s">
        <v>186</v>
      </c>
      <c r="F1207" s="401"/>
      <c r="G1207" s="417"/>
    </row>
    <row r="1208" spans="1:7" ht="12.75" customHeight="1">
      <c r="A1208" s="406" t="s">
        <v>243</v>
      </c>
      <c r="B1208" s="401"/>
      <c r="C1208" s="401"/>
      <c r="D1208" s="401"/>
      <c r="E1208" s="401"/>
      <c r="F1208" s="401"/>
      <c r="G1208" s="417"/>
    </row>
    <row r="1209" spans="1:7" ht="12.75" customHeight="1">
      <c r="A1209" s="406"/>
      <c r="B1209" s="401"/>
      <c r="C1209" s="401"/>
      <c r="D1209" s="401"/>
      <c r="E1209" s="401"/>
      <c r="F1209" s="401"/>
      <c r="G1209" s="417"/>
    </row>
    <row r="1210" spans="1:7" ht="12.75" customHeight="1">
      <c r="A1210" s="406"/>
      <c r="B1210" s="401"/>
      <c r="C1210" s="401"/>
      <c r="D1210" s="401"/>
      <c r="E1210" s="401"/>
      <c r="F1210" s="401"/>
      <c r="G1210" s="417"/>
    </row>
    <row r="1211" spans="1:7" ht="12.75" customHeight="1">
      <c r="A1211" s="406"/>
      <c r="B1211" s="401"/>
      <c r="C1211" s="401"/>
      <c r="D1211" s="401"/>
      <c r="E1211" s="401"/>
      <c r="F1211" s="401"/>
      <c r="G1211" s="417"/>
    </row>
    <row r="1212" spans="1:7" ht="12.75" customHeight="1">
      <c r="A1212" s="406"/>
      <c r="B1212" s="401"/>
      <c r="C1212" s="401"/>
      <c r="D1212" s="401"/>
      <c r="E1212" s="401"/>
      <c r="F1212" s="401" t="s">
        <v>189</v>
      </c>
      <c r="G1212" s="417">
        <f t="shared" si="11"/>
        <v>0</v>
      </c>
    </row>
    <row r="1213" spans="1:7" ht="12.75" customHeight="1">
      <c r="A1213" s="406" t="s">
        <v>202</v>
      </c>
      <c r="B1213" s="401"/>
      <c r="C1213" s="401"/>
      <c r="D1213" s="401"/>
      <c r="E1213" s="401"/>
      <c r="F1213" s="401"/>
      <c r="G1213" s="417"/>
    </row>
    <row r="1214" spans="1:7" ht="12.75" customHeight="1">
      <c r="A1214" s="408" t="s">
        <v>203</v>
      </c>
      <c r="B1214" s="169" t="s">
        <v>204</v>
      </c>
      <c r="C1214" s="169" t="s">
        <v>205</v>
      </c>
      <c r="D1214" s="169" t="s">
        <v>206</v>
      </c>
      <c r="E1214" s="169" t="s">
        <v>207</v>
      </c>
      <c r="F1214" s="169" t="s">
        <v>208</v>
      </c>
      <c r="G1214" s="417"/>
    </row>
    <row r="1215" spans="1:7" ht="12.75" customHeight="1">
      <c r="A1215" s="406" t="s">
        <v>188</v>
      </c>
      <c r="B1215" s="401">
        <f>+B164</f>
        <v>150000</v>
      </c>
      <c r="C1215" s="401">
        <f t="shared" si="13"/>
        <v>112500</v>
      </c>
      <c r="D1215" s="401">
        <f t="shared" si="3"/>
        <v>262500</v>
      </c>
      <c r="E1215" s="432">
        <v>0.8427693214547759</v>
      </c>
      <c r="F1215" s="403">
        <f t="shared" si="4"/>
        <v>311473.13187299744</v>
      </c>
      <c r="G1215" s="417"/>
    </row>
    <row r="1216" spans="1:7" ht="12.75" customHeight="1">
      <c r="A1216" s="406" t="s">
        <v>227</v>
      </c>
      <c r="B1216" s="401">
        <f>+B165*2</f>
        <v>200000</v>
      </c>
      <c r="C1216" s="403">
        <f t="shared" si="13"/>
        <v>150000</v>
      </c>
      <c r="D1216" s="403">
        <f t="shared" si="3"/>
        <v>350000</v>
      </c>
      <c r="E1216" s="401">
        <v>0.8</v>
      </c>
      <c r="F1216" s="403">
        <f t="shared" si="4"/>
        <v>437500</v>
      </c>
      <c r="G1216" s="417"/>
    </row>
    <row r="1217" spans="1:9" ht="12.75" customHeight="1">
      <c r="A1217" s="406"/>
      <c r="B1217" s="401"/>
      <c r="C1217" s="401"/>
      <c r="D1217" s="401"/>
      <c r="E1217" s="401"/>
      <c r="F1217" s="401"/>
      <c r="G1217" s="417"/>
    </row>
    <row r="1218" spans="1:9" ht="12.75" customHeight="1">
      <c r="A1218" s="406"/>
      <c r="B1218" s="401"/>
      <c r="C1218" s="401"/>
      <c r="D1218" s="401"/>
      <c r="E1218" s="401"/>
      <c r="F1218" s="401"/>
      <c r="G1218" s="417"/>
    </row>
    <row r="1219" spans="1:9" ht="12.75" customHeight="1">
      <c r="A1219" s="406"/>
      <c r="B1219" s="401"/>
      <c r="C1219" s="401"/>
      <c r="D1219" s="401"/>
      <c r="E1219" s="401"/>
      <c r="F1219" s="401"/>
      <c r="G1219" s="417"/>
    </row>
    <row r="1220" spans="1:9" ht="12.75" customHeight="1">
      <c r="A1220" s="406"/>
      <c r="B1220" s="401"/>
      <c r="C1220" s="401"/>
      <c r="D1220" s="401"/>
      <c r="E1220" s="401"/>
      <c r="F1220" s="401"/>
      <c r="G1220" s="417"/>
    </row>
    <row r="1221" spans="1:9" ht="12.75" customHeight="1">
      <c r="A1221" s="406"/>
      <c r="B1221" s="401"/>
      <c r="C1221" s="401"/>
      <c r="D1221" s="401"/>
      <c r="E1221" s="401"/>
      <c r="F1221" s="401" t="s">
        <v>189</v>
      </c>
      <c r="G1221" s="417">
        <f t="shared" si="5"/>
        <v>748973.13187299739</v>
      </c>
    </row>
    <row r="1222" spans="1:9" ht="12.75" customHeight="1">
      <c r="A1222" s="406"/>
      <c r="B1222" s="401"/>
      <c r="C1222" s="401"/>
      <c r="D1222" s="401"/>
      <c r="E1222" s="401"/>
      <c r="F1222" s="401"/>
      <c r="G1222" s="417"/>
    </row>
    <row r="1223" spans="1:9" ht="12.75" customHeight="1">
      <c r="A1223" s="406" t="s">
        <v>209</v>
      </c>
      <c r="B1223" s="401"/>
      <c r="C1223" s="401" t="s">
        <v>210</v>
      </c>
      <c r="D1223" s="471" t="s">
        <v>211</v>
      </c>
      <c r="E1223" s="472"/>
      <c r="F1223" s="472"/>
      <c r="G1223" s="417">
        <f t="shared" si="6"/>
        <v>1491094.0384666473</v>
      </c>
      <c r="I1223">
        <v>1938422.25</v>
      </c>
    </row>
    <row r="1224" spans="1:9" ht="12.75" customHeight="1">
      <c r="A1224" s="406"/>
      <c r="B1224" s="401"/>
      <c r="C1224" s="401"/>
      <c r="D1224" s="401"/>
      <c r="E1224" s="401"/>
      <c r="F1224" s="401"/>
      <c r="G1224" s="417"/>
    </row>
    <row r="1225" spans="1:9" ht="12.75" customHeight="1">
      <c r="A1225" s="406"/>
      <c r="B1225" s="401"/>
      <c r="C1225" s="401"/>
      <c r="D1225" s="401"/>
      <c r="E1225" s="401" t="s">
        <v>212</v>
      </c>
      <c r="F1225" s="401"/>
      <c r="G1225" s="417">
        <f t="shared" si="7"/>
        <v>447328.21153999417</v>
      </c>
    </row>
    <row r="1226" spans="1:9" ht="12.75" customHeight="1">
      <c r="A1226" s="406"/>
      <c r="B1226" s="401"/>
      <c r="C1226" s="401"/>
      <c r="D1226" s="401"/>
      <c r="E1226" s="401"/>
      <c r="F1226" s="401"/>
      <c r="G1226" s="417"/>
    </row>
    <row r="1227" spans="1:9" ht="12.75" customHeight="1" thickBot="1">
      <c r="A1227" s="411" t="s">
        <v>213</v>
      </c>
      <c r="B1227" s="412"/>
      <c r="C1227" s="412"/>
      <c r="D1227" s="469" t="s">
        <v>214</v>
      </c>
      <c r="E1227" s="470"/>
      <c r="F1227" s="470"/>
      <c r="G1227" s="418">
        <f t="shared" si="8"/>
        <v>1938422.2500066415</v>
      </c>
    </row>
    <row r="1228" spans="1:9" ht="15" customHeight="1">
      <c r="A1228" s="468" t="s">
        <v>174</v>
      </c>
      <c r="B1228" s="457"/>
      <c r="C1228" s="457"/>
      <c r="D1228" s="457"/>
      <c r="E1228" s="457"/>
      <c r="F1228" s="457"/>
      <c r="G1228" s="457"/>
    </row>
    <row r="1229" spans="1:9" ht="12.75" customHeight="1" thickBot="1"/>
    <row r="1230" spans="1:9" ht="12.75" customHeight="1">
      <c r="A1230" s="404" t="s">
        <v>175</v>
      </c>
      <c r="B1230" s="405"/>
      <c r="C1230" s="405"/>
      <c r="D1230" s="428"/>
      <c r="E1230" s="428"/>
      <c r="F1230" s="428"/>
      <c r="G1230" s="429"/>
    </row>
    <row r="1231" spans="1:9" ht="12.75" customHeight="1">
      <c r="A1231" s="406" t="str">
        <f>+A4</f>
        <v xml:space="preserve">OBRA N° Conducción - Red de Distribución  </v>
      </c>
      <c r="B1231" s="401"/>
      <c r="C1231" s="401"/>
      <c r="D1231" s="401"/>
      <c r="E1231" s="195"/>
      <c r="F1231" s="402" t="s">
        <v>177</v>
      </c>
      <c r="G1231" s="430">
        <f t="shared" ca="1" si="0"/>
        <v>46289</v>
      </c>
    </row>
    <row r="1232" spans="1:9" ht="12.75" customHeight="1">
      <c r="A1232" s="433"/>
      <c r="B1232" s="426"/>
      <c r="C1232" s="426"/>
      <c r="D1232" s="426"/>
      <c r="E1232" s="426"/>
      <c r="F1232" s="426"/>
      <c r="G1232" s="431"/>
    </row>
    <row r="1233" spans="1:7" ht="13.5" customHeight="1">
      <c r="A1233" s="406" t="s">
        <v>581</v>
      </c>
      <c r="B1233" s="401" t="s">
        <v>582</v>
      </c>
      <c r="C1233" s="401"/>
      <c r="D1233" s="401"/>
      <c r="E1233" s="401"/>
      <c r="F1233" s="401"/>
      <c r="G1233" s="417"/>
    </row>
    <row r="1234" spans="1:7" ht="12.75" customHeight="1">
      <c r="A1234" s="406" t="s">
        <v>576</v>
      </c>
      <c r="B1234" s="401"/>
      <c r="C1234" s="401" t="s">
        <v>179</v>
      </c>
      <c r="D1234" s="169">
        <v>5</v>
      </c>
      <c r="E1234" s="401" t="s">
        <v>180</v>
      </c>
      <c r="F1234" s="401" t="s">
        <v>262</v>
      </c>
      <c r="G1234" s="417"/>
    </row>
    <row r="1235" spans="1:7" ht="12.75" customHeight="1">
      <c r="A1235" s="406" t="s">
        <v>182</v>
      </c>
      <c r="B1235" s="401"/>
      <c r="C1235" s="401"/>
      <c r="D1235" s="401"/>
      <c r="E1235" s="401"/>
      <c r="F1235" s="401"/>
      <c r="G1235" s="417"/>
    </row>
    <row r="1236" spans="1:7" ht="12.75" customHeight="1">
      <c r="A1236" s="408" t="s">
        <v>111</v>
      </c>
      <c r="B1236" s="169" t="s">
        <v>183</v>
      </c>
      <c r="C1236" s="169" t="s">
        <v>184</v>
      </c>
      <c r="D1236" s="169" t="s">
        <v>185</v>
      </c>
      <c r="E1236" s="169" t="s">
        <v>186</v>
      </c>
      <c r="F1236" s="401"/>
      <c r="G1236" s="417"/>
    </row>
    <row r="1237" spans="1:7" ht="12.75" customHeight="1">
      <c r="A1237" s="406" t="s">
        <v>187</v>
      </c>
      <c r="B1237" s="401"/>
      <c r="C1237" s="401"/>
      <c r="D1237" s="401"/>
      <c r="E1237" s="403">
        <f t="shared" si="1"/>
        <v>35668.681318834031</v>
      </c>
      <c r="F1237" s="401"/>
      <c r="G1237" s="417"/>
    </row>
    <row r="1238" spans="1:7" ht="12.75" customHeight="1">
      <c r="A1238" s="406"/>
      <c r="B1238" s="401"/>
      <c r="C1238" s="401"/>
      <c r="D1238" s="401"/>
      <c r="E1238" s="401"/>
      <c r="F1238" s="401"/>
      <c r="G1238" s="417"/>
    </row>
    <row r="1239" spans="1:7" ht="12.75" customHeight="1">
      <c r="A1239" s="406"/>
      <c r="B1239" s="401"/>
      <c r="C1239" s="401"/>
      <c r="D1239" s="401"/>
      <c r="E1239" s="401"/>
      <c r="F1239" s="401"/>
      <c r="G1239" s="417"/>
    </row>
    <row r="1240" spans="1:7" ht="12.75" customHeight="1">
      <c r="A1240" s="406"/>
      <c r="B1240" s="401"/>
      <c r="C1240" s="401"/>
      <c r="D1240" s="401"/>
      <c r="E1240" s="401"/>
      <c r="F1240" s="401" t="s">
        <v>189</v>
      </c>
      <c r="G1240" s="417">
        <f t="shared" si="2"/>
        <v>35668.681318834031</v>
      </c>
    </row>
    <row r="1241" spans="1:7" ht="12.75" customHeight="1">
      <c r="A1241" s="406" t="s">
        <v>191</v>
      </c>
      <c r="B1241" s="401"/>
      <c r="C1241" s="401"/>
      <c r="D1241" s="401"/>
      <c r="E1241" s="401"/>
      <c r="F1241" s="401"/>
      <c r="G1241" s="417"/>
    </row>
    <row r="1242" spans="1:7" ht="12.75" customHeight="1">
      <c r="A1242" s="408" t="s">
        <v>111</v>
      </c>
      <c r="B1242" s="169" t="s">
        <v>193</v>
      </c>
      <c r="C1242" s="169" t="s">
        <v>194</v>
      </c>
      <c r="D1242" s="169" t="s">
        <v>195</v>
      </c>
      <c r="E1242" s="169" t="s">
        <v>186</v>
      </c>
      <c r="F1242" s="401"/>
      <c r="G1242" s="417"/>
    </row>
    <row r="1243" spans="1:7" ht="12.75" customHeight="1">
      <c r="A1243" s="406" t="s">
        <v>448</v>
      </c>
      <c r="B1243" s="169" t="s">
        <v>193</v>
      </c>
      <c r="C1243" s="403">
        <v>1600</v>
      </c>
      <c r="D1243" s="403">
        <v>50</v>
      </c>
      <c r="E1243" s="403">
        <f t="shared" si="15"/>
        <v>80000</v>
      </c>
      <c r="F1243" s="401"/>
      <c r="G1243" s="417"/>
    </row>
    <row r="1244" spans="1:7" ht="12.75" customHeight="1">
      <c r="A1244" s="406" t="s">
        <v>573</v>
      </c>
      <c r="B1244" s="169" t="s">
        <v>193</v>
      </c>
      <c r="C1244" s="401">
        <v>435000</v>
      </c>
      <c r="D1244" s="401">
        <v>1</v>
      </c>
      <c r="E1244" s="401">
        <f t="shared" si="15"/>
        <v>435000</v>
      </c>
      <c r="F1244" s="401"/>
      <c r="G1244" s="417"/>
    </row>
    <row r="1245" spans="1:7" ht="12.75" customHeight="1">
      <c r="A1245" s="406" t="s">
        <v>577</v>
      </c>
      <c r="B1245" s="169" t="s">
        <v>256</v>
      </c>
      <c r="C1245" s="401">
        <v>135000</v>
      </c>
      <c r="D1245" s="401">
        <v>1</v>
      </c>
      <c r="E1245" s="401">
        <f t="shared" si="15"/>
        <v>135000</v>
      </c>
      <c r="F1245" s="401"/>
      <c r="G1245" s="417"/>
    </row>
    <row r="1246" spans="1:7" ht="12.75" customHeight="1">
      <c r="A1246" s="406" t="s">
        <v>449</v>
      </c>
      <c r="B1246" s="169" t="s">
        <v>256</v>
      </c>
      <c r="C1246" s="401">
        <v>505000</v>
      </c>
      <c r="D1246" s="401">
        <v>0.33</v>
      </c>
      <c r="E1246" s="403">
        <f t="shared" si="15"/>
        <v>166650</v>
      </c>
      <c r="F1246" s="401"/>
      <c r="G1246" s="417"/>
    </row>
    <row r="1247" spans="1:7" ht="12.75" customHeight="1">
      <c r="A1247" s="406" t="s">
        <v>580</v>
      </c>
      <c r="B1247" s="169" t="s">
        <v>256</v>
      </c>
      <c r="C1247" s="401">
        <v>50000</v>
      </c>
      <c r="D1247" s="401">
        <v>1</v>
      </c>
      <c r="E1247" s="403">
        <f t="shared" si="15"/>
        <v>50000</v>
      </c>
      <c r="F1247" s="401"/>
      <c r="G1247" s="417"/>
    </row>
    <row r="1248" spans="1:7" ht="12.75" customHeight="1">
      <c r="A1248" s="406"/>
      <c r="B1248" s="401"/>
      <c r="C1248" s="401"/>
      <c r="D1248" s="401"/>
      <c r="E1248" s="401"/>
      <c r="F1248" s="401"/>
      <c r="G1248" s="417"/>
    </row>
    <row r="1249" spans="1:7" ht="12.75" customHeight="1">
      <c r="A1249" s="406"/>
      <c r="B1249" s="401"/>
      <c r="C1249" s="401"/>
      <c r="D1249" s="401"/>
      <c r="E1249" s="401"/>
      <c r="F1249" s="401" t="s">
        <v>189</v>
      </c>
      <c r="G1249" s="417">
        <f t="shared" si="10"/>
        <v>866650</v>
      </c>
    </row>
    <row r="1250" spans="1:7" ht="12.75" customHeight="1">
      <c r="A1250" s="406" t="s">
        <v>197</v>
      </c>
      <c r="B1250" s="401"/>
      <c r="C1250" s="401"/>
      <c r="D1250" s="401"/>
      <c r="E1250" s="401"/>
      <c r="F1250" s="401"/>
      <c r="G1250" s="417"/>
    </row>
    <row r="1251" spans="1:7" ht="12.75" customHeight="1">
      <c r="A1251" s="408" t="s">
        <v>198</v>
      </c>
      <c r="B1251" s="169" t="s">
        <v>199</v>
      </c>
      <c r="C1251" s="169" t="s">
        <v>200</v>
      </c>
      <c r="D1251" s="169" t="s">
        <v>201</v>
      </c>
      <c r="E1251" s="169" t="s">
        <v>186</v>
      </c>
      <c r="F1251" s="401"/>
      <c r="G1251" s="417"/>
    </row>
    <row r="1252" spans="1:7" ht="12.75" customHeight="1">
      <c r="A1252" s="406" t="s">
        <v>243</v>
      </c>
      <c r="B1252" s="401"/>
      <c r="C1252" s="401"/>
      <c r="D1252" s="401"/>
      <c r="E1252" s="401"/>
      <c r="F1252" s="401"/>
      <c r="G1252" s="417"/>
    </row>
    <row r="1253" spans="1:7" ht="12.75" customHeight="1">
      <c r="A1253" s="406"/>
      <c r="B1253" s="401"/>
      <c r="C1253" s="401"/>
      <c r="D1253" s="401"/>
      <c r="E1253" s="401"/>
      <c r="F1253" s="401"/>
      <c r="G1253" s="417"/>
    </row>
    <row r="1254" spans="1:7" ht="12.75" customHeight="1">
      <c r="A1254" s="406"/>
      <c r="B1254" s="401"/>
      <c r="C1254" s="401"/>
      <c r="D1254" s="401"/>
      <c r="E1254" s="401"/>
      <c r="F1254" s="401"/>
      <c r="G1254" s="417"/>
    </row>
    <row r="1255" spans="1:7" ht="12.75" customHeight="1">
      <c r="A1255" s="406"/>
      <c r="B1255" s="401"/>
      <c r="C1255" s="401"/>
      <c r="D1255" s="401"/>
      <c r="E1255" s="401"/>
      <c r="F1255" s="401"/>
      <c r="G1255" s="417"/>
    </row>
    <row r="1256" spans="1:7" ht="12.75" customHeight="1">
      <c r="A1256" s="406"/>
      <c r="B1256" s="401"/>
      <c r="C1256" s="401"/>
      <c r="D1256" s="401"/>
      <c r="E1256" s="401"/>
      <c r="F1256" s="401" t="s">
        <v>189</v>
      </c>
      <c r="G1256" s="417">
        <f t="shared" si="11"/>
        <v>0</v>
      </c>
    </row>
    <row r="1257" spans="1:7" ht="12.75" customHeight="1">
      <c r="A1257" s="406" t="s">
        <v>202</v>
      </c>
      <c r="B1257" s="401"/>
      <c r="C1257" s="401"/>
      <c r="D1257" s="401"/>
      <c r="E1257" s="401"/>
      <c r="F1257" s="401"/>
      <c r="G1257" s="417"/>
    </row>
    <row r="1258" spans="1:7" ht="12.75" customHeight="1">
      <c r="A1258" s="408" t="s">
        <v>203</v>
      </c>
      <c r="B1258" s="169" t="s">
        <v>204</v>
      </c>
      <c r="C1258" s="169" t="s">
        <v>205</v>
      </c>
      <c r="D1258" s="169" t="s">
        <v>206</v>
      </c>
      <c r="E1258" s="169" t="s">
        <v>207</v>
      </c>
      <c r="F1258" s="169" t="s">
        <v>208</v>
      </c>
      <c r="G1258" s="417"/>
    </row>
    <row r="1259" spans="1:7" ht="12.75" customHeight="1">
      <c r="A1259" s="406" t="s">
        <v>188</v>
      </c>
      <c r="B1259" s="401">
        <f>+B164</f>
        <v>150000</v>
      </c>
      <c r="C1259" s="401">
        <f t="shared" si="13"/>
        <v>112500</v>
      </c>
      <c r="D1259" s="401">
        <f t="shared" si="3"/>
        <v>262500</v>
      </c>
      <c r="E1259" s="401">
        <v>0.8</v>
      </c>
      <c r="F1259" s="403">
        <f t="shared" si="4"/>
        <v>328125</v>
      </c>
      <c r="G1259" s="417"/>
    </row>
    <row r="1260" spans="1:7" ht="12.75" customHeight="1">
      <c r="A1260" s="406" t="s">
        <v>227</v>
      </c>
      <c r="B1260" s="401">
        <f>+B165*2</f>
        <v>200000</v>
      </c>
      <c r="C1260" s="403">
        <f t="shared" si="13"/>
        <v>150000</v>
      </c>
      <c r="D1260" s="403">
        <f t="shared" si="3"/>
        <v>350000</v>
      </c>
      <c r="E1260" s="432">
        <v>0.9085042126997338</v>
      </c>
      <c r="F1260" s="403">
        <f t="shared" si="4"/>
        <v>385248.62637668051</v>
      </c>
      <c r="G1260" s="417"/>
    </row>
    <row r="1261" spans="1:7" ht="12.75" customHeight="1">
      <c r="A1261" s="406"/>
      <c r="B1261" s="401"/>
      <c r="C1261" s="401"/>
      <c r="D1261" s="401"/>
      <c r="E1261" s="401"/>
      <c r="F1261" s="401"/>
      <c r="G1261" s="417"/>
    </row>
    <row r="1262" spans="1:7" ht="12.75" customHeight="1">
      <c r="A1262" s="406"/>
      <c r="B1262" s="401"/>
      <c r="C1262" s="401"/>
      <c r="D1262" s="401"/>
      <c r="E1262" s="401"/>
      <c r="F1262" s="401"/>
      <c r="G1262" s="417"/>
    </row>
    <row r="1263" spans="1:7" ht="12.75" customHeight="1">
      <c r="A1263" s="406"/>
      <c r="B1263" s="401"/>
      <c r="C1263" s="401"/>
      <c r="D1263" s="401"/>
      <c r="E1263" s="401"/>
      <c r="F1263" s="401"/>
      <c r="G1263" s="417"/>
    </row>
    <row r="1264" spans="1:7" ht="12.75" customHeight="1">
      <c r="A1264" s="406"/>
      <c r="B1264" s="401"/>
      <c r="C1264" s="401"/>
      <c r="D1264" s="401"/>
      <c r="E1264" s="401"/>
      <c r="F1264" s="401"/>
      <c r="G1264" s="417"/>
    </row>
    <row r="1265" spans="1:9" ht="12.75" customHeight="1">
      <c r="A1265" s="406"/>
      <c r="B1265" s="401"/>
      <c r="C1265" s="401"/>
      <c r="D1265" s="401"/>
      <c r="E1265" s="401"/>
      <c r="F1265" s="401" t="s">
        <v>189</v>
      </c>
      <c r="G1265" s="417">
        <f t="shared" si="5"/>
        <v>713373.62637668056</v>
      </c>
    </row>
    <row r="1266" spans="1:9" ht="12.75" customHeight="1">
      <c r="A1266" s="406"/>
      <c r="B1266" s="401"/>
      <c r="C1266" s="401"/>
      <c r="D1266" s="401"/>
      <c r="E1266" s="401"/>
      <c r="F1266" s="401"/>
      <c r="G1266" s="417"/>
    </row>
    <row r="1267" spans="1:9" ht="12.75" customHeight="1">
      <c r="A1267" s="406" t="s">
        <v>209</v>
      </c>
      <c r="B1267" s="401"/>
      <c r="C1267" s="401" t="s">
        <v>210</v>
      </c>
      <c r="D1267" s="471" t="s">
        <v>211</v>
      </c>
      <c r="E1267" s="472"/>
      <c r="F1267" s="472"/>
      <c r="G1267" s="417">
        <f t="shared" si="6"/>
        <v>1615692.3076955145</v>
      </c>
      <c r="I1267">
        <v>2100400</v>
      </c>
    </row>
    <row r="1268" spans="1:9" ht="12.75" customHeight="1">
      <c r="A1268" s="406"/>
      <c r="B1268" s="401"/>
      <c r="C1268" s="401"/>
      <c r="D1268" s="401"/>
      <c r="E1268" s="401"/>
      <c r="F1268" s="401"/>
      <c r="G1268" s="417"/>
    </row>
    <row r="1269" spans="1:9" ht="12.75" customHeight="1">
      <c r="A1269" s="406"/>
      <c r="B1269" s="401"/>
      <c r="C1269" s="401"/>
      <c r="D1269" s="401"/>
      <c r="E1269" s="401" t="s">
        <v>212</v>
      </c>
      <c r="F1269" s="401"/>
      <c r="G1269" s="417">
        <f t="shared" si="7"/>
        <v>484707.69230865431</v>
      </c>
    </row>
    <row r="1270" spans="1:9" ht="12.75" customHeight="1">
      <c r="A1270" s="406"/>
      <c r="B1270" s="401"/>
      <c r="C1270" s="401"/>
      <c r="D1270" s="401"/>
      <c r="E1270" s="401"/>
      <c r="F1270" s="401"/>
      <c r="G1270" s="417"/>
    </row>
    <row r="1271" spans="1:9" ht="12.75" customHeight="1" thickBot="1">
      <c r="A1271" s="411" t="s">
        <v>213</v>
      </c>
      <c r="B1271" s="412"/>
      <c r="C1271" s="412"/>
      <c r="D1271" s="469" t="s">
        <v>214</v>
      </c>
      <c r="E1271" s="470"/>
      <c r="F1271" s="470"/>
      <c r="G1271" s="418">
        <f t="shared" si="8"/>
        <v>2100400.0000041686</v>
      </c>
    </row>
    <row r="1272" spans="1:9" ht="15" customHeight="1">
      <c r="A1272" s="468" t="s">
        <v>174</v>
      </c>
      <c r="B1272" s="457"/>
      <c r="C1272" s="457"/>
      <c r="D1272" s="457"/>
      <c r="E1272" s="457"/>
      <c r="F1272" s="457"/>
      <c r="G1272" s="457"/>
    </row>
    <row r="1273" spans="1:9" ht="12.75" customHeight="1" thickBot="1">
      <c r="A1273" s="77"/>
      <c r="B1273" s="77"/>
      <c r="C1273" s="77"/>
      <c r="D1273" s="77"/>
      <c r="E1273" s="77"/>
      <c r="F1273" s="77"/>
    </row>
    <row r="1274" spans="1:9" ht="12.75" customHeight="1">
      <c r="A1274" s="404" t="s">
        <v>175</v>
      </c>
      <c r="B1274" s="405"/>
      <c r="C1274" s="405"/>
      <c r="D1274" s="428"/>
      <c r="E1274" s="428"/>
      <c r="F1274" s="428"/>
      <c r="G1274" s="429"/>
    </row>
    <row r="1275" spans="1:9" ht="12.75" customHeight="1">
      <c r="A1275" s="406" t="str">
        <f>+A4</f>
        <v xml:space="preserve">OBRA N° Conducción - Red de Distribución  </v>
      </c>
      <c r="B1275" s="401"/>
      <c r="C1275" s="401"/>
      <c r="D1275" s="401"/>
      <c r="E1275" s="195"/>
      <c r="F1275" s="402" t="s">
        <v>177</v>
      </c>
      <c r="G1275" s="430">
        <f t="shared" ca="1" si="0"/>
        <v>46289</v>
      </c>
    </row>
    <row r="1276" spans="1:9" ht="12.75" customHeight="1">
      <c r="A1276" s="406"/>
      <c r="B1276" s="401"/>
      <c r="C1276" s="401"/>
      <c r="D1276" s="401"/>
      <c r="E1276" s="401"/>
      <c r="F1276" s="401"/>
      <c r="G1276" s="417"/>
    </row>
    <row r="1277" spans="1:9" ht="12.75" customHeight="1">
      <c r="A1277" s="406" t="s">
        <v>583</v>
      </c>
      <c r="B1277" s="401" t="s">
        <v>584</v>
      </c>
      <c r="C1277" s="401"/>
      <c r="D1277" s="401"/>
      <c r="E1277" s="401"/>
      <c r="F1277" s="401"/>
      <c r="G1277" s="417"/>
    </row>
    <row r="1278" spans="1:9" ht="12.75" customHeight="1">
      <c r="A1278" s="406"/>
      <c r="B1278" s="401"/>
      <c r="C1278" s="401" t="s">
        <v>179</v>
      </c>
      <c r="D1278" s="427">
        <v>4</v>
      </c>
      <c r="E1278" s="401" t="s">
        <v>180</v>
      </c>
      <c r="F1278" s="401" t="s">
        <v>226</v>
      </c>
      <c r="G1278" s="417"/>
    </row>
    <row r="1279" spans="1:9" ht="12.75" customHeight="1">
      <c r="A1279" s="406" t="s">
        <v>182</v>
      </c>
      <c r="B1279" s="401"/>
      <c r="C1279" s="401"/>
      <c r="D1279" s="401"/>
      <c r="E1279" s="401"/>
      <c r="F1279" s="401"/>
      <c r="G1279" s="417"/>
    </row>
    <row r="1280" spans="1:9" ht="12.75" customHeight="1">
      <c r="A1280" s="408" t="s">
        <v>111</v>
      </c>
      <c r="B1280" s="169" t="s">
        <v>183</v>
      </c>
      <c r="C1280" s="169" t="s">
        <v>184</v>
      </c>
      <c r="D1280" s="169" t="s">
        <v>185</v>
      </c>
      <c r="E1280" s="169" t="s">
        <v>186</v>
      </c>
      <c r="F1280" s="401"/>
      <c r="G1280" s="417"/>
    </row>
    <row r="1281" spans="1:7" ht="12.75" customHeight="1">
      <c r="A1281" s="406" t="s">
        <v>187</v>
      </c>
      <c r="B1281" s="401"/>
      <c r="C1281" s="401"/>
      <c r="D1281" s="401"/>
      <c r="E1281" s="403">
        <f t="shared" si="1"/>
        <v>18958.333333333336</v>
      </c>
      <c r="F1281" s="401"/>
      <c r="G1281" s="417"/>
    </row>
    <row r="1282" spans="1:7" ht="12.75" customHeight="1">
      <c r="A1282" s="406"/>
      <c r="B1282" s="401"/>
      <c r="C1282" s="401"/>
      <c r="D1282" s="401"/>
      <c r="E1282" s="403"/>
      <c r="F1282" s="401"/>
      <c r="G1282" s="417"/>
    </row>
    <row r="1283" spans="1:7" ht="12.75" customHeight="1">
      <c r="A1283" s="406"/>
      <c r="B1283" s="401"/>
      <c r="C1283" s="401"/>
      <c r="D1283" s="401"/>
      <c r="E1283" s="403"/>
      <c r="F1283" s="401"/>
      <c r="G1283" s="417"/>
    </row>
    <row r="1284" spans="1:7" ht="12.75" customHeight="1">
      <c r="A1284" s="406"/>
      <c r="B1284" s="401"/>
      <c r="C1284" s="401"/>
      <c r="D1284" s="401"/>
      <c r="E1284" s="401"/>
      <c r="F1284" s="401" t="s">
        <v>189</v>
      </c>
      <c r="G1284" s="417">
        <f t="shared" si="2"/>
        <v>18958.333333333336</v>
      </c>
    </row>
    <row r="1285" spans="1:7" ht="12.75" customHeight="1">
      <c r="A1285" s="406" t="s">
        <v>191</v>
      </c>
      <c r="B1285" s="401"/>
      <c r="C1285" s="401"/>
      <c r="D1285" s="401"/>
      <c r="E1285" s="401"/>
      <c r="F1285" s="401"/>
      <c r="G1285" s="417"/>
    </row>
    <row r="1286" spans="1:7" ht="12.75" customHeight="1">
      <c r="A1286" s="408" t="s">
        <v>111</v>
      </c>
      <c r="B1286" s="169" t="s">
        <v>193</v>
      </c>
      <c r="C1286" s="169" t="s">
        <v>194</v>
      </c>
      <c r="D1286" s="169" t="s">
        <v>195</v>
      </c>
      <c r="E1286" s="169" t="s">
        <v>186</v>
      </c>
      <c r="F1286" s="401"/>
      <c r="G1286" s="417"/>
    </row>
    <row r="1287" spans="1:7" ht="12.75" customHeight="1">
      <c r="A1287" s="406" t="s">
        <v>235</v>
      </c>
      <c r="B1287" s="169" t="s">
        <v>236</v>
      </c>
      <c r="C1287" s="401">
        <f>+Bocatoma!C236</f>
        <v>40000</v>
      </c>
      <c r="D1287" s="401">
        <v>7</v>
      </c>
      <c r="E1287" s="401">
        <f t="shared" si="15"/>
        <v>280000</v>
      </c>
      <c r="F1287" s="401"/>
      <c r="G1287" s="417"/>
    </row>
    <row r="1288" spans="1:7" ht="12.75" customHeight="1">
      <c r="A1288" s="406" t="s">
        <v>237</v>
      </c>
      <c r="B1288" s="169" t="s">
        <v>238</v>
      </c>
      <c r="C1288" s="401">
        <f>+Bocatoma!C237</f>
        <v>200000</v>
      </c>
      <c r="D1288" s="401">
        <v>1.5</v>
      </c>
      <c r="E1288" s="401">
        <f t="shared" si="15"/>
        <v>300000</v>
      </c>
      <c r="F1288" s="401"/>
      <c r="G1288" s="417"/>
    </row>
    <row r="1289" spans="1:7" ht="12.75" customHeight="1">
      <c r="A1289" s="406" t="s">
        <v>241</v>
      </c>
      <c r="B1289" s="169" t="s">
        <v>220</v>
      </c>
      <c r="C1289" s="401">
        <f>+Bocatoma!C238</f>
        <v>85000</v>
      </c>
      <c r="D1289" s="401">
        <v>1</v>
      </c>
      <c r="E1289" s="401">
        <f t="shared" si="15"/>
        <v>85000</v>
      </c>
      <c r="F1289" s="401"/>
      <c r="G1289" s="417"/>
    </row>
    <row r="1290" spans="1:7" ht="12.75" customHeight="1">
      <c r="A1290" s="406" t="s">
        <v>242</v>
      </c>
      <c r="B1290" s="169" t="s">
        <v>220</v>
      </c>
      <c r="C1290" s="403">
        <f>(E1287+E1288+E1289)*0.05</f>
        <v>33250</v>
      </c>
      <c r="D1290" s="401">
        <v>1</v>
      </c>
      <c r="E1290" s="403">
        <f t="shared" si="15"/>
        <v>33250</v>
      </c>
      <c r="F1290" s="401"/>
      <c r="G1290" s="417"/>
    </row>
    <row r="1291" spans="1:7" ht="12.75" customHeight="1">
      <c r="A1291" s="406"/>
      <c r="B1291" s="169"/>
      <c r="C1291" s="403"/>
      <c r="D1291" s="401"/>
      <c r="E1291" s="403"/>
      <c r="F1291" s="401"/>
      <c r="G1291" s="417"/>
    </row>
    <row r="1292" spans="1:7" ht="12.75" customHeight="1">
      <c r="A1292" s="406"/>
      <c r="B1292" s="401"/>
      <c r="C1292" s="401"/>
      <c r="D1292" s="401"/>
      <c r="E1292" s="401"/>
      <c r="F1292" s="401"/>
      <c r="G1292" s="417"/>
    </row>
    <row r="1293" spans="1:7" ht="12.75" customHeight="1">
      <c r="A1293" s="406"/>
      <c r="B1293" s="401"/>
      <c r="C1293" s="401"/>
      <c r="D1293" s="401"/>
      <c r="E1293" s="401"/>
      <c r="F1293" s="401" t="s">
        <v>189</v>
      </c>
      <c r="G1293" s="417">
        <f t="shared" si="10"/>
        <v>698250</v>
      </c>
    </row>
    <row r="1294" spans="1:7" ht="12.75" customHeight="1">
      <c r="A1294" s="406" t="s">
        <v>197</v>
      </c>
      <c r="B1294" s="401"/>
      <c r="C1294" s="401"/>
      <c r="D1294" s="401"/>
      <c r="E1294" s="401"/>
      <c r="F1294" s="401"/>
      <c r="G1294" s="417"/>
    </row>
    <row r="1295" spans="1:7" ht="12.75" customHeight="1">
      <c r="A1295" s="408" t="s">
        <v>198</v>
      </c>
      <c r="B1295" s="169" t="s">
        <v>199</v>
      </c>
      <c r="C1295" s="169" t="s">
        <v>200</v>
      </c>
      <c r="D1295" s="169" t="s">
        <v>201</v>
      </c>
      <c r="E1295" s="169" t="s">
        <v>186</v>
      </c>
      <c r="F1295" s="401"/>
      <c r="G1295" s="417"/>
    </row>
    <row r="1296" spans="1:7" ht="12.75" customHeight="1">
      <c r="A1296" s="406" t="s">
        <v>243</v>
      </c>
      <c r="B1296" s="401"/>
      <c r="C1296" s="401"/>
      <c r="D1296" s="401"/>
      <c r="E1296" s="403">
        <v>2516.5200003179225</v>
      </c>
      <c r="F1296" s="401"/>
      <c r="G1296" s="417"/>
    </row>
    <row r="1297" spans="1:9" ht="12.75" customHeight="1">
      <c r="A1297" s="406"/>
      <c r="B1297" s="401"/>
      <c r="C1297" s="401"/>
      <c r="D1297" s="401"/>
      <c r="E1297" s="401"/>
      <c r="F1297" s="401"/>
      <c r="G1297" s="417"/>
    </row>
    <row r="1298" spans="1:9" ht="12.75" customHeight="1">
      <c r="A1298" s="406"/>
      <c r="B1298" s="401"/>
      <c r="C1298" s="401"/>
      <c r="D1298" s="401"/>
      <c r="E1298" s="401"/>
      <c r="F1298" s="401"/>
      <c r="G1298" s="417"/>
    </row>
    <row r="1299" spans="1:9" ht="12.75" customHeight="1">
      <c r="A1299" s="406"/>
      <c r="B1299" s="401"/>
      <c r="C1299" s="401"/>
      <c r="D1299" s="401"/>
      <c r="E1299" s="401"/>
      <c r="F1299" s="401"/>
      <c r="G1299" s="417"/>
    </row>
    <row r="1300" spans="1:9" ht="12.75" customHeight="1">
      <c r="A1300" s="406"/>
      <c r="B1300" s="401"/>
      <c r="C1300" s="401"/>
      <c r="D1300" s="401"/>
      <c r="E1300" s="401"/>
      <c r="F1300" s="401" t="s">
        <v>189</v>
      </c>
      <c r="G1300" s="417">
        <f t="shared" si="11"/>
        <v>2516.5200003179225</v>
      </c>
    </row>
    <row r="1301" spans="1:9" ht="12.75" customHeight="1">
      <c r="A1301" s="406" t="s">
        <v>202</v>
      </c>
      <c r="B1301" s="401"/>
      <c r="C1301" s="401"/>
      <c r="D1301" s="401"/>
      <c r="E1301" s="401"/>
      <c r="F1301" s="401"/>
      <c r="G1301" s="417"/>
    </row>
    <row r="1302" spans="1:9" ht="12.75" customHeight="1">
      <c r="A1302" s="408" t="s">
        <v>203</v>
      </c>
      <c r="B1302" s="169" t="s">
        <v>204</v>
      </c>
      <c r="C1302" s="169" t="s">
        <v>205</v>
      </c>
      <c r="D1302" s="169" t="s">
        <v>206</v>
      </c>
      <c r="E1302" s="169" t="s">
        <v>207</v>
      </c>
      <c r="F1302" s="169" t="s">
        <v>208</v>
      </c>
      <c r="G1302" s="417"/>
    </row>
    <row r="1303" spans="1:9" ht="12.75" customHeight="1">
      <c r="A1303" s="406" t="s">
        <v>188</v>
      </c>
      <c r="B1303" s="401">
        <f>+B164</f>
        <v>150000</v>
      </c>
      <c r="C1303" s="401">
        <f t="shared" si="13"/>
        <v>112500</v>
      </c>
      <c r="D1303" s="401">
        <f t="shared" si="3"/>
        <v>262500</v>
      </c>
      <c r="E1303" s="427">
        <v>3</v>
      </c>
      <c r="F1303" s="403">
        <f t="shared" si="4"/>
        <v>87500</v>
      </c>
      <c r="G1303" s="417"/>
    </row>
    <row r="1304" spans="1:9" ht="12.75" customHeight="1">
      <c r="A1304" s="406" t="s">
        <v>585</v>
      </c>
      <c r="B1304" s="401">
        <f>+B165*5</f>
        <v>500000</v>
      </c>
      <c r="C1304" s="403">
        <f t="shared" si="13"/>
        <v>375000</v>
      </c>
      <c r="D1304" s="403">
        <f t="shared" si="3"/>
        <v>875000</v>
      </c>
      <c r="E1304" s="427">
        <v>3</v>
      </c>
      <c r="F1304" s="403">
        <f t="shared" si="4"/>
        <v>291666.66666666669</v>
      </c>
      <c r="G1304" s="417"/>
    </row>
    <row r="1305" spans="1:9" ht="12.75" customHeight="1">
      <c r="A1305" s="406"/>
      <c r="B1305" s="401"/>
      <c r="C1305" s="401"/>
      <c r="D1305" s="401"/>
      <c r="E1305" s="401"/>
      <c r="F1305" s="401"/>
      <c r="G1305" s="417"/>
    </row>
    <row r="1306" spans="1:9" ht="12.75" customHeight="1">
      <c r="A1306" s="406"/>
      <c r="B1306" s="401"/>
      <c r="C1306" s="401"/>
      <c r="D1306" s="401"/>
      <c r="E1306" s="401"/>
      <c r="F1306" s="401"/>
      <c r="G1306" s="417"/>
    </row>
    <row r="1307" spans="1:9" ht="12.75" customHeight="1">
      <c r="A1307" s="406"/>
      <c r="B1307" s="401"/>
      <c r="C1307" s="401"/>
      <c r="D1307" s="401"/>
      <c r="E1307" s="401"/>
      <c r="F1307" s="401"/>
      <c r="G1307" s="417"/>
    </row>
    <row r="1308" spans="1:9" ht="12.75" customHeight="1">
      <c r="A1308" s="406"/>
      <c r="B1308" s="401"/>
      <c r="C1308" s="401"/>
      <c r="D1308" s="401"/>
      <c r="E1308" s="401"/>
      <c r="F1308" s="401"/>
      <c r="G1308" s="417"/>
    </row>
    <row r="1309" spans="1:9" ht="12.75" customHeight="1">
      <c r="A1309" s="406"/>
      <c r="B1309" s="401"/>
      <c r="C1309" s="401"/>
      <c r="D1309" s="401"/>
      <c r="E1309" s="401"/>
      <c r="F1309" s="401" t="s">
        <v>189</v>
      </c>
      <c r="G1309" s="417">
        <f t="shared" si="5"/>
        <v>379166.66666666669</v>
      </c>
    </row>
    <row r="1310" spans="1:9" ht="12.75" customHeight="1">
      <c r="A1310" s="406"/>
      <c r="B1310" s="401"/>
      <c r="C1310" s="401"/>
      <c r="D1310" s="401"/>
      <c r="E1310" s="401"/>
      <c r="F1310" s="401"/>
      <c r="G1310" s="417"/>
    </row>
    <row r="1311" spans="1:9" ht="12.75" customHeight="1">
      <c r="A1311" s="406" t="s">
        <v>209</v>
      </c>
      <c r="B1311" s="401"/>
      <c r="C1311" s="401" t="s">
        <v>210</v>
      </c>
      <c r="D1311" s="471" t="s">
        <v>211</v>
      </c>
      <c r="E1311" s="472"/>
      <c r="F1311" s="472"/>
      <c r="G1311" s="417">
        <f t="shared" si="6"/>
        <v>1098891.5200003181</v>
      </c>
      <c r="I1311">
        <v>1428875</v>
      </c>
    </row>
    <row r="1312" spans="1:9" ht="12.75" customHeight="1">
      <c r="A1312" s="406"/>
      <c r="B1312" s="401"/>
      <c r="C1312" s="401"/>
      <c r="D1312" s="401"/>
      <c r="E1312" s="401"/>
      <c r="F1312" s="401"/>
      <c r="G1312" s="417"/>
    </row>
    <row r="1313" spans="1:7" ht="12.75" customHeight="1">
      <c r="A1313" s="406"/>
      <c r="B1313" s="401"/>
      <c r="C1313" s="401"/>
      <c r="D1313" s="401"/>
      <c r="E1313" s="401" t="s">
        <v>212</v>
      </c>
      <c r="F1313" s="401"/>
      <c r="G1313" s="417">
        <f t="shared" si="7"/>
        <v>329667.45600009541</v>
      </c>
    </row>
    <row r="1314" spans="1:7" ht="12.75" customHeight="1">
      <c r="A1314" s="406"/>
      <c r="B1314" s="401"/>
      <c r="C1314" s="401"/>
      <c r="D1314" s="401"/>
      <c r="E1314" s="401"/>
      <c r="F1314" s="401"/>
      <c r="G1314" s="417"/>
    </row>
    <row r="1315" spans="1:7" ht="12.75" customHeight="1" thickBot="1">
      <c r="A1315" s="411" t="s">
        <v>213</v>
      </c>
      <c r="B1315" s="412"/>
      <c r="C1315" s="412"/>
      <c r="D1315" s="469" t="s">
        <v>214</v>
      </c>
      <c r="E1315" s="470"/>
      <c r="F1315" s="470"/>
      <c r="G1315" s="418">
        <f t="shared" si="8"/>
        <v>1428558.9760004135</v>
      </c>
    </row>
    <row r="1316" spans="1:7" ht="15" customHeight="1">
      <c r="A1316" s="468" t="s">
        <v>174</v>
      </c>
      <c r="B1316" s="457"/>
      <c r="C1316" s="457"/>
      <c r="D1316" s="457"/>
      <c r="E1316" s="457"/>
      <c r="F1316" s="457"/>
      <c r="G1316" s="457"/>
    </row>
    <row r="1317" spans="1:7" ht="12.75" customHeight="1" thickBot="1">
      <c r="A1317" s="77"/>
      <c r="B1317" s="77"/>
      <c r="C1317" s="77"/>
      <c r="D1317" s="77"/>
      <c r="E1317" s="77"/>
      <c r="F1317" s="77"/>
    </row>
    <row r="1318" spans="1:7" ht="12.75" customHeight="1">
      <c r="A1318" s="404" t="s">
        <v>175</v>
      </c>
      <c r="B1318" s="405"/>
      <c r="C1318" s="405"/>
      <c r="D1318" s="428"/>
      <c r="E1318" s="428"/>
      <c r="F1318" s="428"/>
      <c r="G1318" s="429"/>
    </row>
    <row r="1319" spans="1:7" ht="12.75" customHeight="1">
      <c r="A1319" s="406" t="str">
        <f>+A4</f>
        <v xml:space="preserve">OBRA N° Conducción - Red de Distribución  </v>
      </c>
      <c r="B1319" s="401"/>
      <c r="C1319" s="401"/>
      <c r="D1319" s="401"/>
      <c r="E1319" s="195"/>
      <c r="F1319" s="402" t="s">
        <v>177</v>
      </c>
      <c r="G1319" s="430">
        <f t="shared" ca="1" si="0"/>
        <v>46289</v>
      </c>
    </row>
    <row r="1320" spans="1:7" ht="12.75" customHeight="1">
      <c r="A1320" s="406"/>
      <c r="B1320" s="401"/>
      <c r="C1320" s="401"/>
      <c r="D1320" s="401"/>
      <c r="E1320" s="401"/>
      <c r="F1320" s="401"/>
      <c r="G1320" s="417"/>
    </row>
    <row r="1321" spans="1:7" ht="12.75" customHeight="1">
      <c r="A1321" s="406" t="s">
        <v>429</v>
      </c>
      <c r="B1321" s="401" t="s">
        <v>66</v>
      </c>
      <c r="C1321" s="401"/>
      <c r="D1321" s="401"/>
      <c r="E1321" s="401"/>
      <c r="F1321" s="401"/>
      <c r="G1321" s="417"/>
    </row>
    <row r="1322" spans="1:7" ht="12.75" customHeight="1">
      <c r="A1322" s="406"/>
      <c r="B1322" s="401"/>
      <c r="C1322" s="401" t="s">
        <v>179</v>
      </c>
      <c r="D1322" s="432">
        <v>2002</v>
      </c>
      <c r="E1322" s="401" t="s">
        <v>180</v>
      </c>
      <c r="F1322" s="401" t="s">
        <v>226</v>
      </c>
      <c r="G1322" s="417"/>
    </row>
    <row r="1323" spans="1:7" ht="12.75" customHeight="1">
      <c r="A1323" s="406" t="s">
        <v>182</v>
      </c>
      <c r="B1323" s="401"/>
      <c r="C1323" s="401"/>
      <c r="D1323" s="401"/>
      <c r="E1323" s="401"/>
      <c r="F1323" s="401"/>
      <c r="G1323" s="417"/>
    </row>
    <row r="1324" spans="1:7" ht="12.75" customHeight="1">
      <c r="A1324" s="408" t="s">
        <v>111</v>
      </c>
      <c r="B1324" s="169" t="s">
        <v>183</v>
      </c>
      <c r="C1324" s="169" t="s">
        <v>184</v>
      </c>
      <c r="D1324" s="169" t="s">
        <v>185</v>
      </c>
      <c r="E1324" s="169" t="s">
        <v>186</v>
      </c>
      <c r="F1324" s="401"/>
      <c r="G1324" s="417"/>
    </row>
    <row r="1325" spans="1:7" ht="12.75" customHeight="1">
      <c r="A1325" s="406" t="s">
        <v>187</v>
      </c>
      <c r="B1325" s="401"/>
      <c r="C1325" s="401"/>
      <c r="D1325" s="401"/>
      <c r="E1325" s="403">
        <f t="shared" si="1"/>
        <v>897.43589801648795</v>
      </c>
      <c r="F1325" s="401"/>
      <c r="G1325" s="417"/>
    </row>
    <row r="1326" spans="1:7" ht="12.75" customHeight="1">
      <c r="A1326" s="406"/>
      <c r="B1326" s="401"/>
      <c r="C1326" s="401"/>
      <c r="D1326" s="401"/>
      <c r="E1326" s="401"/>
      <c r="F1326" s="401"/>
      <c r="G1326" s="417"/>
    </row>
    <row r="1327" spans="1:7" ht="12.75" customHeight="1">
      <c r="A1327" s="406"/>
      <c r="B1327" s="401"/>
      <c r="C1327" s="401"/>
      <c r="D1327" s="401"/>
      <c r="E1327" s="401"/>
      <c r="F1327" s="401"/>
      <c r="G1327" s="417"/>
    </row>
    <row r="1328" spans="1:7" ht="12.75" customHeight="1">
      <c r="A1328" s="406"/>
      <c r="B1328" s="401"/>
      <c r="C1328" s="401"/>
      <c r="D1328" s="401"/>
      <c r="E1328" s="401"/>
      <c r="F1328" s="401" t="s">
        <v>189</v>
      </c>
      <c r="G1328" s="417">
        <f t="shared" si="2"/>
        <v>897.43589801648795</v>
      </c>
    </row>
    <row r="1329" spans="1:7" ht="12.75" customHeight="1">
      <c r="A1329" s="406" t="s">
        <v>191</v>
      </c>
      <c r="B1329" s="401"/>
      <c r="C1329" s="401"/>
      <c r="D1329" s="401"/>
      <c r="E1329" s="401"/>
      <c r="F1329" s="401"/>
      <c r="G1329" s="417"/>
    </row>
    <row r="1330" spans="1:7" ht="12.75" customHeight="1">
      <c r="A1330" s="408" t="s">
        <v>111</v>
      </c>
      <c r="B1330" s="169" t="s">
        <v>193</v>
      </c>
      <c r="C1330" s="169" t="s">
        <v>194</v>
      </c>
      <c r="D1330" s="169" t="s">
        <v>195</v>
      </c>
      <c r="E1330" s="169" t="s">
        <v>186</v>
      </c>
      <c r="F1330" s="401"/>
      <c r="G1330" s="417"/>
    </row>
    <row r="1331" spans="1:7" ht="12.75" customHeight="1">
      <c r="A1331" s="406"/>
      <c r="B1331" s="169"/>
      <c r="C1331" s="403"/>
      <c r="D1331" s="401"/>
      <c r="E1331" s="403"/>
      <c r="F1331" s="401"/>
      <c r="G1331" s="417"/>
    </row>
    <row r="1332" spans="1:7" ht="12.75" customHeight="1">
      <c r="A1332" s="406"/>
      <c r="B1332" s="169"/>
      <c r="C1332" s="401"/>
      <c r="D1332" s="401"/>
      <c r="E1332" s="403"/>
      <c r="F1332" s="401"/>
      <c r="G1332" s="417"/>
    </row>
    <row r="1333" spans="1:7" ht="12.75" customHeight="1">
      <c r="A1333" s="406"/>
      <c r="B1333" s="169"/>
      <c r="C1333" s="401"/>
      <c r="D1333" s="401"/>
      <c r="E1333" s="403"/>
      <c r="F1333" s="401"/>
      <c r="G1333" s="417"/>
    </row>
    <row r="1334" spans="1:7" ht="12.75" customHeight="1">
      <c r="A1334" s="406"/>
      <c r="B1334" s="401"/>
      <c r="C1334" s="401"/>
      <c r="D1334" s="401"/>
      <c r="E1334" s="401"/>
      <c r="F1334" s="401"/>
      <c r="G1334" s="417"/>
    </row>
    <row r="1335" spans="1:7" ht="12.75" customHeight="1">
      <c r="A1335" s="406"/>
      <c r="B1335" s="401"/>
      <c r="C1335" s="401"/>
      <c r="D1335" s="401"/>
      <c r="E1335" s="401"/>
      <c r="F1335" s="401"/>
      <c r="G1335" s="417"/>
    </row>
    <row r="1336" spans="1:7" ht="12.75" customHeight="1">
      <c r="A1336" s="406"/>
      <c r="B1336" s="401"/>
      <c r="C1336" s="401"/>
      <c r="D1336" s="401"/>
      <c r="E1336" s="401"/>
      <c r="F1336" s="401"/>
      <c r="G1336" s="417"/>
    </row>
    <row r="1337" spans="1:7" ht="12.75" customHeight="1">
      <c r="A1337" s="406"/>
      <c r="B1337" s="401"/>
      <c r="C1337" s="401"/>
      <c r="D1337" s="401"/>
      <c r="E1337" s="401"/>
      <c r="F1337" s="401" t="s">
        <v>189</v>
      </c>
      <c r="G1337" s="417">
        <f t="shared" si="10"/>
        <v>0</v>
      </c>
    </row>
    <row r="1338" spans="1:7" ht="12.75" customHeight="1">
      <c r="A1338" s="406" t="s">
        <v>197</v>
      </c>
      <c r="B1338" s="401"/>
      <c r="C1338" s="401"/>
      <c r="D1338" s="401"/>
      <c r="E1338" s="401"/>
      <c r="F1338" s="401"/>
      <c r="G1338" s="417"/>
    </row>
    <row r="1339" spans="1:7" ht="12.75" customHeight="1">
      <c r="A1339" s="408" t="s">
        <v>198</v>
      </c>
      <c r="B1339" s="169" t="s">
        <v>199</v>
      </c>
      <c r="C1339" s="169" t="s">
        <v>200</v>
      </c>
      <c r="D1339" s="169" t="s">
        <v>201</v>
      </c>
      <c r="E1339" s="169" t="s">
        <v>186</v>
      </c>
      <c r="F1339" s="401"/>
      <c r="G1339" s="417"/>
    </row>
    <row r="1340" spans="1:7" ht="12.75" customHeight="1">
      <c r="A1340" s="406"/>
      <c r="B1340" s="401"/>
      <c r="C1340" s="401"/>
      <c r="D1340" s="401"/>
      <c r="E1340" s="401"/>
      <c r="F1340" s="401"/>
      <c r="G1340" s="417"/>
    </row>
    <row r="1341" spans="1:7" ht="12.75" customHeight="1">
      <c r="A1341" s="406"/>
      <c r="B1341" s="401"/>
      <c r="C1341" s="401"/>
      <c r="D1341" s="401"/>
      <c r="E1341" s="401"/>
      <c r="F1341" s="401"/>
      <c r="G1341" s="417"/>
    </row>
    <row r="1342" spans="1:7" ht="12.75" customHeight="1">
      <c r="A1342" s="406"/>
      <c r="B1342" s="401"/>
      <c r="C1342" s="401"/>
      <c r="D1342" s="401"/>
      <c r="E1342" s="401"/>
      <c r="F1342" s="401"/>
      <c r="G1342" s="417"/>
    </row>
    <row r="1343" spans="1:7" ht="12.75" customHeight="1">
      <c r="A1343" s="406"/>
      <c r="B1343" s="401"/>
      <c r="C1343" s="401"/>
      <c r="D1343" s="401"/>
      <c r="E1343" s="401"/>
      <c r="F1343" s="401"/>
      <c r="G1343" s="417"/>
    </row>
    <row r="1344" spans="1:7" ht="12.75" customHeight="1">
      <c r="A1344" s="406"/>
      <c r="B1344" s="401"/>
      <c r="C1344" s="401"/>
      <c r="D1344" s="401"/>
      <c r="E1344" s="401"/>
      <c r="F1344" s="401" t="s">
        <v>189</v>
      </c>
      <c r="G1344" s="417">
        <f t="shared" si="11"/>
        <v>0</v>
      </c>
    </row>
    <row r="1345" spans="1:9" ht="12.75" customHeight="1">
      <c r="A1345" s="406" t="s">
        <v>202</v>
      </c>
      <c r="B1345" s="401"/>
      <c r="C1345" s="401"/>
      <c r="D1345" s="401"/>
      <c r="E1345" s="401"/>
      <c r="F1345" s="401"/>
      <c r="G1345" s="417"/>
    </row>
    <row r="1346" spans="1:9" ht="12.75" customHeight="1">
      <c r="A1346" s="408" t="s">
        <v>203</v>
      </c>
      <c r="B1346" s="169" t="s">
        <v>204</v>
      </c>
      <c r="C1346" s="169" t="s">
        <v>205</v>
      </c>
      <c r="D1346" s="169" t="s">
        <v>206</v>
      </c>
      <c r="E1346" s="169" t="s">
        <v>207</v>
      </c>
      <c r="F1346" s="169" t="s">
        <v>208</v>
      </c>
      <c r="G1346" s="417"/>
    </row>
    <row r="1347" spans="1:9" ht="12.75" customHeight="1">
      <c r="A1347" s="406" t="s">
        <v>495</v>
      </c>
      <c r="B1347" s="401">
        <f>+B165*2</f>
        <v>200000</v>
      </c>
      <c r="C1347" s="403">
        <f t="shared" si="13"/>
        <v>150000</v>
      </c>
      <c r="D1347" s="403">
        <f t="shared" si="3"/>
        <v>350000</v>
      </c>
      <c r="E1347" s="403">
        <v>19.499999987384598</v>
      </c>
      <c r="F1347" s="403">
        <f t="shared" si="4"/>
        <v>17948.717960329759</v>
      </c>
      <c r="G1347" s="417"/>
    </row>
    <row r="1348" spans="1:9" ht="12.75" customHeight="1">
      <c r="A1348" s="406"/>
      <c r="B1348" s="401"/>
      <c r="C1348" s="403"/>
      <c r="D1348" s="403"/>
      <c r="E1348" s="401"/>
      <c r="F1348" s="403"/>
      <c r="G1348" s="417"/>
    </row>
    <row r="1349" spans="1:9" ht="12.75" customHeight="1">
      <c r="A1349" s="406"/>
      <c r="B1349" s="401"/>
      <c r="C1349" s="401"/>
      <c r="D1349" s="401"/>
      <c r="E1349" s="401"/>
      <c r="F1349" s="401"/>
      <c r="G1349" s="417"/>
    </row>
    <row r="1350" spans="1:9" ht="12.75" customHeight="1">
      <c r="A1350" s="406"/>
      <c r="B1350" s="401"/>
      <c r="C1350" s="401"/>
      <c r="D1350" s="401"/>
      <c r="E1350" s="401"/>
      <c r="F1350" s="401"/>
      <c r="G1350" s="417"/>
    </row>
    <row r="1351" spans="1:9" ht="12.75" customHeight="1">
      <c r="A1351" s="406"/>
      <c r="B1351" s="401"/>
      <c r="C1351" s="401"/>
      <c r="D1351" s="401"/>
      <c r="E1351" s="401"/>
      <c r="F1351" s="401"/>
      <c r="G1351" s="417"/>
    </row>
    <row r="1352" spans="1:9" ht="12.75" customHeight="1">
      <c r="A1352" s="406"/>
      <c r="B1352" s="401"/>
      <c r="C1352" s="401"/>
      <c r="D1352" s="401"/>
      <c r="E1352" s="401"/>
      <c r="F1352" s="401"/>
      <c r="G1352" s="417"/>
    </row>
    <row r="1353" spans="1:9" ht="12.75" customHeight="1">
      <c r="A1353" s="406"/>
      <c r="B1353" s="401"/>
      <c r="C1353" s="401"/>
      <c r="D1353" s="401"/>
      <c r="E1353" s="401"/>
      <c r="F1353" s="401" t="s">
        <v>189</v>
      </c>
      <c r="G1353" s="417">
        <f t="shared" si="5"/>
        <v>17948.717960329759</v>
      </c>
    </row>
    <row r="1354" spans="1:9" ht="12.75" customHeight="1">
      <c r="A1354" s="406"/>
      <c r="B1354" s="401"/>
      <c r="C1354" s="401"/>
      <c r="D1354" s="401"/>
      <c r="E1354" s="401"/>
      <c r="F1354" s="401"/>
      <c r="G1354" s="417"/>
    </row>
    <row r="1355" spans="1:9" ht="12.75" customHeight="1">
      <c r="A1355" s="406" t="s">
        <v>209</v>
      </c>
      <c r="B1355" s="401"/>
      <c r="C1355" s="401" t="s">
        <v>210</v>
      </c>
      <c r="D1355" s="471" t="s">
        <v>211</v>
      </c>
      <c r="E1355" s="472"/>
      <c r="F1355" s="472"/>
      <c r="G1355" s="417">
        <f t="shared" si="6"/>
        <v>18846.153858346246</v>
      </c>
      <c r="I1355">
        <v>24500</v>
      </c>
    </row>
    <row r="1356" spans="1:9" ht="12.75" customHeight="1">
      <c r="A1356" s="406"/>
      <c r="B1356" s="401"/>
      <c r="C1356" s="401"/>
      <c r="D1356" s="401"/>
      <c r="E1356" s="401"/>
      <c r="F1356" s="401"/>
      <c r="G1356" s="417"/>
    </row>
    <row r="1357" spans="1:9" ht="12.75" customHeight="1">
      <c r="A1357" s="406"/>
      <c r="B1357" s="401"/>
      <c r="C1357" s="401"/>
      <c r="D1357" s="401"/>
      <c r="E1357" s="401" t="s">
        <v>212</v>
      </c>
      <c r="F1357" s="401"/>
      <c r="G1357" s="417">
        <f t="shared" si="7"/>
        <v>5653.8461575038737</v>
      </c>
    </row>
    <row r="1358" spans="1:9" ht="12.75" customHeight="1">
      <c r="A1358" s="406"/>
      <c r="B1358" s="401"/>
      <c r="C1358" s="401"/>
      <c r="D1358" s="401"/>
      <c r="E1358" s="401"/>
      <c r="F1358" s="401"/>
      <c r="G1358" s="417"/>
    </row>
    <row r="1359" spans="1:9" ht="12.75" customHeight="1" thickBot="1">
      <c r="A1359" s="411" t="s">
        <v>213</v>
      </c>
      <c r="B1359" s="412"/>
      <c r="C1359" s="412"/>
      <c r="D1359" s="469" t="s">
        <v>214</v>
      </c>
      <c r="E1359" s="470"/>
      <c r="F1359" s="470"/>
      <c r="G1359" s="418">
        <f t="shared" si="8"/>
        <v>24500.000015850121</v>
      </c>
    </row>
    <row r="1360" spans="1:9" ht="15" customHeight="1">
      <c r="A1360" s="468" t="s">
        <v>174</v>
      </c>
      <c r="B1360" s="457"/>
      <c r="C1360" s="457"/>
      <c r="D1360" s="457"/>
      <c r="E1360" s="457"/>
      <c r="F1360" s="457"/>
      <c r="G1360" s="457"/>
    </row>
    <row r="1361" spans="1:7" ht="12.75" customHeight="1">
      <c r="A1361" s="77"/>
      <c r="B1361" s="77"/>
      <c r="C1361" s="77"/>
      <c r="D1361" s="77"/>
      <c r="E1361" s="77"/>
      <c r="F1361" s="77"/>
    </row>
    <row r="1362" spans="1:7" ht="12.75" customHeight="1">
      <c r="A1362" s="1" t="s">
        <v>175</v>
      </c>
      <c r="B1362" s="1"/>
      <c r="C1362" s="1"/>
      <c r="D1362" s="94"/>
      <c r="E1362" s="94"/>
      <c r="F1362" s="94"/>
      <c r="G1362" s="414"/>
    </row>
    <row r="1363" spans="1:7" ht="12.75" customHeight="1">
      <c r="A1363" s="1" t="str">
        <f>+A48</f>
        <v xml:space="preserve">OBRA N° Conducción - Red de Distribución  </v>
      </c>
      <c r="B1363" s="1"/>
      <c r="C1363" s="1"/>
      <c r="D1363" s="1"/>
      <c r="F1363" s="95" t="s">
        <v>177</v>
      </c>
      <c r="G1363" s="415">
        <f t="shared" ref="G1363" ca="1" si="52">+TODAY()</f>
        <v>46289</v>
      </c>
    </row>
    <row r="1364" spans="1:7" ht="12.75" customHeight="1" thickBot="1">
      <c r="A1364" s="1"/>
      <c r="B1364" s="1"/>
      <c r="C1364" s="1"/>
      <c r="D1364" s="1"/>
      <c r="E1364" s="1"/>
      <c r="F1364" s="1"/>
      <c r="G1364" s="420"/>
    </row>
    <row r="1365" spans="1:7" ht="33" customHeight="1">
      <c r="A1365" s="404" t="s">
        <v>432</v>
      </c>
      <c r="B1365" s="474" t="s">
        <v>873</v>
      </c>
      <c r="C1365" s="474"/>
      <c r="D1365" s="474"/>
      <c r="E1365" s="474"/>
      <c r="F1365" s="474"/>
      <c r="G1365" s="475"/>
    </row>
    <row r="1366" spans="1:7" ht="12.75" customHeight="1">
      <c r="A1366" s="406"/>
      <c r="B1366" s="401"/>
      <c r="C1366" s="401" t="s">
        <v>179</v>
      </c>
      <c r="D1366" s="432">
        <v>2002</v>
      </c>
      <c r="E1366" s="401" t="s">
        <v>180</v>
      </c>
      <c r="F1366" s="401" t="s">
        <v>226</v>
      </c>
      <c r="G1366" s="417"/>
    </row>
    <row r="1367" spans="1:7" ht="12.75" customHeight="1">
      <c r="A1367" s="406" t="s">
        <v>182</v>
      </c>
      <c r="B1367" s="401"/>
      <c r="C1367" s="401"/>
      <c r="D1367" s="401"/>
      <c r="E1367" s="401"/>
      <c r="F1367" s="401"/>
      <c r="G1367" s="417"/>
    </row>
    <row r="1368" spans="1:7" ht="12.75" customHeight="1">
      <c r="A1368" s="408" t="s">
        <v>111</v>
      </c>
      <c r="B1368" s="169" t="s">
        <v>183</v>
      </c>
      <c r="C1368" s="169" t="s">
        <v>184</v>
      </c>
      <c r="D1368" s="169" t="s">
        <v>185</v>
      </c>
      <c r="E1368" s="169" t="s">
        <v>186</v>
      </c>
      <c r="F1368" s="401"/>
      <c r="G1368" s="417"/>
    </row>
    <row r="1369" spans="1:7" ht="12.75" customHeight="1">
      <c r="A1369" s="406" t="s">
        <v>187</v>
      </c>
      <c r="B1369" s="401"/>
      <c r="C1369" s="401"/>
      <c r="D1369" s="401"/>
      <c r="E1369" s="403">
        <f t="shared" ref="E1369" si="53">G1397*0.05</f>
        <v>164.0625</v>
      </c>
      <c r="F1369" s="401"/>
      <c r="G1369" s="417"/>
    </row>
    <row r="1370" spans="1:7" ht="12.75" customHeight="1">
      <c r="A1370" s="406"/>
      <c r="B1370" s="401"/>
      <c r="C1370" s="401"/>
      <c r="D1370" s="401"/>
      <c r="E1370" s="401"/>
      <c r="F1370" s="401"/>
      <c r="G1370" s="417"/>
    </row>
    <row r="1371" spans="1:7" ht="12.75" customHeight="1">
      <c r="A1371" s="406"/>
      <c r="B1371" s="401"/>
      <c r="C1371" s="401"/>
      <c r="D1371" s="401"/>
      <c r="E1371" s="401"/>
      <c r="F1371" s="401"/>
      <c r="G1371" s="417"/>
    </row>
    <row r="1372" spans="1:7" ht="12.75" customHeight="1">
      <c r="A1372" s="406"/>
      <c r="B1372" s="401"/>
      <c r="C1372" s="401"/>
      <c r="D1372" s="401"/>
      <c r="E1372" s="401"/>
      <c r="F1372" s="401" t="s">
        <v>189</v>
      </c>
      <c r="G1372" s="417">
        <f t="shared" ref="G1372" si="54">E1369+E1370+E1371+E1372</f>
        <v>164.0625</v>
      </c>
    </row>
    <row r="1373" spans="1:7" ht="12.75" customHeight="1">
      <c r="A1373" s="406" t="s">
        <v>191</v>
      </c>
      <c r="B1373" s="401"/>
      <c r="C1373" s="401"/>
      <c r="D1373" s="401"/>
      <c r="E1373" s="401"/>
      <c r="F1373" s="401"/>
      <c r="G1373" s="417"/>
    </row>
    <row r="1374" spans="1:7" ht="12.75" customHeight="1">
      <c r="A1374" s="408" t="s">
        <v>111</v>
      </c>
      <c r="B1374" s="169" t="s">
        <v>193</v>
      </c>
      <c r="C1374" s="169" t="s">
        <v>194</v>
      </c>
      <c r="D1374" s="169" t="s">
        <v>195</v>
      </c>
      <c r="E1374" s="169" t="s">
        <v>186</v>
      </c>
      <c r="F1374" s="401"/>
      <c r="G1374" s="417"/>
    </row>
    <row r="1375" spans="1:7" ht="96" customHeight="1">
      <c r="A1375" s="452" t="s">
        <v>874</v>
      </c>
      <c r="B1375" s="441" t="s">
        <v>875</v>
      </c>
      <c r="C1375" s="451">
        <v>11266.603479853478</v>
      </c>
      <c r="D1375" s="168">
        <v>1.05</v>
      </c>
      <c r="E1375" s="451">
        <f>+C1375*D1375</f>
        <v>11829.933653846152</v>
      </c>
      <c r="F1375" s="401"/>
      <c r="G1375" s="417"/>
    </row>
    <row r="1376" spans="1:7" ht="12.75" customHeight="1">
      <c r="A1376" s="406"/>
      <c r="B1376" s="169"/>
      <c r="C1376" s="401"/>
      <c r="D1376" s="401"/>
      <c r="E1376" s="403"/>
      <c r="F1376" s="401"/>
      <c r="G1376" s="417"/>
    </row>
    <row r="1377" spans="1:7" ht="12.75" customHeight="1">
      <c r="A1377" s="406"/>
      <c r="B1377" s="169"/>
      <c r="C1377" s="401"/>
      <c r="D1377" s="401"/>
      <c r="E1377" s="403"/>
      <c r="F1377" s="401"/>
      <c r="G1377" s="417"/>
    </row>
    <row r="1378" spans="1:7" ht="12.75" customHeight="1">
      <c r="A1378" s="406"/>
      <c r="B1378" s="401"/>
      <c r="C1378" s="401"/>
      <c r="D1378" s="401"/>
      <c r="E1378" s="401"/>
      <c r="F1378" s="401"/>
      <c r="G1378" s="417"/>
    </row>
    <row r="1379" spans="1:7" ht="12.75" customHeight="1">
      <c r="A1379" s="406"/>
      <c r="B1379" s="401"/>
      <c r="C1379" s="401"/>
      <c r="D1379" s="401"/>
      <c r="E1379" s="401"/>
      <c r="F1379" s="401"/>
      <c r="G1379" s="417"/>
    </row>
    <row r="1380" spans="1:7" ht="12.75" customHeight="1">
      <c r="A1380" s="406"/>
      <c r="B1380" s="401"/>
      <c r="C1380" s="401"/>
      <c r="D1380" s="401"/>
      <c r="E1380" s="401"/>
      <c r="F1380" s="401"/>
      <c r="G1380" s="417"/>
    </row>
    <row r="1381" spans="1:7" ht="12.75" customHeight="1">
      <c r="A1381" s="406"/>
      <c r="B1381" s="401"/>
      <c r="C1381" s="401"/>
      <c r="D1381" s="401"/>
      <c r="E1381" s="401"/>
      <c r="F1381" s="401" t="s">
        <v>189</v>
      </c>
      <c r="G1381" s="417">
        <f t="shared" ref="G1381" si="55">E1375+E1376+E1377+E1378+E1379+E1380+E1381</f>
        <v>11829.933653846152</v>
      </c>
    </row>
    <row r="1382" spans="1:7" ht="12.75" customHeight="1">
      <c r="A1382" s="406" t="s">
        <v>197</v>
      </c>
      <c r="B1382" s="401"/>
      <c r="C1382" s="401"/>
      <c r="D1382" s="401"/>
      <c r="E1382" s="401"/>
      <c r="F1382" s="401"/>
      <c r="G1382" s="417"/>
    </row>
    <row r="1383" spans="1:7" ht="12.75" customHeight="1">
      <c r="A1383" s="408" t="s">
        <v>198</v>
      </c>
      <c r="B1383" s="169" t="s">
        <v>199</v>
      </c>
      <c r="C1383" s="169" t="s">
        <v>200</v>
      </c>
      <c r="D1383" s="169" t="s">
        <v>201</v>
      </c>
      <c r="E1383" s="169" t="s">
        <v>186</v>
      </c>
      <c r="F1383" s="401"/>
      <c r="G1383" s="417"/>
    </row>
    <row r="1384" spans="1:7" ht="12.75" customHeight="1">
      <c r="A1384" s="406"/>
      <c r="B1384" s="401"/>
      <c r="C1384" s="401"/>
      <c r="D1384" s="401"/>
      <c r="E1384" s="401"/>
      <c r="F1384" s="401"/>
      <c r="G1384" s="417"/>
    </row>
    <row r="1385" spans="1:7" ht="12.75" customHeight="1">
      <c r="A1385" s="406"/>
      <c r="B1385" s="401"/>
      <c r="C1385" s="401"/>
      <c r="D1385" s="401"/>
      <c r="E1385" s="401"/>
      <c r="F1385" s="401"/>
      <c r="G1385" s="417"/>
    </row>
    <row r="1386" spans="1:7" ht="12.75" customHeight="1">
      <c r="A1386" s="406"/>
      <c r="B1386" s="401"/>
      <c r="C1386" s="401"/>
      <c r="D1386" s="401"/>
      <c r="E1386" s="401"/>
      <c r="F1386" s="401"/>
      <c r="G1386" s="417"/>
    </row>
    <row r="1387" spans="1:7" ht="12.75" customHeight="1">
      <c r="A1387" s="406"/>
      <c r="B1387" s="401"/>
      <c r="C1387" s="401"/>
      <c r="D1387" s="401"/>
      <c r="E1387" s="401"/>
      <c r="F1387" s="401"/>
      <c r="G1387" s="417"/>
    </row>
    <row r="1388" spans="1:7" ht="12.75" customHeight="1">
      <c r="A1388" s="406"/>
      <c r="B1388" s="401"/>
      <c r="C1388" s="401"/>
      <c r="D1388" s="401"/>
      <c r="E1388" s="401"/>
      <c r="F1388" s="401" t="s">
        <v>189</v>
      </c>
      <c r="G1388" s="417">
        <f t="shared" ref="G1388" si="56">E1384+E1385+E1386+E1387+E1388</f>
        <v>0</v>
      </c>
    </row>
    <row r="1389" spans="1:7" ht="12.75" customHeight="1">
      <c r="A1389" s="406" t="s">
        <v>202</v>
      </c>
      <c r="B1389" s="401"/>
      <c r="C1389" s="401"/>
      <c r="D1389" s="401"/>
      <c r="E1389" s="401"/>
      <c r="F1389" s="401"/>
      <c r="G1389" s="417"/>
    </row>
    <row r="1390" spans="1:7" ht="12.75" customHeight="1">
      <c r="A1390" s="408" t="s">
        <v>203</v>
      </c>
      <c r="B1390" s="169" t="s">
        <v>204</v>
      </c>
      <c r="C1390" s="169" t="s">
        <v>205</v>
      </c>
      <c r="D1390" s="169" t="s">
        <v>206</v>
      </c>
      <c r="E1390" s="169" t="s">
        <v>207</v>
      </c>
      <c r="F1390" s="169" t="s">
        <v>208</v>
      </c>
      <c r="G1390" s="417"/>
    </row>
    <row r="1391" spans="1:7" ht="12.75" customHeight="1">
      <c r="A1391" s="406" t="str">
        <f>+A1303</f>
        <v>1 Oficial</v>
      </c>
      <c r="B1391" s="401">
        <f>+B1303</f>
        <v>150000</v>
      </c>
      <c r="C1391" s="403">
        <f t="shared" ref="C1391" si="57">0.75*B1391</f>
        <v>112500</v>
      </c>
      <c r="D1391" s="403">
        <f t="shared" ref="D1391" si="58">B1391+C1391</f>
        <v>262500</v>
      </c>
      <c r="E1391" s="432">
        <v>80</v>
      </c>
      <c r="F1391" s="403">
        <f t="shared" ref="F1391" si="59">D1391/E1391</f>
        <v>3281.25</v>
      </c>
      <c r="G1391" s="417"/>
    </row>
    <row r="1392" spans="1:7" ht="12.75" customHeight="1">
      <c r="A1392" s="406"/>
      <c r="B1392" s="401"/>
      <c r="C1392" s="403"/>
      <c r="D1392" s="403"/>
      <c r="E1392" s="401"/>
      <c r="F1392" s="403"/>
      <c r="G1392" s="417"/>
    </row>
    <row r="1393" spans="1:9" ht="12.75" customHeight="1">
      <c r="A1393" s="406"/>
      <c r="B1393" s="401"/>
      <c r="C1393" s="401"/>
      <c r="D1393" s="401"/>
      <c r="E1393" s="401"/>
      <c r="F1393" s="401"/>
      <c r="G1393" s="417"/>
    </row>
    <row r="1394" spans="1:9" ht="12.75" customHeight="1">
      <c r="A1394" s="406"/>
      <c r="B1394" s="401"/>
      <c r="C1394" s="401"/>
      <c r="D1394" s="401"/>
      <c r="E1394" s="401"/>
      <c r="F1394" s="401"/>
      <c r="G1394" s="417"/>
    </row>
    <row r="1395" spans="1:9" ht="12.75" customHeight="1">
      <c r="A1395" s="406"/>
      <c r="B1395" s="401"/>
      <c r="C1395" s="401"/>
      <c r="D1395" s="401"/>
      <c r="E1395" s="401"/>
      <c r="F1395" s="401"/>
      <c r="G1395" s="417"/>
    </row>
    <row r="1396" spans="1:9" ht="12.75" customHeight="1">
      <c r="A1396" s="406"/>
      <c r="B1396" s="401"/>
      <c r="C1396" s="401"/>
      <c r="D1396" s="401"/>
      <c r="E1396" s="401"/>
      <c r="F1396" s="401"/>
      <c r="G1396" s="417"/>
    </row>
    <row r="1397" spans="1:9" ht="12.75" customHeight="1">
      <c r="A1397" s="406"/>
      <c r="B1397" s="401"/>
      <c r="C1397" s="401"/>
      <c r="D1397" s="401"/>
      <c r="E1397" s="401"/>
      <c r="F1397" s="401" t="s">
        <v>189</v>
      </c>
      <c r="G1397" s="417">
        <f t="shared" ref="G1397" si="60">F1391+F1392+F1393+F1394+F1395+F1396</f>
        <v>3281.25</v>
      </c>
    </row>
    <row r="1398" spans="1:9" ht="12.75" customHeight="1">
      <c r="A1398" s="406"/>
      <c r="B1398" s="401"/>
      <c r="C1398" s="401"/>
      <c r="D1398" s="401"/>
      <c r="E1398" s="401"/>
      <c r="F1398" s="401"/>
      <c r="G1398" s="417"/>
    </row>
    <row r="1399" spans="1:9" ht="12.75" customHeight="1">
      <c r="A1399" s="406" t="s">
        <v>209</v>
      </c>
      <c r="B1399" s="401"/>
      <c r="C1399" s="401" t="s">
        <v>210</v>
      </c>
      <c r="D1399" s="471" t="s">
        <v>211</v>
      </c>
      <c r="E1399" s="472"/>
      <c r="F1399" s="472"/>
      <c r="G1399" s="417">
        <f t="shared" ref="G1399" si="61">G1372+G1381+G1388+G1397</f>
        <v>15275.246153846152</v>
      </c>
      <c r="I1399">
        <v>19857.82</v>
      </c>
    </row>
    <row r="1400" spans="1:9" ht="12.75" customHeight="1">
      <c r="A1400" s="406"/>
      <c r="B1400" s="401"/>
      <c r="C1400" s="401"/>
      <c r="D1400" s="401"/>
      <c r="E1400" s="401"/>
      <c r="F1400" s="401"/>
      <c r="G1400" s="417"/>
    </row>
    <row r="1401" spans="1:9" ht="12.75" customHeight="1">
      <c r="A1401" s="406"/>
      <c r="B1401" s="401"/>
      <c r="C1401" s="401"/>
      <c r="D1401" s="401"/>
      <c r="E1401" s="401" t="s">
        <v>212</v>
      </c>
      <c r="F1401" s="401"/>
      <c r="G1401" s="417">
        <f t="shared" ref="G1401" si="62">0.3*G1399</f>
        <v>4582.5738461538458</v>
      </c>
    </row>
    <row r="1402" spans="1:9" ht="12.75" customHeight="1">
      <c r="A1402" s="406"/>
      <c r="B1402" s="401"/>
      <c r="C1402" s="401"/>
      <c r="D1402" s="401"/>
      <c r="E1402" s="401"/>
      <c r="F1402" s="401"/>
      <c r="G1402" s="417"/>
    </row>
    <row r="1403" spans="1:9" ht="12.75" customHeight="1" thickBot="1">
      <c r="A1403" s="411" t="s">
        <v>213</v>
      </c>
      <c r="B1403" s="412"/>
      <c r="C1403" s="412"/>
      <c r="D1403" s="469" t="s">
        <v>214</v>
      </c>
      <c r="E1403" s="470"/>
      <c r="F1403" s="470"/>
      <c r="G1403" s="418">
        <f t="shared" ref="G1403" si="63">G1399+G1401</f>
        <v>19857.82</v>
      </c>
    </row>
  </sheetData>
  <mergeCells count="97">
    <mergeCell ref="A1360:G1360"/>
    <mergeCell ref="D1399:F1399"/>
    <mergeCell ref="D1403:F1403"/>
    <mergeCell ref="B1365:G1365"/>
    <mergeCell ref="A221:G221"/>
    <mergeCell ref="D260:F260"/>
    <mergeCell ref="D264:F264"/>
    <mergeCell ref="D658:F658"/>
    <mergeCell ref="D697:F697"/>
    <mergeCell ref="A265:G265"/>
    <mergeCell ref="D304:F304"/>
    <mergeCell ref="D308:F308"/>
    <mergeCell ref="A309:G309"/>
    <mergeCell ref="D348:F348"/>
    <mergeCell ref="A353:G353"/>
    <mergeCell ref="D352:F352"/>
    <mergeCell ref="D392:F392"/>
    <mergeCell ref="D396:F396"/>
    <mergeCell ref="A397:G397"/>
    <mergeCell ref="D436:F436"/>
    <mergeCell ref="D701:F701"/>
    <mergeCell ref="D440:F440"/>
    <mergeCell ref="A441:G441"/>
    <mergeCell ref="D480:F480"/>
    <mergeCell ref="D484:F484"/>
    <mergeCell ref="A485:G485"/>
    <mergeCell ref="D523:F523"/>
    <mergeCell ref="D527:F527"/>
    <mergeCell ref="A528:G528"/>
    <mergeCell ref="D567:F567"/>
    <mergeCell ref="D571:F571"/>
    <mergeCell ref="A572:G572"/>
    <mergeCell ref="A702:G702"/>
    <mergeCell ref="D741:F741"/>
    <mergeCell ref="A832:G832"/>
    <mergeCell ref="D871:F871"/>
    <mergeCell ref="D745:F745"/>
    <mergeCell ref="A746:G746"/>
    <mergeCell ref="D784:F784"/>
    <mergeCell ref="D788:F788"/>
    <mergeCell ref="A789:G789"/>
    <mergeCell ref="D827:F827"/>
    <mergeCell ref="D831:F831"/>
    <mergeCell ref="A1140:G1140"/>
    <mergeCell ref="D1179:F1179"/>
    <mergeCell ref="D1183:F1183"/>
    <mergeCell ref="A1184:G1184"/>
    <mergeCell ref="D959:F959"/>
    <mergeCell ref="D963:F963"/>
    <mergeCell ref="A1008:G1008"/>
    <mergeCell ref="D1047:F1047"/>
    <mergeCell ref="D1051:F1051"/>
    <mergeCell ref="D1003:F1003"/>
    <mergeCell ref="D1007:F1007"/>
    <mergeCell ref="D1095:F1095"/>
    <mergeCell ref="D1135:F1135"/>
    <mergeCell ref="D1139:F1139"/>
    <mergeCell ref="A1052:G1052"/>
    <mergeCell ref="D1091:F1091"/>
    <mergeCell ref="D1355:F1355"/>
    <mergeCell ref="D1359:F1359"/>
    <mergeCell ref="D1223:F1223"/>
    <mergeCell ref="D1227:F1227"/>
    <mergeCell ref="A1228:G1228"/>
    <mergeCell ref="D1267:F1267"/>
    <mergeCell ref="D1271:F1271"/>
    <mergeCell ref="A1272:G1272"/>
    <mergeCell ref="D1311:F1311"/>
    <mergeCell ref="D1315:F1315"/>
    <mergeCell ref="A1316:G1316"/>
    <mergeCell ref="A1:G1"/>
    <mergeCell ref="D40:F40"/>
    <mergeCell ref="D44:F44"/>
    <mergeCell ref="A45:G45"/>
    <mergeCell ref="D84:F84"/>
    <mergeCell ref="D88:F88"/>
    <mergeCell ref="A89:G89"/>
    <mergeCell ref="D128:F128"/>
    <mergeCell ref="D132:F132"/>
    <mergeCell ref="A133:G133"/>
    <mergeCell ref="D172:F172"/>
    <mergeCell ref="D176:F176"/>
    <mergeCell ref="A177:G177"/>
    <mergeCell ref="D216:F216"/>
    <mergeCell ref="D220:F220"/>
    <mergeCell ref="D611:F611"/>
    <mergeCell ref="D615:F615"/>
    <mergeCell ref="A616:G616"/>
    <mergeCell ref="D654:F654"/>
    <mergeCell ref="A659:G659"/>
    <mergeCell ref="A1096:G1096"/>
    <mergeCell ref="D875:F875"/>
    <mergeCell ref="A876:G876"/>
    <mergeCell ref="D915:F915"/>
    <mergeCell ref="D919:F919"/>
    <mergeCell ref="A920:G920"/>
    <mergeCell ref="A964:G964"/>
  </mergeCells>
  <pageMargins left="0.7" right="0.7" top="0.75" bottom="0.75" header="0" footer="0"/>
  <pageSetup orientation="landscape"/>
  <headerFooter>
    <oddHeader>&amp;L&amp;C&amp;R</oddHeader>
    <oddFooter>&amp;L&amp;C&amp;R</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2F311-42DF-44C2-9C2B-2E32F5C9BDA7}">
  <sheetPr>
    <tabColor rgb="FF00B050"/>
  </sheetPr>
  <dimension ref="B1:K252"/>
  <sheetViews>
    <sheetView view="pageBreakPreview" topLeftCell="A226" zoomScaleNormal="100" zoomScaleSheetLayoutView="100" workbookViewId="0">
      <selection activeCell="L31" sqref="L31"/>
    </sheetView>
  </sheetViews>
  <sheetFormatPr baseColWidth="10" defaultRowHeight="13.2"/>
  <cols>
    <col min="1" max="1" width="2.44140625" customWidth="1"/>
    <col min="2" max="2" width="31.44140625" customWidth="1"/>
    <col min="3" max="3" width="21.33203125" customWidth="1"/>
    <col min="4" max="4" width="15.6640625" customWidth="1"/>
    <col min="5" max="5" width="11.6640625" customWidth="1"/>
    <col min="7" max="11" width="0" hidden="1" customWidth="1"/>
  </cols>
  <sheetData>
    <row r="1" spans="2:6" ht="8.4" customHeight="1" thickBot="1"/>
    <row r="2" spans="2:6" ht="14.4" customHeight="1">
      <c r="B2" s="476" t="s">
        <v>947</v>
      </c>
      <c r="C2" s="477"/>
      <c r="D2" s="477"/>
      <c r="E2" s="477"/>
      <c r="F2" s="478"/>
    </row>
    <row r="3" spans="2:6">
      <c r="B3" s="231"/>
      <c r="C3" s="314"/>
      <c r="D3" s="314"/>
      <c r="E3" s="314"/>
      <c r="F3" s="232"/>
    </row>
    <row r="4" spans="2:6">
      <c r="B4" s="385" t="s">
        <v>919</v>
      </c>
      <c r="C4" s="301" t="s">
        <v>876</v>
      </c>
      <c r="D4" s="301" t="s">
        <v>907</v>
      </c>
      <c r="E4" s="485" t="s">
        <v>889</v>
      </c>
      <c r="F4" s="486"/>
    </row>
    <row r="5" spans="2:6">
      <c r="B5" s="341" t="s">
        <v>904</v>
      </c>
      <c r="C5" s="320" t="s">
        <v>647</v>
      </c>
      <c r="D5" s="321">
        <f>+(1.65+4.4+1.88*2)/4</f>
        <v>2.4525000000000001</v>
      </c>
      <c r="E5" s="331">
        <f>+D5*D6*D7</f>
        <v>0.28939500000000001</v>
      </c>
      <c r="F5" s="342"/>
    </row>
    <row r="6" spans="2:6">
      <c r="B6" s="341" t="s">
        <v>905</v>
      </c>
      <c r="C6" s="320" t="s">
        <v>647</v>
      </c>
      <c r="D6" s="321">
        <v>2.36</v>
      </c>
      <c r="E6" s="317"/>
      <c r="F6" s="343"/>
    </row>
    <row r="7" spans="2:6">
      <c r="B7" s="341" t="s">
        <v>906</v>
      </c>
      <c r="C7" s="320" t="s">
        <v>647</v>
      </c>
      <c r="D7" s="321">
        <v>0.05</v>
      </c>
      <c r="E7" s="318">
        <f>+D5*D6</f>
        <v>5.7878999999999996</v>
      </c>
      <c r="F7" s="386"/>
    </row>
    <row r="8" spans="2:6">
      <c r="B8" s="487"/>
      <c r="C8" s="488"/>
      <c r="D8" s="488"/>
      <c r="E8" s="488"/>
      <c r="F8" s="489"/>
    </row>
    <row r="9" spans="2:6">
      <c r="B9" s="490"/>
      <c r="C9" s="491"/>
      <c r="D9" s="491"/>
      <c r="E9" s="491"/>
      <c r="F9" s="492"/>
    </row>
    <row r="10" spans="2:6">
      <c r="B10" s="490"/>
      <c r="C10" s="491"/>
      <c r="D10" s="491"/>
      <c r="E10" s="491"/>
      <c r="F10" s="492"/>
    </row>
    <row r="11" spans="2:6">
      <c r="B11" s="490"/>
      <c r="C11" s="491"/>
      <c r="D11" s="491"/>
      <c r="E11" s="491"/>
      <c r="F11" s="492"/>
    </row>
    <row r="12" spans="2:6">
      <c r="B12" s="490"/>
      <c r="C12" s="491"/>
      <c r="D12" s="491"/>
      <c r="E12" s="491"/>
      <c r="F12" s="492"/>
    </row>
    <row r="13" spans="2:6">
      <c r="B13" s="490"/>
      <c r="C13" s="491"/>
      <c r="D13" s="491"/>
      <c r="E13" s="491"/>
      <c r="F13" s="492"/>
    </row>
    <row r="14" spans="2:6">
      <c r="B14" s="490"/>
      <c r="C14" s="491"/>
      <c r="D14" s="491"/>
      <c r="E14" s="491"/>
      <c r="F14" s="492"/>
    </row>
    <row r="15" spans="2:6">
      <c r="B15" s="490"/>
      <c r="C15" s="491"/>
      <c r="D15" s="491"/>
      <c r="E15" s="491"/>
      <c r="F15" s="492"/>
    </row>
    <row r="16" spans="2:6">
      <c r="B16" s="490"/>
      <c r="C16" s="491"/>
      <c r="D16" s="491"/>
      <c r="E16" s="491"/>
      <c r="F16" s="492"/>
    </row>
    <row r="17" spans="2:6">
      <c r="B17" s="490"/>
      <c r="C17" s="491"/>
      <c r="D17" s="491"/>
      <c r="E17" s="491"/>
      <c r="F17" s="492"/>
    </row>
    <row r="18" spans="2:6">
      <c r="B18" s="493"/>
      <c r="C18" s="494"/>
      <c r="D18" s="494"/>
      <c r="E18" s="494"/>
      <c r="F18" s="495"/>
    </row>
    <row r="19" spans="2:6">
      <c r="B19" s="231"/>
      <c r="C19" s="314"/>
      <c r="D19" s="314"/>
      <c r="E19" s="314"/>
      <c r="F19" s="232"/>
    </row>
    <row r="20" spans="2:6" ht="26.4">
      <c r="B20" s="385" t="s">
        <v>920</v>
      </c>
      <c r="C20" s="301" t="s">
        <v>876</v>
      </c>
      <c r="D20" s="301" t="s">
        <v>907</v>
      </c>
      <c r="E20" s="332" t="s">
        <v>877</v>
      </c>
      <c r="F20" s="387" t="s">
        <v>889</v>
      </c>
    </row>
    <row r="21" spans="2:6">
      <c r="B21" s="341" t="s">
        <v>904</v>
      </c>
      <c r="C21" s="320" t="s">
        <v>647</v>
      </c>
      <c r="D21" s="321">
        <v>1</v>
      </c>
      <c r="E21" s="481">
        <v>2</v>
      </c>
      <c r="F21" s="342">
        <f>+D21*D22*D23*E21</f>
        <v>2</v>
      </c>
    </row>
    <row r="22" spans="2:6">
      <c r="B22" s="341" t="s">
        <v>905</v>
      </c>
      <c r="C22" s="320" t="s">
        <v>647</v>
      </c>
      <c r="D22" s="321">
        <v>1</v>
      </c>
      <c r="E22" s="482"/>
      <c r="F22" s="343"/>
    </row>
    <row r="23" spans="2:6">
      <c r="B23" s="341" t="s">
        <v>906</v>
      </c>
      <c r="C23" s="320" t="s">
        <v>647</v>
      </c>
      <c r="D23" s="321">
        <v>1</v>
      </c>
      <c r="E23" s="496"/>
      <c r="F23" s="386"/>
    </row>
    <row r="24" spans="2:6">
      <c r="B24" s="341" t="s">
        <v>904</v>
      </c>
      <c r="C24" s="320" t="s">
        <v>647</v>
      </c>
      <c r="D24" s="321">
        <v>0.5</v>
      </c>
      <c r="E24" s="481">
        <v>2</v>
      </c>
      <c r="F24" s="342">
        <f>+D24*D25*D26*E24</f>
        <v>0.25</v>
      </c>
    </row>
    <row r="25" spans="2:6">
      <c r="B25" s="341" t="s">
        <v>905</v>
      </c>
      <c r="C25" s="320" t="s">
        <v>647</v>
      </c>
      <c r="D25" s="321">
        <v>0.5</v>
      </c>
      <c r="E25" s="482"/>
      <c r="F25" s="343"/>
    </row>
    <row r="26" spans="2:6">
      <c r="B26" s="341" t="s">
        <v>906</v>
      </c>
      <c r="C26" s="320" t="s">
        <v>647</v>
      </c>
      <c r="D26" s="321">
        <v>0.5</v>
      </c>
      <c r="E26" s="496"/>
      <c r="F26" s="388">
        <f>+F21+F24</f>
        <v>2.25</v>
      </c>
    </row>
    <row r="27" spans="2:6">
      <c r="B27" s="487"/>
      <c r="C27" s="488"/>
      <c r="D27" s="488"/>
      <c r="E27" s="488"/>
      <c r="F27" s="489"/>
    </row>
    <row r="28" spans="2:6">
      <c r="B28" s="490"/>
      <c r="C28" s="491"/>
      <c r="D28" s="491"/>
      <c r="E28" s="491"/>
      <c r="F28" s="492"/>
    </row>
    <row r="29" spans="2:6">
      <c r="B29" s="490"/>
      <c r="C29" s="491"/>
      <c r="D29" s="491"/>
      <c r="E29" s="491"/>
      <c r="F29" s="492"/>
    </row>
    <row r="30" spans="2:6">
      <c r="B30" s="490"/>
      <c r="C30" s="491"/>
      <c r="D30" s="491"/>
      <c r="E30" s="491"/>
      <c r="F30" s="492"/>
    </row>
    <row r="31" spans="2:6">
      <c r="B31" s="490"/>
      <c r="C31" s="491"/>
      <c r="D31" s="491"/>
      <c r="E31" s="491"/>
      <c r="F31" s="492"/>
    </row>
    <row r="32" spans="2:6">
      <c r="B32" s="490"/>
      <c r="C32" s="491"/>
      <c r="D32" s="491"/>
      <c r="E32" s="491"/>
      <c r="F32" s="492"/>
    </row>
    <row r="33" spans="2:6">
      <c r="B33" s="490"/>
      <c r="C33" s="491"/>
      <c r="D33" s="491"/>
      <c r="E33" s="491"/>
      <c r="F33" s="492"/>
    </row>
    <row r="34" spans="2:6">
      <c r="B34" s="490"/>
      <c r="C34" s="491"/>
      <c r="D34" s="491"/>
      <c r="E34" s="491"/>
      <c r="F34" s="492"/>
    </row>
    <row r="35" spans="2:6">
      <c r="B35" s="490"/>
      <c r="C35" s="491"/>
      <c r="D35" s="491"/>
      <c r="E35" s="491"/>
      <c r="F35" s="492"/>
    </row>
    <row r="36" spans="2:6">
      <c r="B36" s="490"/>
      <c r="C36" s="491"/>
      <c r="D36" s="491"/>
      <c r="E36" s="491"/>
      <c r="F36" s="492"/>
    </row>
    <row r="37" spans="2:6">
      <c r="B37" s="493"/>
      <c r="C37" s="494"/>
      <c r="D37" s="494"/>
      <c r="E37" s="494"/>
      <c r="F37" s="495"/>
    </row>
    <row r="38" spans="2:6" ht="13.8" thickBot="1">
      <c r="B38" s="231"/>
      <c r="C38" s="314"/>
      <c r="D38" s="314"/>
      <c r="E38" s="314"/>
      <c r="F38" s="232"/>
    </row>
    <row r="39" spans="2:6">
      <c r="B39" s="358" t="s">
        <v>921</v>
      </c>
      <c r="C39" s="359" t="s">
        <v>876</v>
      </c>
      <c r="D39" s="359" t="s">
        <v>907</v>
      </c>
      <c r="E39" s="479" t="s">
        <v>889</v>
      </c>
      <c r="F39" s="480"/>
    </row>
    <row r="40" spans="2:6">
      <c r="B40" s="341" t="s">
        <v>904</v>
      </c>
      <c r="C40" s="320" t="s">
        <v>647</v>
      </c>
      <c r="D40" s="321">
        <f>+D5</f>
        <v>2.4525000000000001</v>
      </c>
      <c r="E40" s="331">
        <f>+D40*D41*D42</f>
        <v>0.28939500000000001</v>
      </c>
      <c r="F40" s="342"/>
    </row>
    <row r="41" spans="2:6">
      <c r="B41" s="341" t="s">
        <v>905</v>
      </c>
      <c r="C41" s="320" t="s">
        <v>647</v>
      </c>
      <c r="D41" s="321">
        <f>+D6</f>
        <v>2.36</v>
      </c>
      <c r="E41" s="322"/>
      <c r="F41" s="360"/>
    </row>
    <row r="42" spans="2:6">
      <c r="B42" s="341" t="s">
        <v>906</v>
      </c>
      <c r="C42" s="320" t="s">
        <v>647</v>
      </c>
      <c r="D42" s="321">
        <f>+D7</f>
        <v>0.05</v>
      </c>
      <c r="E42" s="323"/>
      <c r="F42" s="361"/>
    </row>
    <row r="43" spans="2:6" ht="13.8" thickBot="1">
      <c r="B43" s="362"/>
      <c r="C43" s="324"/>
      <c r="D43" s="325"/>
      <c r="E43" s="326"/>
      <c r="F43" s="363"/>
    </row>
    <row r="44" spans="2:6">
      <c r="B44" s="336" t="s">
        <v>922</v>
      </c>
      <c r="C44" s="337" t="s">
        <v>876</v>
      </c>
      <c r="D44" s="338" t="s">
        <v>907</v>
      </c>
      <c r="E44" s="339" t="s">
        <v>877</v>
      </c>
      <c r="F44" s="340" t="s">
        <v>889</v>
      </c>
    </row>
    <row r="45" spans="2:6">
      <c r="B45" s="341" t="s">
        <v>904</v>
      </c>
      <c r="C45" s="320" t="s">
        <v>647</v>
      </c>
      <c r="D45" s="321">
        <v>1</v>
      </c>
      <c r="E45" s="481">
        <v>2</v>
      </c>
      <c r="F45" s="342">
        <f>+D45*D46*D47*E45</f>
        <v>2</v>
      </c>
    </row>
    <row r="46" spans="2:6">
      <c r="B46" s="341" t="s">
        <v>905</v>
      </c>
      <c r="C46" s="320" t="s">
        <v>647</v>
      </c>
      <c r="D46" s="321">
        <v>1</v>
      </c>
      <c r="E46" s="482"/>
      <c r="F46" s="343"/>
    </row>
    <row r="47" spans="2:6" ht="13.8" thickBot="1">
      <c r="B47" s="344" t="s">
        <v>906</v>
      </c>
      <c r="C47" s="345" t="s">
        <v>647</v>
      </c>
      <c r="D47" s="346">
        <v>1</v>
      </c>
      <c r="E47" s="483"/>
      <c r="F47" s="347"/>
    </row>
    <row r="48" spans="2:6">
      <c r="B48" s="336" t="s">
        <v>904</v>
      </c>
      <c r="C48" s="348" t="s">
        <v>647</v>
      </c>
      <c r="D48" s="349">
        <v>0.5</v>
      </c>
      <c r="E48" s="484">
        <v>2</v>
      </c>
      <c r="F48" s="350">
        <f>+D48*D49*D50*E48</f>
        <v>0.25</v>
      </c>
    </row>
    <row r="49" spans="2:6">
      <c r="B49" s="341" t="s">
        <v>905</v>
      </c>
      <c r="C49" s="320" t="s">
        <v>647</v>
      </c>
      <c r="D49" s="321">
        <v>0.5</v>
      </c>
      <c r="E49" s="482"/>
      <c r="F49" s="343"/>
    </row>
    <row r="50" spans="2:6" ht="13.8" thickBot="1">
      <c r="B50" s="344" t="s">
        <v>906</v>
      </c>
      <c r="C50" s="345" t="s">
        <v>647</v>
      </c>
      <c r="D50" s="346">
        <v>0.5</v>
      </c>
      <c r="E50" s="483"/>
      <c r="F50" s="351">
        <f>+F45+F48</f>
        <v>2.25</v>
      </c>
    </row>
    <row r="51" spans="2:6" ht="13.8" thickBot="1">
      <c r="B51" s="364"/>
      <c r="C51" s="352"/>
      <c r="D51" s="353"/>
      <c r="E51" s="334"/>
      <c r="F51" s="365"/>
    </row>
    <row r="52" spans="2:6">
      <c r="B52" s="336" t="s">
        <v>923</v>
      </c>
      <c r="C52" s="337" t="s">
        <v>876</v>
      </c>
      <c r="D52" s="338" t="s">
        <v>907</v>
      </c>
      <c r="E52" s="485" t="s">
        <v>889</v>
      </c>
      <c r="F52" s="486"/>
    </row>
    <row r="53" spans="2:6">
      <c r="B53" s="341" t="s">
        <v>928</v>
      </c>
      <c r="C53" s="320" t="s">
        <v>647</v>
      </c>
      <c r="D53" s="321">
        <v>2.9</v>
      </c>
      <c r="E53" s="331">
        <f>+D53*D54*D55</f>
        <v>0.46399999999999997</v>
      </c>
      <c r="F53" s="342"/>
    </row>
    <row r="54" spans="2:6">
      <c r="B54" s="341" t="s">
        <v>929</v>
      </c>
      <c r="C54" s="320" t="s">
        <v>647</v>
      </c>
      <c r="D54" s="321">
        <v>0.4</v>
      </c>
      <c r="E54" s="356"/>
      <c r="F54" s="343"/>
    </row>
    <row r="55" spans="2:6" ht="13.8" thickBot="1">
      <c r="B55" s="344" t="s">
        <v>930</v>
      </c>
      <c r="C55" s="345" t="s">
        <v>647</v>
      </c>
      <c r="D55" s="346">
        <v>0.4</v>
      </c>
      <c r="E55" s="357"/>
      <c r="F55" s="347"/>
    </row>
    <row r="56" spans="2:6">
      <c r="B56" s="341" t="s">
        <v>931</v>
      </c>
      <c r="C56" s="348" t="s">
        <v>647</v>
      </c>
      <c r="D56" s="349">
        <v>0.4</v>
      </c>
      <c r="E56" s="331">
        <f>+D56*D57*D58</f>
        <v>6.4000000000000015E-2</v>
      </c>
      <c r="F56" s="342"/>
    </row>
    <row r="57" spans="2:6">
      <c r="B57" s="341" t="s">
        <v>932</v>
      </c>
      <c r="C57" s="320" t="s">
        <v>647</v>
      </c>
      <c r="D57" s="321">
        <v>0.4</v>
      </c>
      <c r="E57" s="356"/>
      <c r="F57" s="343"/>
    </row>
    <row r="58" spans="2:6" ht="13.8" thickBot="1">
      <c r="B58" s="344" t="s">
        <v>933</v>
      </c>
      <c r="C58" s="345" t="s">
        <v>647</v>
      </c>
      <c r="D58" s="346">
        <v>0.4</v>
      </c>
      <c r="E58" s="357"/>
      <c r="F58" s="351">
        <f>+E53+E56</f>
        <v>0.52800000000000002</v>
      </c>
    </row>
    <row r="59" spans="2:6" ht="13.8" thickBot="1">
      <c r="B59" s="513" t="s">
        <v>924</v>
      </c>
      <c r="C59" s="514"/>
      <c r="D59" s="514"/>
      <c r="E59" s="514"/>
      <c r="F59" s="351">
        <f>+E40+F50+F58</f>
        <v>3.0673949999999999</v>
      </c>
    </row>
    <row r="60" spans="2:6">
      <c r="B60" s="490"/>
      <c r="C60" s="491"/>
      <c r="D60" s="491"/>
      <c r="E60" s="491"/>
      <c r="F60" s="492"/>
    </row>
    <row r="61" spans="2:6">
      <c r="B61" s="490"/>
      <c r="C61" s="491"/>
      <c r="D61" s="491"/>
      <c r="E61" s="491"/>
      <c r="F61" s="492"/>
    </row>
    <row r="62" spans="2:6">
      <c r="B62" s="490"/>
      <c r="C62" s="491"/>
      <c r="D62" s="491"/>
      <c r="E62" s="491"/>
      <c r="F62" s="492"/>
    </row>
    <row r="63" spans="2:6">
      <c r="B63" s="490"/>
      <c r="C63" s="491"/>
      <c r="D63" s="491"/>
      <c r="E63" s="491"/>
      <c r="F63" s="492"/>
    </row>
    <row r="64" spans="2:6">
      <c r="B64" s="490"/>
      <c r="C64" s="491"/>
      <c r="D64" s="491"/>
      <c r="E64" s="491"/>
      <c r="F64" s="492"/>
    </row>
    <row r="65" spans="2:6">
      <c r="B65" s="490"/>
      <c r="C65" s="491"/>
      <c r="D65" s="491"/>
      <c r="E65" s="491"/>
      <c r="F65" s="492"/>
    </row>
    <row r="66" spans="2:6">
      <c r="B66" s="490"/>
      <c r="C66" s="491"/>
      <c r="D66" s="491"/>
      <c r="E66" s="491"/>
      <c r="F66" s="492"/>
    </row>
    <row r="67" spans="2:6">
      <c r="B67" s="490"/>
      <c r="C67" s="491"/>
      <c r="D67" s="491"/>
      <c r="E67" s="491"/>
      <c r="F67" s="492"/>
    </row>
    <row r="68" spans="2:6">
      <c r="B68" s="490"/>
      <c r="C68" s="491"/>
      <c r="D68" s="491"/>
      <c r="E68" s="491"/>
      <c r="F68" s="492"/>
    </row>
    <row r="69" spans="2:6">
      <c r="B69" s="490"/>
      <c r="C69" s="491"/>
      <c r="D69" s="491"/>
      <c r="E69" s="491"/>
      <c r="F69" s="492"/>
    </row>
    <row r="70" spans="2:6">
      <c r="B70" s="493"/>
      <c r="C70" s="494"/>
      <c r="D70" s="494"/>
      <c r="E70" s="494"/>
      <c r="F70" s="495"/>
    </row>
    <row r="71" spans="2:6" ht="13.8" thickBot="1">
      <c r="B71" s="231"/>
      <c r="C71" s="314"/>
      <c r="D71" s="314"/>
      <c r="E71" s="314"/>
      <c r="F71" s="232"/>
    </row>
    <row r="72" spans="2:6">
      <c r="B72" s="358" t="s">
        <v>927</v>
      </c>
      <c r="C72" s="359" t="s">
        <v>876</v>
      </c>
      <c r="D72" s="359" t="s">
        <v>907</v>
      </c>
      <c r="E72" s="479" t="s">
        <v>910</v>
      </c>
      <c r="F72" s="480" t="s">
        <v>911</v>
      </c>
    </row>
    <row r="73" spans="2:6">
      <c r="B73" s="341" t="s">
        <v>928</v>
      </c>
      <c r="C73" s="320" t="s">
        <v>647</v>
      </c>
      <c r="D73" s="321">
        <v>2.9</v>
      </c>
      <c r="E73" s="333" t="s">
        <v>934</v>
      </c>
      <c r="F73" s="367" t="s">
        <v>913</v>
      </c>
    </row>
    <row r="74" spans="2:6">
      <c r="B74" s="341" t="s">
        <v>929</v>
      </c>
      <c r="C74" s="320" t="s">
        <v>647</v>
      </c>
      <c r="D74" s="321">
        <v>0.4</v>
      </c>
      <c r="E74" s="354">
        <v>0.5625</v>
      </c>
      <c r="F74" s="368">
        <v>1.5625</v>
      </c>
    </row>
    <row r="75" spans="2:6" ht="13.8" thickBot="1">
      <c r="B75" s="344" t="s">
        <v>930</v>
      </c>
      <c r="C75" s="345" t="s">
        <v>647</v>
      </c>
      <c r="D75" s="346">
        <v>0.4</v>
      </c>
      <c r="E75" s="355">
        <v>0.05</v>
      </c>
      <c r="F75" s="369">
        <v>7.4999999999999997E-2</v>
      </c>
    </row>
    <row r="76" spans="2:6">
      <c r="B76" s="341" t="s">
        <v>931</v>
      </c>
      <c r="C76" s="320" t="s">
        <v>647</v>
      </c>
      <c r="D76" s="321">
        <v>0.4</v>
      </c>
      <c r="E76" s="315" t="s">
        <v>934</v>
      </c>
      <c r="F76" s="370" t="s">
        <v>913</v>
      </c>
    </row>
    <row r="77" spans="2:6">
      <c r="B77" s="341" t="s">
        <v>932</v>
      </c>
      <c r="C77" s="320" t="s">
        <v>647</v>
      </c>
      <c r="D77" s="321">
        <v>0.4</v>
      </c>
      <c r="E77" s="322">
        <v>0.5625</v>
      </c>
      <c r="F77" s="371">
        <v>1.5625</v>
      </c>
    </row>
    <row r="78" spans="2:6" ht="13.8" thickBot="1">
      <c r="B78" s="344" t="s">
        <v>933</v>
      </c>
      <c r="C78" s="345" t="s">
        <v>647</v>
      </c>
      <c r="D78" s="346">
        <v>0.4</v>
      </c>
      <c r="E78" s="372">
        <v>0.05</v>
      </c>
      <c r="F78" s="373">
        <v>7.4999999999999997E-2</v>
      </c>
    </row>
    <row r="79" spans="2:6">
      <c r="B79" s="364"/>
      <c r="C79" s="352"/>
      <c r="D79" s="353"/>
      <c r="E79" s="326"/>
      <c r="F79" s="363"/>
    </row>
    <row r="80" spans="2:6" ht="26.4">
      <c r="B80" s="362" t="s">
        <v>940</v>
      </c>
      <c r="C80" s="374" t="s">
        <v>916</v>
      </c>
      <c r="D80" s="375" t="s">
        <v>937</v>
      </c>
      <c r="E80" s="375" t="s">
        <v>936</v>
      </c>
      <c r="F80" s="378" t="s">
        <v>938</v>
      </c>
    </row>
    <row r="81" spans="2:6">
      <c r="B81" s="341" t="s">
        <v>935</v>
      </c>
      <c r="C81" s="320">
        <v>4</v>
      </c>
      <c r="D81" s="321">
        <f>+(D73+D45)-E75-F75+0.25*2</f>
        <v>4.2750000000000004</v>
      </c>
      <c r="E81" s="329">
        <f>D74-E75*2-0.1</f>
        <v>0.20000000000000004</v>
      </c>
      <c r="F81" s="379">
        <f>C81*(D81+E81*2)*F74</f>
        <v>29.218750000000004</v>
      </c>
    </row>
    <row r="82" spans="2:6">
      <c r="B82" s="341" t="s">
        <v>939</v>
      </c>
      <c r="C82" s="376">
        <f>+_xlfn.CEILING.MATH(((D73+D45)-E75-F75)/0.15,1)</f>
        <v>26</v>
      </c>
      <c r="D82" s="321">
        <f>+D74-E78*2</f>
        <v>0.30000000000000004</v>
      </c>
      <c r="E82" s="329">
        <v>0.1</v>
      </c>
      <c r="F82" s="380">
        <f>+C82*(D82*4+E82*2)*E74</f>
        <v>20.475000000000001</v>
      </c>
    </row>
    <row r="83" spans="2:6" ht="26.4">
      <c r="B83" s="362" t="s">
        <v>941</v>
      </c>
      <c r="C83" s="374" t="s">
        <v>916</v>
      </c>
      <c r="D83" s="375" t="s">
        <v>937</v>
      </c>
      <c r="E83" s="375" t="s">
        <v>936</v>
      </c>
      <c r="F83" s="378" t="s">
        <v>938</v>
      </c>
    </row>
    <row r="84" spans="2:6">
      <c r="B84" s="341" t="s">
        <v>942</v>
      </c>
      <c r="C84" s="320">
        <v>4</v>
      </c>
      <c r="D84" s="321">
        <f>+(D76+D45)-E78-F78+0.25*2</f>
        <v>1.7749999999999999</v>
      </c>
      <c r="E84" s="329">
        <f>D76-E78*2</f>
        <v>0.30000000000000004</v>
      </c>
      <c r="F84" s="379">
        <f>C84*(D84+E84*2)*F77</f>
        <v>14.84375</v>
      </c>
    </row>
    <row r="85" spans="2:6">
      <c r="B85" s="341" t="s">
        <v>943</v>
      </c>
      <c r="C85" s="376">
        <f>+_xlfn.CEILING.MATH(((D76+D45)-E78-F78)/0.15,1)</f>
        <v>9</v>
      </c>
      <c r="D85" s="321">
        <f>+D77-E78*2</f>
        <v>0.30000000000000004</v>
      </c>
      <c r="E85" s="329">
        <v>0.1</v>
      </c>
      <c r="F85" s="380">
        <f>+C85*(D85*4+E85*2)*E77</f>
        <v>7.0875000000000004</v>
      </c>
    </row>
    <row r="86" spans="2:6">
      <c r="B86" s="362"/>
      <c r="C86" s="377"/>
      <c r="D86" s="325"/>
      <c r="E86" s="335"/>
      <c r="F86" s="342"/>
    </row>
    <row r="87" spans="2:6" ht="26.4">
      <c r="B87" s="362" t="s">
        <v>945</v>
      </c>
      <c r="C87" s="374" t="s">
        <v>916</v>
      </c>
      <c r="D87" s="375" t="s">
        <v>937</v>
      </c>
      <c r="E87" s="375" t="s">
        <v>936</v>
      </c>
      <c r="F87" s="378" t="s">
        <v>938</v>
      </c>
    </row>
    <row r="88" spans="2:6">
      <c r="B88" s="341" t="s">
        <v>942</v>
      </c>
      <c r="C88" s="320">
        <v>0.85</v>
      </c>
      <c r="D88" s="321">
        <f>_xlfn.CEILING.MATH(0.85/0.2+1,1)</f>
        <v>6</v>
      </c>
      <c r="E88" s="329">
        <v>0.25</v>
      </c>
      <c r="F88" s="379">
        <f>C88*(D88+E88*2)*F74</f>
        <v>8.6328125</v>
      </c>
    </row>
    <row r="89" spans="2:6">
      <c r="B89" s="341" t="s">
        <v>943</v>
      </c>
      <c r="C89" s="376">
        <f>+C88</f>
        <v>0.85</v>
      </c>
      <c r="D89" s="321">
        <f>_xlfn.CEILING.MATH(0.85/0.2+1,1)</f>
        <v>6</v>
      </c>
      <c r="E89" s="329">
        <v>0.25</v>
      </c>
      <c r="F89" s="379">
        <f>C89*(D89+E89*2)*F74</f>
        <v>8.6328125</v>
      </c>
    </row>
    <row r="90" spans="2:6" ht="13.8" thickBot="1">
      <c r="B90" s="515" t="s">
        <v>944</v>
      </c>
      <c r="C90" s="516"/>
      <c r="D90" s="516"/>
      <c r="E90" s="516"/>
      <c r="F90" s="381">
        <f>+F81+F82+F84+F85+F88+F89</f>
        <v>88.890625000000014</v>
      </c>
    </row>
    <row r="91" spans="2:6">
      <c r="B91" s="490"/>
      <c r="C91" s="491"/>
      <c r="D91" s="491"/>
      <c r="E91" s="491"/>
      <c r="F91" s="492"/>
    </row>
    <row r="92" spans="2:6">
      <c r="B92" s="490"/>
      <c r="C92" s="491"/>
      <c r="D92" s="491"/>
      <c r="E92" s="491"/>
      <c r="F92" s="492"/>
    </row>
    <row r="93" spans="2:6">
      <c r="B93" s="490"/>
      <c r="C93" s="491"/>
      <c r="D93" s="491"/>
      <c r="E93" s="491"/>
      <c r="F93" s="492"/>
    </row>
    <row r="94" spans="2:6">
      <c r="B94" s="490"/>
      <c r="C94" s="491"/>
      <c r="D94" s="491"/>
      <c r="E94" s="491"/>
      <c r="F94" s="492"/>
    </row>
    <row r="95" spans="2:6">
      <c r="B95" s="490"/>
      <c r="C95" s="491"/>
      <c r="D95" s="491"/>
      <c r="E95" s="491"/>
      <c r="F95" s="492"/>
    </row>
    <row r="96" spans="2:6">
      <c r="B96" s="490"/>
      <c r="C96" s="491"/>
      <c r="D96" s="491"/>
      <c r="E96" s="491"/>
      <c r="F96" s="492"/>
    </row>
    <row r="97" spans="2:6">
      <c r="B97" s="490"/>
      <c r="C97" s="491"/>
      <c r="D97" s="491"/>
      <c r="E97" s="491"/>
      <c r="F97" s="492"/>
    </row>
    <row r="98" spans="2:6">
      <c r="B98" s="490"/>
      <c r="C98" s="491"/>
      <c r="D98" s="491"/>
      <c r="E98" s="491"/>
      <c r="F98" s="492"/>
    </row>
    <row r="99" spans="2:6">
      <c r="B99" s="490"/>
      <c r="C99" s="491"/>
      <c r="D99" s="491"/>
      <c r="E99" s="491"/>
      <c r="F99" s="492"/>
    </row>
    <row r="100" spans="2:6">
      <c r="B100" s="490"/>
      <c r="C100" s="491"/>
      <c r="D100" s="491"/>
      <c r="E100" s="491"/>
      <c r="F100" s="492"/>
    </row>
    <row r="101" spans="2:6">
      <c r="B101" s="493"/>
      <c r="C101" s="494"/>
      <c r="D101" s="494"/>
      <c r="E101" s="494"/>
      <c r="F101" s="495"/>
    </row>
    <row r="102" spans="2:6" ht="13.8" thickBot="1">
      <c r="B102" s="389"/>
      <c r="C102" s="382"/>
      <c r="D102" s="382"/>
      <c r="E102" s="382"/>
      <c r="F102" s="390"/>
    </row>
    <row r="103" spans="2:6">
      <c r="B103" s="358" t="s">
        <v>946</v>
      </c>
      <c r="C103" s="359" t="s">
        <v>876</v>
      </c>
      <c r="D103" s="359" t="s">
        <v>907</v>
      </c>
      <c r="E103" s="517" t="s">
        <v>889</v>
      </c>
      <c r="F103" s="518"/>
    </row>
    <row r="104" spans="2:6" ht="13.2" customHeight="1">
      <c r="B104" s="341" t="s">
        <v>904</v>
      </c>
      <c r="C104" s="320" t="s">
        <v>647</v>
      </c>
      <c r="D104" s="321">
        <f>9.1+0.3</f>
        <v>9.4</v>
      </c>
      <c r="E104" s="316">
        <f>+D104*D105</f>
        <v>37.6</v>
      </c>
      <c r="F104" s="342"/>
    </row>
    <row r="105" spans="2:6" ht="13.2" customHeight="1" thickBot="1">
      <c r="B105" s="344" t="s">
        <v>905</v>
      </c>
      <c r="C105" s="345" t="s">
        <v>647</v>
      </c>
      <c r="D105" s="346">
        <f>3.7+0.3</f>
        <v>4</v>
      </c>
      <c r="E105" s="383"/>
      <c r="F105" s="384"/>
    </row>
    <row r="106" spans="2:6">
      <c r="B106" s="231"/>
      <c r="C106" s="314"/>
      <c r="D106" s="314"/>
      <c r="E106" s="314"/>
      <c r="F106" s="232"/>
    </row>
    <row r="107" spans="2:6">
      <c r="B107" s="385" t="s">
        <v>903</v>
      </c>
      <c r="C107" s="301" t="s">
        <v>876</v>
      </c>
      <c r="D107" s="301" t="s">
        <v>907</v>
      </c>
      <c r="E107" s="500" t="s">
        <v>889</v>
      </c>
      <c r="F107" s="501"/>
    </row>
    <row r="108" spans="2:6" ht="13.2" customHeight="1">
      <c r="B108" s="341" t="s">
        <v>904</v>
      </c>
      <c r="C108" s="320" t="s">
        <v>647</v>
      </c>
      <c r="D108" s="321">
        <f>9.1+0.3</f>
        <v>9.4</v>
      </c>
      <c r="E108" s="316">
        <f>+D108*D109*D110</f>
        <v>22.56</v>
      </c>
      <c r="F108" s="342"/>
    </row>
    <row r="109" spans="2:6">
      <c r="B109" s="341" t="s">
        <v>905</v>
      </c>
      <c r="C109" s="320" t="s">
        <v>647</v>
      </c>
      <c r="D109" s="321">
        <f>3.7+0.3</f>
        <v>4</v>
      </c>
      <c r="E109" s="317"/>
      <c r="F109" s="343"/>
    </row>
    <row r="110" spans="2:6">
      <c r="B110" s="341" t="s">
        <v>906</v>
      </c>
      <c r="C110" s="320" t="s">
        <v>647</v>
      </c>
      <c r="D110" s="321">
        <v>0.6</v>
      </c>
      <c r="E110" s="318" t="s">
        <v>908</v>
      </c>
      <c r="F110" s="391">
        <f>+E108*0.2</f>
        <v>4.5119999999999996</v>
      </c>
    </row>
    <row r="111" spans="2:6">
      <c r="B111" s="487"/>
      <c r="C111" s="488"/>
      <c r="D111" s="488"/>
      <c r="E111" s="488"/>
      <c r="F111" s="489"/>
    </row>
    <row r="112" spans="2:6">
      <c r="B112" s="490"/>
      <c r="C112" s="491"/>
      <c r="D112" s="491"/>
      <c r="E112" s="491"/>
      <c r="F112" s="492"/>
    </row>
    <row r="113" spans="2:6">
      <c r="B113" s="490"/>
      <c r="C113" s="491"/>
      <c r="D113" s="491"/>
      <c r="E113" s="491"/>
      <c r="F113" s="492"/>
    </row>
    <row r="114" spans="2:6">
      <c r="B114" s="490"/>
      <c r="C114" s="491"/>
      <c r="D114" s="491"/>
      <c r="E114" s="491"/>
      <c r="F114" s="492"/>
    </row>
    <row r="115" spans="2:6">
      <c r="B115" s="490"/>
      <c r="C115" s="491"/>
      <c r="D115" s="491"/>
      <c r="E115" s="491"/>
      <c r="F115" s="492"/>
    </row>
    <row r="116" spans="2:6">
      <c r="B116" s="490"/>
      <c r="C116" s="491"/>
      <c r="D116" s="491"/>
      <c r="E116" s="491"/>
      <c r="F116" s="492"/>
    </row>
    <row r="117" spans="2:6">
      <c r="B117" s="490"/>
      <c r="C117" s="491"/>
      <c r="D117" s="491"/>
      <c r="E117" s="491"/>
      <c r="F117" s="492"/>
    </row>
    <row r="118" spans="2:6">
      <c r="B118" s="490"/>
      <c r="C118" s="491"/>
      <c r="D118" s="491"/>
      <c r="E118" s="491"/>
      <c r="F118" s="492"/>
    </row>
    <row r="119" spans="2:6">
      <c r="B119" s="490"/>
      <c r="C119" s="491"/>
      <c r="D119" s="491"/>
      <c r="E119" s="491"/>
      <c r="F119" s="492"/>
    </row>
    <row r="120" spans="2:6">
      <c r="B120" s="490"/>
      <c r="C120" s="491"/>
      <c r="D120" s="491"/>
      <c r="E120" s="491"/>
      <c r="F120" s="492"/>
    </row>
    <row r="121" spans="2:6">
      <c r="B121" s="493"/>
      <c r="C121" s="494"/>
      <c r="D121" s="494"/>
      <c r="E121" s="494"/>
      <c r="F121" s="495"/>
    </row>
    <row r="122" spans="2:6">
      <c r="B122" s="231"/>
      <c r="C122" s="314"/>
      <c r="D122" s="314"/>
      <c r="E122" s="314"/>
      <c r="F122" s="232"/>
    </row>
    <row r="123" spans="2:6" ht="26.4">
      <c r="B123" s="385" t="s">
        <v>909</v>
      </c>
      <c r="C123" s="301" t="s">
        <v>876</v>
      </c>
      <c r="D123" s="301" t="s">
        <v>907</v>
      </c>
      <c r="E123" s="485" t="s">
        <v>889</v>
      </c>
      <c r="F123" s="486"/>
    </row>
    <row r="124" spans="2:6">
      <c r="B124" s="341" t="s">
        <v>904</v>
      </c>
      <c r="C124" s="320" t="s">
        <v>647</v>
      </c>
      <c r="D124" s="321">
        <f>9.1</f>
        <v>9.1</v>
      </c>
      <c r="E124" s="316">
        <f>+D124*D125*D126</f>
        <v>1.6835000000000002</v>
      </c>
      <c r="F124" s="342"/>
    </row>
    <row r="125" spans="2:6">
      <c r="B125" s="341" t="s">
        <v>905</v>
      </c>
      <c r="C125" s="320" t="s">
        <v>647</v>
      </c>
      <c r="D125" s="321">
        <f>3.7</f>
        <v>3.7</v>
      </c>
      <c r="E125" s="317"/>
      <c r="F125" s="343"/>
    </row>
    <row r="126" spans="2:6">
      <c r="B126" s="341" t="s">
        <v>906</v>
      </c>
      <c r="C126" s="320" t="s">
        <v>647</v>
      </c>
      <c r="D126" s="321">
        <v>0.05</v>
      </c>
      <c r="E126" s="318"/>
      <c r="F126" s="391"/>
    </row>
    <row r="127" spans="2:6">
      <c r="B127" s="487"/>
      <c r="C127" s="488"/>
      <c r="D127" s="488"/>
      <c r="E127" s="488"/>
      <c r="F127" s="489"/>
    </row>
    <row r="128" spans="2:6">
      <c r="B128" s="490"/>
      <c r="C128" s="491"/>
      <c r="D128" s="491"/>
      <c r="E128" s="491"/>
      <c r="F128" s="492"/>
    </row>
    <row r="129" spans="2:6">
      <c r="B129" s="490"/>
      <c r="C129" s="491"/>
      <c r="D129" s="491"/>
      <c r="E129" s="491"/>
      <c r="F129" s="492"/>
    </row>
    <row r="130" spans="2:6">
      <c r="B130" s="490"/>
      <c r="C130" s="491"/>
      <c r="D130" s="491"/>
      <c r="E130" s="491"/>
      <c r="F130" s="492"/>
    </row>
    <row r="131" spans="2:6">
      <c r="B131" s="490"/>
      <c r="C131" s="491"/>
      <c r="D131" s="491"/>
      <c r="E131" s="491"/>
      <c r="F131" s="492"/>
    </row>
    <row r="132" spans="2:6">
      <c r="B132" s="490"/>
      <c r="C132" s="491"/>
      <c r="D132" s="491"/>
      <c r="E132" s="491"/>
      <c r="F132" s="492"/>
    </row>
    <row r="133" spans="2:6">
      <c r="B133" s="490"/>
      <c r="C133" s="491"/>
      <c r="D133" s="491"/>
      <c r="E133" s="491"/>
      <c r="F133" s="492"/>
    </row>
    <row r="134" spans="2:6">
      <c r="B134" s="490"/>
      <c r="C134" s="491"/>
      <c r="D134" s="491"/>
      <c r="E134" s="491"/>
      <c r="F134" s="492"/>
    </row>
    <row r="135" spans="2:6">
      <c r="B135" s="490"/>
      <c r="C135" s="491"/>
      <c r="D135" s="491"/>
      <c r="E135" s="491"/>
      <c r="F135" s="492"/>
    </row>
    <row r="136" spans="2:6">
      <c r="B136" s="490"/>
      <c r="C136" s="491"/>
      <c r="D136" s="491"/>
      <c r="E136" s="491"/>
      <c r="F136" s="492"/>
    </row>
    <row r="137" spans="2:6">
      <c r="B137" s="493"/>
      <c r="C137" s="494"/>
      <c r="D137" s="494"/>
      <c r="E137" s="494"/>
      <c r="F137" s="495"/>
    </row>
    <row r="138" spans="2:6">
      <c r="B138" s="231"/>
      <c r="C138" s="314"/>
      <c r="D138" s="314"/>
      <c r="E138" s="314"/>
      <c r="F138" s="232"/>
    </row>
    <row r="139" spans="2:6" ht="26.4">
      <c r="B139" s="385" t="s">
        <v>925</v>
      </c>
      <c r="C139" s="301" t="s">
        <v>876</v>
      </c>
      <c r="D139" s="301" t="s">
        <v>907</v>
      </c>
      <c r="E139" s="301" t="s">
        <v>910</v>
      </c>
      <c r="F139" s="392" t="s">
        <v>911</v>
      </c>
    </row>
    <row r="140" spans="2:6">
      <c r="B140" s="341" t="s">
        <v>904</v>
      </c>
      <c r="C140" s="320" t="s">
        <v>647</v>
      </c>
      <c r="D140" s="321">
        <f>9.1</f>
        <v>9.1</v>
      </c>
      <c r="E140" s="316" t="s">
        <v>912</v>
      </c>
      <c r="F140" s="366" t="s">
        <v>913</v>
      </c>
    </row>
    <row r="141" spans="2:6">
      <c r="B141" s="341" t="s">
        <v>905</v>
      </c>
      <c r="C141" s="320" t="s">
        <v>647</v>
      </c>
      <c r="D141" s="321">
        <f>3.7</f>
        <v>3.7</v>
      </c>
      <c r="E141" s="322">
        <v>0.99399999999999999</v>
      </c>
      <c r="F141" s="360">
        <v>1.5625</v>
      </c>
    </row>
    <row r="142" spans="2:6">
      <c r="B142" s="341" t="s">
        <v>906</v>
      </c>
      <c r="C142" s="320" t="s">
        <v>647</v>
      </c>
      <c r="D142" s="321">
        <v>0.2</v>
      </c>
      <c r="E142" s="323">
        <v>0.05</v>
      </c>
      <c r="F142" s="361">
        <v>7.4999999999999997E-2</v>
      </c>
    </row>
    <row r="143" spans="2:6">
      <c r="B143" s="362"/>
      <c r="C143" s="324"/>
      <c r="D143" s="325"/>
      <c r="E143" s="326"/>
      <c r="F143" s="363"/>
    </row>
    <row r="144" spans="2:6">
      <c r="B144" s="362"/>
      <c r="C144" s="327" t="s">
        <v>916</v>
      </c>
      <c r="D144" s="328" t="s">
        <v>917</v>
      </c>
      <c r="E144" s="330" t="s">
        <v>918</v>
      </c>
      <c r="F144" s="363"/>
    </row>
    <row r="145" spans="2:6">
      <c r="B145" s="341" t="s">
        <v>914</v>
      </c>
      <c r="C145" s="320">
        <f>CEILING((D140-F142*2)/0.25+1,1)</f>
        <v>37</v>
      </c>
      <c r="D145" s="321">
        <v>2</v>
      </c>
      <c r="E145" s="329">
        <f>+D141*E141*C145*D145</f>
        <v>272.15719999999999</v>
      </c>
      <c r="F145" s="393"/>
    </row>
    <row r="146" spans="2:6">
      <c r="B146" s="341" t="s">
        <v>915</v>
      </c>
      <c r="C146" s="320">
        <f>CEILING((D141-F143*2)/0.25+1,1)</f>
        <v>16</v>
      </c>
      <c r="D146" s="321">
        <v>2</v>
      </c>
      <c r="E146" s="329">
        <f>+D140*F141*C146*D146</f>
        <v>455</v>
      </c>
      <c r="F146" s="380">
        <f>+E145+E146</f>
        <v>727.15719999999999</v>
      </c>
    </row>
    <row r="147" spans="2:6">
      <c r="B147" s="487"/>
      <c r="C147" s="488"/>
      <c r="D147" s="488"/>
      <c r="E147" s="488"/>
      <c r="F147" s="489"/>
    </row>
    <row r="148" spans="2:6">
      <c r="B148" s="490"/>
      <c r="C148" s="491"/>
      <c r="D148" s="491"/>
      <c r="E148" s="491"/>
      <c r="F148" s="492"/>
    </row>
    <row r="149" spans="2:6">
      <c r="B149" s="490"/>
      <c r="C149" s="491"/>
      <c r="D149" s="491"/>
      <c r="E149" s="491"/>
      <c r="F149" s="492"/>
    </row>
    <row r="150" spans="2:6">
      <c r="B150" s="490"/>
      <c r="C150" s="491"/>
      <c r="D150" s="491"/>
      <c r="E150" s="491"/>
      <c r="F150" s="492"/>
    </row>
    <row r="151" spans="2:6">
      <c r="B151" s="490"/>
      <c r="C151" s="491"/>
      <c r="D151" s="491"/>
      <c r="E151" s="491"/>
      <c r="F151" s="492"/>
    </row>
    <row r="152" spans="2:6">
      <c r="B152" s="490"/>
      <c r="C152" s="491"/>
      <c r="D152" s="491"/>
      <c r="E152" s="491"/>
      <c r="F152" s="492"/>
    </row>
    <row r="153" spans="2:6">
      <c r="B153" s="490"/>
      <c r="C153" s="491"/>
      <c r="D153" s="491"/>
      <c r="E153" s="491"/>
      <c r="F153" s="492"/>
    </row>
    <row r="154" spans="2:6">
      <c r="B154" s="490"/>
      <c r="C154" s="491"/>
      <c r="D154" s="491"/>
      <c r="E154" s="491"/>
      <c r="F154" s="492"/>
    </row>
    <row r="155" spans="2:6">
      <c r="B155" s="490"/>
      <c r="C155" s="491"/>
      <c r="D155" s="491"/>
      <c r="E155" s="491"/>
      <c r="F155" s="492"/>
    </row>
    <row r="156" spans="2:6">
      <c r="B156" s="490"/>
      <c r="C156" s="491"/>
      <c r="D156" s="491"/>
      <c r="E156" s="491"/>
      <c r="F156" s="492"/>
    </row>
    <row r="157" spans="2:6">
      <c r="B157" s="493"/>
      <c r="C157" s="494"/>
      <c r="D157" s="494"/>
      <c r="E157" s="494"/>
      <c r="F157" s="495"/>
    </row>
    <row r="158" spans="2:6">
      <c r="B158" s="231"/>
      <c r="C158" s="314"/>
      <c r="D158" s="314"/>
      <c r="E158" s="314"/>
      <c r="F158" s="232"/>
    </row>
    <row r="159" spans="2:6">
      <c r="B159" s="385" t="s">
        <v>926</v>
      </c>
      <c r="C159" s="301" t="s">
        <v>876</v>
      </c>
      <c r="D159" s="301" t="s">
        <v>907</v>
      </c>
      <c r="E159" s="485" t="s">
        <v>889</v>
      </c>
      <c r="F159" s="486"/>
    </row>
    <row r="160" spans="2:6">
      <c r="B160" s="341" t="s">
        <v>904</v>
      </c>
      <c r="C160" s="320" t="s">
        <v>647</v>
      </c>
      <c r="D160" s="321">
        <f>9.1</f>
        <v>9.1</v>
      </c>
      <c r="E160" s="316">
        <f>+D160*D161*D162</f>
        <v>6.7340000000000009</v>
      </c>
      <c r="F160" s="342"/>
    </row>
    <row r="161" spans="2:6">
      <c r="B161" s="341" t="s">
        <v>905</v>
      </c>
      <c r="C161" s="320" t="s">
        <v>647</v>
      </c>
      <c r="D161" s="321">
        <f>3.7</f>
        <v>3.7</v>
      </c>
      <c r="E161" s="317"/>
      <c r="F161" s="343"/>
    </row>
    <row r="162" spans="2:6">
      <c r="B162" s="341" t="s">
        <v>906</v>
      </c>
      <c r="C162" s="320" t="s">
        <v>647</v>
      </c>
      <c r="D162" s="321">
        <v>0.2</v>
      </c>
      <c r="E162" s="318"/>
      <c r="F162" s="391"/>
    </row>
    <row r="163" spans="2:6">
      <c r="B163" s="487"/>
      <c r="C163" s="488"/>
      <c r="D163" s="488"/>
      <c r="E163" s="488"/>
      <c r="F163" s="489"/>
    </row>
    <row r="164" spans="2:6">
      <c r="B164" s="490"/>
      <c r="C164" s="491"/>
      <c r="D164" s="491"/>
      <c r="E164" s="491"/>
      <c r="F164" s="492"/>
    </row>
    <row r="165" spans="2:6">
      <c r="B165" s="490"/>
      <c r="C165" s="491"/>
      <c r="D165" s="491"/>
      <c r="E165" s="491"/>
      <c r="F165" s="492"/>
    </row>
    <row r="166" spans="2:6">
      <c r="B166" s="490"/>
      <c r="C166" s="491"/>
      <c r="D166" s="491"/>
      <c r="E166" s="491"/>
      <c r="F166" s="492"/>
    </row>
    <row r="167" spans="2:6">
      <c r="B167" s="490"/>
      <c r="C167" s="491"/>
      <c r="D167" s="491"/>
      <c r="E167" s="491"/>
      <c r="F167" s="492"/>
    </row>
    <row r="168" spans="2:6">
      <c r="B168" s="490"/>
      <c r="C168" s="491"/>
      <c r="D168" s="491"/>
      <c r="E168" s="491"/>
      <c r="F168" s="492"/>
    </row>
    <row r="169" spans="2:6">
      <c r="B169" s="490"/>
      <c r="C169" s="491"/>
      <c r="D169" s="491"/>
      <c r="E169" s="491"/>
      <c r="F169" s="492"/>
    </row>
    <row r="170" spans="2:6">
      <c r="B170" s="490"/>
      <c r="C170" s="491"/>
      <c r="D170" s="491"/>
      <c r="E170" s="491"/>
      <c r="F170" s="492"/>
    </row>
    <row r="171" spans="2:6">
      <c r="B171" s="490"/>
      <c r="C171" s="491"/>
      <c r="D171" s="491"/>
      <c r="E171" s="491"/>
      <c r="F171" s="492"/>
    </row>
    <row r="172" spans="2:6">
      <c r="B172" s="490"/>
      <c r="C172" s="491"/>
      <c r="D172" s="491"/>
      <c r="E172" s="491"/>
      <c r="F172" s="492"/>
    </row>
    <row r="173" spans="2:6">
      <c r="B173" s="493"/>
      <c r="C173" s="494"/>
      <c r="D173" s="494"/>
      <c r="E173" s="494"/>
      <c r="F173" s="495"/>
    </row>
    <row r="174" spans="2:6">
      <c r="B174" s="231"/>
      <c r="C174" s="314"/>
      <c r="D174" s="314"/>
      <c r="E174" s="314"/>
      <c r="F174" s="232"/>
    </row>
    <row r="175" spans="2:6">
      <c r="B175" s="385" t="s">
        <v>888</v>
      </c>
      <c r="C175" s="301" t="s">
        <v>876</v>
      </c>
      <c r="D175" s="301" t="s">
        <v>877</v>
      </c>
      <c r="E175" s="485" t="s">
        <v>890</v>
      </c>
      <c r="F175" s="486"/>
    </row>
    <row r="176" spans="2:6">
      <c r="B176" s="394" t="s">
        <v>879</v>
      </c>
      <c r="C176" s="296" t="s">
        <v>647</v>
      </c>
      <c r="D176" s="297">
        <f>+Presupuesto!D125</f>
        <v>573</v>
      </c>
      <c r="E176" s="519" t="s">
        <v>891</v>
      </c>
      <c r="F176" s="520"/>
    </row>
    <row r="177" spans="2:6">
      <c r="B177" s="395" t="s">
        <v>880</v>
      </c>
      <c r="C177" s="298" t="s">
        <v>647</v>
      </c>
      <c r="D177" s="298">
        <f>+Presupuesto!D124</f>
        <v>800</v>
      </c>
      <c r="E177" s="195"/>
      <c r="F177" s="210"/>
    </row>
    <row r="178" spans="2:6">
      <c r="B178" s="396" t="s">
        <v>881</v>
      </c>
      <c r="C178" s="276" t="s">
        <v>647</v>
      </c>
      <c r="D178" s="276">
        <f>+Presupuesto!D123</f>
        <v>570</v>
      </c>
      <c r="E178" s="195"/>
      <c r="F178" s="210"/>
    </row>
    <row r="179" spans="2:6">
      <c r="B179" s="397" t="s">
        <v>882</v>
      </c>
      <c r="C179" s="299" t="s">
        <v>647</v>
      </c>
      <c r="D179" s="299">
        <f>+Presupuesto!D122</f>
        <v>750</v>
      </c>
      <c r="E179" s="521"/>
      <c r="F179" s="522"/>
    </row>
    <row r="180" spans="2:6">
      <c r="B180" s="398" t="s">
        <v>883</v>
      </c>
      <c r="C180" s="277" t="s">
        <v>647</v>
      </c>
      <c r="D180" s="291">
        <f>+Presupuesto!D121</f>
        <v>1105</v>
      </c>
      <c r="E180" s="195"/>
      <c r="F180" s="210"/>
    </row>
    <row r="181" spans="2:6" ht="13.8">
      <c r="B181" s="523" t="s">
        <v>878</v>
      </c>
      <c r="C181" s="524"/>
      <c r="D181" s="300">
        <f>SUM(D176:D180)</f>
        <v>3798</v>
      </c>
      <c r="E181" s="195"/>
      <c r="F181" s="210"/>
    </row>
    <row r="182" spans="2:6">
      <c r="B182" s="487"/>
      <c r="C182" s="488"/>
      <c r="D182" s="488"/>
      <c r="E182" s="488"/>
      <c r="F182" s="489"/>
    </row>
    <row r="183" spans="2:6">
      <c r="B183" s="490"/>
      <c r="C183" s="491"/>
      <c r="D183" s="491"/>
      <c r="E183" s="491"/>
      <c r="F183" s="492"/>
    </row>
    <row r="184" spans="2:6">
      <c r="B184" s="490"/>
      <c r="C184" s="491"/>
      <c r="D184" s="491"/>
      <c r="E184" s="491"/>
      <c r="F184" s="492"/>
    </row>
    <row r="185" spans="2:6">
      <c r="B185" s="490"/>
      <c r="C185" s="491"/>
      <c r="D185" s="491"/>
      <c r="E185" s="491"/>
      <c r="F185" s="492"/>
    </row>
    <row r="186" spans="2:6">
      <c r="B186" s="490"/>
      <c r="C186" s="491"/>
      <c r="D186" s="491"/>
      <c r="E186" s="491"/>
      <c r="F186" s="492"/>
    </row>
    <row r="187" spans="2:6">
      <c r="B187" s="490"/>
      <c r="C187" s="491"/>
      <c r="D187" s="491"/>
      <c r="E187" s="491"/>
      <c r="F187" s="492"/>
    </row>
    <row r="188" spans="2:6">
      <c r="B188" s="490"/>
      <c r="C188" s="491"/>
      <c r="D188" s="491"/>
      <c r="E188" s="491"/>
      <c r="F188" s="492"/>
    </row>
    <row r="189" spans="2:6">
      <c r="B189" s="490"/>
      <c r="C189" s="491"/>
      <c r="D189" s="491"/>
      <c r="E189" s="491"/>
      <c r="F189" s="492"/>
    </row>
    <row r="190" spans="2:6">
      <c r="B190" s="490"/>
      <c r="C190" s="491"/>
      <c r="D190" s="491"/>
      <c r="E190" s="491"/>
      <c r="F190" s="492"/>
    </row>
    <row r="191" spans="2:6">
      <c r="B191" s="490"/>
      <c r="C191" s="491"/>
      <c r="D191" s="491"/>
      <c r="E191" s="491"/>
      <c r="F191" s="492"/>
    </row>
    <row r="192" spans="2:6">
      <c r="B192" s="493"/>
      <c r="C192" s="494"/>
      <c r="D192" s="494"/>
      <c r="E192" s="494"/>
      <c r="F192" s="495"/>
    </row>
    <row r="193" spans="2:8">
      <c r="B193" s="231"/>
      <c r="C193" s="314"/>
      <c r="D193" s="314"/>
      <c r="E193" s="314"/>
      <c r="F193" s="232"/>
    </row>
    <row r="194" spans="2:8" ht="25.95" customHeight="1">
      <c r="B194" s="399" t="s">
        <v>888</v>
      </c>
      <c r="C194" s="301" t="s">
        <v>876</v>
      </c>
      <c r="D194" s="301" t="s">
        <v>877</v>
      </c>
      <c r="E194" s="485" t="s">
        <v>890</v>
      </c>
      <c r="F194" s="486"/>
    </row>
    <row r="195" spans="2:8" ht="25.2" customHeight="1">
      <c r="B195" s="394" t="s">
        <v>879</v>
      </c>
      <c r="C195" s="296" t="s">
        <v>647</v>
      </c>
      <c r="D195" s="297">
        <f>+Presupuesto!D125</f>
        <v>573</v>
      </c>
      <c r="E195" s="519" t="s">
        <v>891</v>
      </c>
      <c r="F195" s="520"/>
      <c r="H195" s="260">
        <f>+D195-C215</f>
        <v>36</v>
      </c>
    </row>
    <row r="196" spans="2:8">
      <c r="B196" s="395" t="s">
        <v>880</v>
      </c>
      <c r="C196" s="298" t="s">
        <v>647</v>
      </c>
      <c r="D196" s="298">
        <f>+D177</f>
        <v>800</v>
      </c>
      <c r="E196" s="195"/>
      <c r="F196" s="210"/>
    </row>
    <row r="197" spans="2:8">
      <c r="B197" s="396" t="s">
        <v>881</v>
      </c>
      <c r="C197" s="276" t="s">
        <v>647</v>
      </c>
      <c r="D197" s="276">
        <f t="shared" ref="D197:D199" si="0">+D178</f>
        <v>570</v>
      </c>
      <c r="E197" s="195"/>
      <c r="F197" s="210"/>
    </row>
    <row r="198" spans="2:8">
      <c r="B198" s="397" t="s">
        <v>882</v>
      </c>
      <c r="C198" s="299" t="s">
        <v>647</v>
      </c>
      <c r="D198" s="299">
        <f t="shared" si="0"/>
        <v>750</v>
      </c>
      <c r="E198" s="521"/>
      <c r="F198" s="522"/>
    </row>
    <row r="199" spans="2:8">
      <c r="B199" s="398" t="s">
        <v>883</v>
      </c>
      <c r="C199" s="277" t="s">
        <v>647</v>
      </c>
      <c r="D199" s="291">
        <f t="shared" si="0"/>
        <v>1105</v>
      </c>
      <c r="E199" s="195"/>
      <c r="F199" s="210"/>
    </row>
    <row r="200" spans="2:8" ht="13.8">
      <c r="B200" s="523" t="s">
        <v>878</v>
      </c>
      <c r="C200" s="524"/>
      <c r="D200" s="300">
        <f>SUM(D195:D199)</f>
        <v>3798</v>
      </c>
      <c r="E200" s="195"/>
      <c r="F200" s="210"/>
    </row>
    <row r="201" spans="2:8">
      <c r="B201" s="487"/>
      <c r="C201" s="488"/>
      <c r="D201" s="488"/>
      <c r="E201" s="488"/>
      <c r="F201" s="489"/>
    </row>
    <row r="202" spans="2:8">
      <c r="B202" s="490"/>
      <c r="C202" s="491"/>
      <c r="D202" s="491"/>
      <c r="E202" s="491"/>
      <c r="F202" s="492"/>
    </row>
    <row r="203" spans="2:8">
      <c r="B203" s="490"/>
      <c r="C203" s="491"/>
      <c r="D203" s="491"/>
      <c r="E203" s="491"/>
      <c r="F203" s="492"/>
    </row>
    <row r="204" spans="2:8">
      <c r="B204" s="490"/>
      <c r="C204" s="491"/>
      <c r="D204" s="491"/>
      <c r="E204" s="491"/>
      <c r="F204" s="492"/>
    </row>
    <row r="205" spans="2:8">
      <c r="B205" s="490"/>
      <c r="C205" s="491"/>
      <c r="D205" s="491"/>
      <c r="E205" s="491"/>
      <c r="F205" s="492"/>
    </row>
    <row r="206" spans="2:8">
      <c r="B206" s="490"/>
      <c r="C206" s="491"/>
      <c r="D206" s="491"/>
      <c r="E206" s="491"/>
      <c r="F206" s="492"/>
    </row>
    <row r="207" spans="2:8">
      <c r="B207" s="490"/>
      <c r="C207" s="491"/>
      <c r="D207" s="491"/>
      <c r="E207" s="491"/>
      <c r="F207" s="492"/>
    </row>
    <row r="208" spans="2:8">
      <c r="B208" s="490"/>
      <c r="C208" s="491"/>
      <c r="D208" s="491"/>
      <c r="E208" s="491"/>
      <c r="F208" s="492"/>
    </row>
    <row r="209" spans="2:11">
      <c r="B209" s="490"/>
      <c r="C209" s="491"/>
      <c r="D209" s="491"/>
      <c r="E209" s="491"/>
      <c r="F209" s="492"/>
    </row>
    <row r="210" spans="2:11">
      <c r="B210" s="490"/>
      <c r="C210" s="491"/>
      <c r="D210" s="491"/>
      <c r="E210" s="491"/>
      <c r="F210" s="492"/>
    </row>
    <row r="211" spans="2:11">
      <c r="B211" s="493"/>
      <c r="C211" s="494"/>
      <c r="D211" s="494"/>
      <c r="E211" s="494"/>
      <c r="F211" s="495"/>
    </row>
    <row r="212" spans="2:11" ht="13.8" thickBot="1">
      <c r="B212" s="231"/>
      <c r="C212" s="314"/>
      <c r="D212" s="314"/>
      <c r="E212" s="314"/>
      <c r="F212" s="232"/>
      <c r="I212" s="260">
        <f>+C215-573</f>
        <v>-36</v>
      </c>
    </row>
    <row r="213" spans="2:11" ht="13.8">
      <c r="B213" s="284" t="s">
        <v>884</v>
      </c>
      <c r="C213" s="285"/>
      <c r="D213" s="285"/>
      <c r="E213" s="286"/>
      <c r="F213" s="287"/>
    </row>
    <row r="214" spans="2:11" ht="28.2" customHeight="1">
      <c r="B214" s="281" t="s">
        <v>885</v>
      </c>
      <c r="C214" s="279" t="str">
        <f>+D194</f>
        <v>Cantidad</v>
      </c>
      <c r="D214" s="280" t="s">
        <v>887</v>
      </c>
      <c r="E214" s="195" t="s">
        <v>886</v>
      </c>
      <c r="F214" s="210" t="s">
        <v>889</v>
      </c>
    </row>
    <row r="215" spans="2:11">
      <c r="B215" s="209" t="str">
        <f>+B195</f>
        <v>Tubería 2"</v>
      </c>
      <c r="C215" s="291">
        <v>537</v>
      </c>
      <c r="D215" s="278">
        <v>0.6</v>
      </c>
      <c r="E215" s="279">
        <v>0.3</v>
      </c>
      <c r="F215" s="288">
        <f>+C215*D215*E215</f>
        <v>96.66</v>
      </c>
      <c r="G215" s="293">
        <f>+D195-C215</f>
        <v>36</v>
      </c>
      <c r="I215">
        <f>+D215*E215*G215</f>
        <v>6.4799999999999995</v>
      </c>
      <c r="K215" s="260">
        <f>+C215-16</f>
        <v>521</v>
      </c>
    </row>
    <row r="216" spans="2:11">
      <c r="B216" s="209" t="str">
        <f t="shared" ref="B216:B219" si="1">+B196</f>
        <v>Tubería 11/2"</v>
      </c>
      <c r="C216" s="291">
        <f>+D197</f>
        <v>570</v>
      </c>
      <c r="D216" s="278">
        <v>0.6</v>
      </c>
      <c r="E216" s="279">
        <v>0.3</v>
      </c>
      <c r="F216" s="288">
        <f>+C216*D216*E216</f>
        <v>102.6</v>
      </c>
      <c r="G216" s="293">
        <f>+D196-C216</f>
        <v>230</v>
      </c>
      <c r="I216">
        <f t="shared" ref="I216:I219" si="2">+D216*E216*G216</f>
        <v>41.4</v>
      </c>
    </row>
    <row r="217" spans="2:11">
      <c r="B217" s="209" t="str">
        <f t="shared" si="1"/>
        <v>Tubería 1"</v>
      </c>
      <c r="C217" s="291">
        <v>800</v>
      </c>
      <c r="D217" s="278">
        <v>0.6</v>
      </c>
      <c r="E217" s="279">
        <v>0.25</v>
      </c>
      <c r="F217" s="288">
        <f>+C217*D217*E217</f>
        <v>120</v>
      </c>
      <c r="G217" s="293">
        <f>+D197-C217</f>
        <v>-230</v>
      </c>
      <c r="I217">
        <f t="shared" si="2"/>
        <v>-34.5</v>
      </c>
    </row>
    <row r="218" spans="2:11">
      <c r="B218" s="209" t="str">
        <f t="shared" si="1"/>
        <v>Tubería 3/4"</v>
      </c>
      <c r="C218" s="291">
        <v>570</v>
      </c>
      <c r="D218" s="278">
        <v>0.55000000000000004</v>
      </c>
      <c r="E218" s="279">
        <v>0.2</v>
      </c>
      <c r="F218" s="288">
        <f>+C218*D218*E218</f>
        <v>62.7</v>
      </c>
      <c r="G218" s="293">
        <f>+D198-C218</f>
        <v>180</v>
      </c>
      <c r="I218">
        <f t="shared" si="2"/>
        <v>19.800000000000004</v>
      </c>
    </row>
    <row r="219" spans="2:11" ht="13.8" thickBot="1">
      <c r="B219" s="282" t="str">
        <f t="shared" si="1"/>
        <v>Tubería 1/2"</v>
      </c>
      <c r="C219" s="292">
        <f>+D199</f>
        <v>1105</v>
      </c>
      <c r="D219" s="283">
        <v>0.5</v>
      </c>
      <c r="E219" s="290">
        <v>0.2</v>
      </c>
      <c r="F219" s="289">
        <f>+C219*D219*E219</f>
        <v>110.5</v>
      </c>
      <c r="G219" s="293">
        <f>+D199-C219</f>
        <v>0</v>
      </c>
      <c r="I219">
        <f t="shared" si="2"/>
        <v>0</v>
      </c>
    </row>
    <row r="220" spans="2:11" ht="13.8" thickBot="1">
      <c r="B220" s="498" t="s">
        <v>845</v>
      </c>
      <c r="C220" s="499"/>
      <c r="D220" s="499"/>
      <c r="E220" s="499"/>
      <c r="F220" s="295">
        <f>SUM(F215:F219)</f>
        <v>492.46</v>
      </c>
      <c r="I220" s="294">
        <f>SUM(I215:I219)</f>
        <v>33.18</v>
      </c>
    </row>
    <row r="221" spans="2:11" ht="13.8" thickBot="1">
      <c r="B221" s="498" t="s">
        <v>892</v>
      </c>
      <c r="C221" s="499"/>
      <c r="D221" s="499"/>
      <c r="E221" s="499"/>
      <c r="F221" s="295">
        <v>10</v>
      </c>
    </row>
    <row r="222" spans="2:11" ht="13.8" thickBot="1">
      <c r="B222" s="498" t="s">
        <v>892</v>
      </c>
      <c r="C222" s="499"/>
      <c r="D222" s="499"/>
      <c r="E222" s="499"/>
      <c r="F222" s="310">
        <f>+(F220-F221)*0.4</f>
        <v>192.98400000000001</v>
      </c>
    </row>
    <row r="223" spans="2:11">
      <c r="B223" s="487"/>
      <c r="C223" s="508"/>
      <c r="D223" s="508"/>
      <c r="E223" s="508"/>
      <c r="F223" s="509"/>
    </row>
    <row r="224" spans="2:11">
      <c r="B224" s="507"/>
      <c r="C224" s="508"/>
      <c r="D224" s="508"/>
      <c r="E224" s="508"/>
      <c r="F224" s="509"/>
    </row>
    <row r="225" spans="2:11">
      <c r="B225" s="507"/>
      <c r="C225" s="508"/>
      <c r="D225" s="508"/>
      <c r="E225" s="508"/>
      <c r="F225" s="509"/>
    </row>
    <row r="226" spans="2:11">
      <c r="B226" s="507"/>
      <c r="C226" s="508"/>
      <c r="D226" s="508"/>
      <c r="E226" s="508"/>
      <c r="F226" s="509"/>
    </row>
    <row r="227" spans="2:11">
      <c r="B227" s="507"/>
      <c r="C227" s="508"/>
      <c r="D227" s="508"/>
      <c r="E227" s="508"/>
      <c r="F227" s="509"/>
    </row>
    <row r="228" spans="2:11">
      <c r="B228" s="507"/>
      <c r="C228" s="508"/>
      <c r="D228" s="508"/>
      <c r="E228" s="508"/>
      <c r="F228" s="509"/>
    </row>
    <row r="229" spans="2:11">
      <c r="B229" s="507"/>
      <c r="C229" s="508"/>
      <c r="D229" s="508"/>
      <c r="E229" s="508"/>
      <c r="F229" s="509"/>
    </row>
    <row r="230" spans="2:11">
      <c r="B230" s="507"/>
      <c r="C230" s="508"/>
      <c r="D230" s="508"/>
      <c r="E230" s="508"/>
      <c r="F230" s="509"/>
    </row>
    <row r="231" spans="2:11">
      <c r="B231" s="507"/>
      <c r="C231" s="508"/>
      <c r="D231" s="508"/>
      <c r="E231" s="508"/>
      <c r="F231" s="509"/>
    </row>
    <row r="232" spans="2:11" ht="13.8" thickBot="1">
      <c r="B232" s="231"/>
      <c r="C232" s="314"/>
      <c r="D232" s="314"/>
      <c r="E232" s="314"/>
      <c r="F232" s="232"/>
    </row>
    <row r="233" spans="2:11" ht="13.8">
      <c r="B233" s="284" t="s">
        <v>902</v>
      </c>
      <c r="C233" s="285"/>
      <c r="D233" s="285"/>
      <c r="E233" s="286"/>
      <c r="F233" s="287"/>
    </row>
    <row r="234" spans="2:11" ht="28.2" customHeight="1">
      <c r="B234" s="281" t="s">
        <v>885</v>
      </c>
      <c r="C234" s="306" t="s">
        <v>900</v>
      </c>
      <c r="D234" s="308" t="s">
        <v>901</v>
      </c>
      <c r="E234" s="485" t="s">
        <v>890</v>
      </c>
      <c r="F234" s="486"/>
    </row>
    <row r="235" spans="2:11">
      <c r="B235" s="281" t="s">
        <v>893</v>
      </c>
      <c r="C235" s="307" t="s">
        <v>900</v>
      </c>
      <c r="D235" s="309">
        <v>3</v>
      </c>
      <c r="E235" s="195"/>
      <c r="F235" s="210"/>
      <c r="G235" s="293" t="e">
        <f>+D214-C235</f>
        <v>#VALUE!</v>
      </c>
      <c r="I235" t="e">
        <f>+D235*E235*G235</f>
        <v>#VALUE!</v>
      </c>
      <c r="K235" s="260" t="e">
        <f>+C235-16</f>
        <v>#VALUE!</v>
      </c>
    </row>
    <row r="236" spans="2:11">
      <c r="B236" s="281" t="s">
        <v>894</v>
      </c>
      <c r="C236" s="307" t="s">
        <v>900</v>
      </c>
      <c r="D236" s="309">
        <v>3</v>
      </c>
      <c r="E236" s="195"/>
      <c r="F236" s="210"/>
      <c r="G236" s="293" t="e">
        <f>+D215-C236</f>
        <v>#VALUE!</v>
      </c>
      <c r="I236" t="e">
        <f t="shared" ref="I236:I239" si="3">+D236*E236*G236</f>
        <v>#VALUE!</v>
      </c>
    </row>
    <row r="237" spans="2:11">
      <c r="B237" s="281" t="s">
        <v>895</v>
      </c>
      <c r="C237" s="307" t="s">
        <v>900</v>
      </c>
      <c r="D237" s="309">
        <v>1</v>
      </c>
      <c r="E237" s="195"/>
      <c r="F237" s="210"/>
      <c r="G237" s="293" t="e">
        <f>+D216-C237</f>
        <v>#VALUE!</v>
      </c>
      <c r="I237" t="e">
        <f t="shared" si="3"/>
        <v>#VALUE!</v>
      </c>
    </row>
    <row r="238" spans="2:11">
      <c r="B238" s="281" t="s">
        <v>896</v>
      </c>
      <c r="C238" s="307" t="s">
        <v>900</v>
      </c>
      <c r="D238" s="309">
        <v>6</v>
      </c>
      <c r="E238" s="195"/>
      <c r="F238" s="210"/>
      <c r="G238" s="293" t="e">
        <f>+D217-C238</f>
        <v>#VALUE!</v>
      </c>
      <c r="I238" t="e">
        <f t="shared" si="3"/>
        <v>#VALUE!</v>
      </c>
    </row>
    <row r="239" spans="2:11">
      <c r="B239" s="281" t="s">
        <v>897</v>
      </c>
      <c r="C239" s="307" t="s">
        <v>900</v>
      </c>
      <c r="D239" s="309">
        <v>3</v>
      </c>
      <c r="E239" s="195"/>
      <c r="F239" s="210"/>
      <c r="G239" s="293" t="e">
        <f>+D218-C239</f>
        <v>#VALUE!</v>
      </c>
      <c r="I239" t="e">
        <f t="shared" si="3"/>
        <v>#VALUE!</v>
      </c>
    </row>
    <row r="240" spans="2:11">
      <c r="B240" s="281" t="s">
        <v>898</v>
      </c>
      <c r="C240" s="307" t="s">
        <v>900</v>
      </c>
      <c r="D240" s="309">
        <v>8</v>
      </c>
      <c r="E240" s="195"/>
      <c r="F240" s="210"/>
      <c r="G240" s="293"/>
    </row>
    <row r="241" spans="2:7" ht="13.8" thickBot="1">
      <c r="B241" s="281" t="s">
        <v>899</v>
      </c>
      <c r="C241" s="307" t="s">
        <v>900</v>
      </c>
      <c r="D241" s="309">
        <v>14</v>
      </c>
      <c r="E241" s="304"/>
      <c r="F241" s="305"/>
      <c r="G241" s="293"/>
    </row>
    <row r="242" spans="2:7" ht="13.8" thickBot="1">
      <c r="B242" s="502" t="s">
        <v>845</v>
      </c>
      <c r="C242" s="503"/>
      <c r="D242" s="311">
        <f>SUM(D235:D241)</f>
        <v>38</v>
      </c>
      <c r="E242" s="312"/>
      <c r="F242" s="313"/>
      <c r="G242" s="293"/>
    </row>
    <row r="243" spans="2:7">
      <c r="B243" s="504"/>
      <c r="C243" s="505"/>
      <c r="D243" s="505"/>
      <c r="E243" s="505"/>
      <c r="F243" s="506"/>
      <c r="G243" s="293"/>
    </row>
    <row r="244" spans="2:7">
      <c r="B244" s="507"/>
      <c r="C244" s="508"/>
      <c r="D244" s="508"/>
      <c r="E244" s="508"/>
      <c r="F244" s="509"/>
      <c r="G244" s="293"/>
    </row>
    <row r="245" spans="2:7">
      <c r="B245" s="507"/>
      <c r="C245" s="508"/>
      <c r="D245" s="508"/>
      <c r="E245" s="508"/>
      <c r="F245" s="509"/>
    </row>
    <row r="246" spans="2:7">
      <c r="B246" s="507"/>
      <c r="C246" s="508"/>
      <c r="D246" s="508"/>
      <c r="E246" s="508"/>
      <c r="F246" s="509"/>
    </row>
    <row r="247" spans="2:7">
      <c r="B247" s="507"/>
      <c r="C247" s="508"/>
      <c r="D247" s="508"/>
      <c r="E247" s="508"/>
      <c r="F247" s="509"/>
    </row>
    <row r="248" spans="2:7">
      <c r="B248" s="507"/>
      <c r="C248" s="508"/>
      <c r="D248" s="508"/>
      <c r="E248" s="508"/>
      <c r="F248" s="509"/>
    </row>
    <row r="249" spans="2:7">
      <c r="B249" s="507"/>
      <c r="C249" s="508"/>
      <c r="D249" s="508"/>
      <c r="E249" s="508"/>
      <c r="F249" s="509"/>
    </row>
    <row r="250" spans="2:7">
      <c r="B250" s="507"/>
      <c r="C250" s="508"/>
      <c r="D250" s="508"/>
      <c r="E250" s="508"/>
      <c r="F250" s="509"/>
    </row>
    <row r="251" spans="2:7" ht="13.8" thickBot="1">
      <c r="B251" s="510"/>
      <c r="C251" s="511"/>
      <c r="D251" s="511"/>
      <c r="E251" s="511"/>
      <c r="F251" s="512"/>
    </row>
    <row r="252" spans="2:7">
      <c r="B252" s="497"/>
      <c r="C252" s="457"/>
      <c r="D252" s="457"/>
      <c r="E252" s="457"/>
      <c r="F252" s="457"/>
    </row>
  </sheetData>
  <mergeCells count="41">
    <mergeCell ref="E103:F103"/>
    <mergeCell ref="B220:E220"/>
    <mergeCell ref="B221:E221"/>
    <mergeCell ref="B223:F231"/>
    <mergeCell ref="E194:F194"/>
    <mergeCell ref="E195:F195"/>
    <mergeCell ref="B201:F211"/>
    <mergeCell ref="E198:F198"/>
    <mergeCell ref="E175:F175"/>
    <mergeCell ref="E176:F176"/>
    <mergeCell ref="E179:F179"/>
    <mergeCell ref="B181:C181"/>
    <mergeCell ref="B182:F192"/>
    <mergeCell ref="B200:C200"/>
    <mergeCell ref="B60:F70"/>
    <mergeCell ref="B59:E59"/>
    <mergeCell ref="E72:F72"/>
    <mergeCell ref="B91:F101"/>
    <mergeCell ref="B90:E90"/>
    <mergeCell ref="B252:F252"/>
    <mergeCell ref="B222:E222"/>
    <mergeCell ref="E107:F107"/>
    <mergeCell ref="B111:F121"/>
    <mergeCell ref="E123:F123"/>
    <mergeCell ref="B127:F137"/>
    <mergeCell ref="B147:F157"/>
    <mergeCell ref="E159:F159"/>
    <mergeCell ref="B163:F173"/>
    <mergeCell ref="E234:F234"/>
    <mergeCell ref="B242:C242"/>
    <mergeCell ref="B243:F251"/>
    <mergeCell ref="B2:F2"/>
    <mergeCell ref="E39:F39"/>
    <mergeCell ref="E45:E47"/>
    <mergeCell ref="E48:E50"/>
    <mergeCell ref="E52:F52"/>
    <mergeCell ref="E4:F4"/>
    <mergeCell ref="B8:F18"/>
    <mergeCell ref="B27:F37"/>
    <mergeCell ref="E21:E23"/>
    <mergeCell ref="E24:E26"/>
  </mergeCells>
  <phoneticPr fontId="34" type="noConversion"/>
  <pageMargins left="0.7" right="0.7" top="0.75" bottom="0.75" header="0.3" footer="0.3"/>
  <pageSetup paperSize="9" scale="97"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2CCB1-A388-0871-B046-37DBA397E71E}">
  <dimension ref="A1:K2420"/>
  <sheetViews>
    <sheetView topLeftCell="A2399" workbookViewId="0">
      <selection activeCell="G2420" sqref="G2420"/>
    </sheetView>
  </sheetViews>
  <sheetFormatPr baseColWidth="10" defaultColWidth="12.6640625" defaultRowHeight="15" customHeight="1"/>
  <cols>
    <col min="1" max="1" width="18.6640625" customWidth="1"/>
    <col min="2" max="4" width="11.6640625" customWidth="1"/>
    <col min="5" max="5" width="15.6640625" customWidth="1"/>
    <col min="6" max="6" width="11.6640625" customWidth="1"/>
    <col min="7" max="7" width="17.109375" style="192" customWidth="1"/>
    <col min="8" max="8" width="10" customWidth="1"/>
    <col min="9" max="9" width="15" customWidth="1"/>
    <col min="10" max="10" width="17.109375" customWidth="1"/>
    <col min="11" max="26" width="10" customWidth="1"/>
  </cols>
  <sheetData>
    <row r="1" spans="1:10" ht="15" customHeight="1">
      <c r="A1" s="468" t="s">
        <v>174</v>
      </c>
      <c r="B1" s="457"/>
      <c r="C1" s="457"/>
      <c r="D1" s="457"/>
      <c r="E1" s="457"/>
      <c r="F1" s="457"/>
      <c r="G1" s="457"/>
    </row>
    <row r="2" spans="1:10" ht="12.75" customHeight="1" thickBot="1"/>
    <row r="3" spans="1:10" ht="12.75" customHeight="1">
      <c r="A3" s="404" t="s">
        <v>175</v>
      </c>
      <c r="B3" s="405"/>
      <c r="C3" s="405"/>
      <c r="D3" s="428"/>
      <c r="E3" s="428"/>
      <c r="F3" s="428"/>
      <c r="G3" s="429"/>
    </row>
    <row r="4" spans="1:10" ht="12.75" customHeight="1">
      <c r="A4" s="406" t="s">
        <v>368</v>
      </c>
      <c r="B4" s="401"/>
      <c r="C4" s="401"/>
      <c r="D4" s="401"/>
      <c r="E4" s="195"/>
      <c r="F4" s="402" t="s">
        <v>177</v>
      </c>
      <c r="G4" s="430">
        <f t="shared" ref="G4:G2380" ca="1" si="0">+TODAY()</f>
        <v>46289</v>
      </c>
    </row>
    <row r="5" spans="1:10" ht="12.75" customHeight="1">
      <c r="A5" s="406"/>
      <c r="B5" s="401"/>
      <c r="C5" s="401"/>
      <c r="D5" s="401"/>
      <c r="E5" s="401"/>
      <c r="F5" s="401"/>
      <c r="G5" s="417"/>
    </row>
    <row r="6" spans="1:10" ht="12.75" customHeight="1">
      <c r="A6" s="406" t="s">
        <v>369</v>
      </c>
      <c r="B6" s="401" t="s">
        <v>10</v>
      </c>
      <c r="C6" s="401"/>
      <c r="D6" s="401"/>
      <c r="E6" s="401"/>
      <c r="F6" s="401"/>
      <c r="G6" s="417"/>
    </row>
    <row r="7" spans="1:10" ht="12.75" customHeight="1">
      <c r="A7" s="406"/>
      <c r="B7" s="401"/>
      <c r="C7" s="401" t="s">
        <v>179</v>
      </c>
      <c r="D7" s="439">
        <v>140</v>
      </c>
      <c r="E7" s="401" t="s">
        <v>180</v>
      </c>
      <c r="F7" s="401" t="s">
        <v>181</v>
      </c>
      <c r="G7" s="417"/>
    </row>
    <row r="8" spans="1:10" ht="12.75" customHeight="1">
      <c r="A8" s="406" t="s">
        <v>182</v>
      </c>
      <c r="B8" s="401"/>
      <c r="C8" s="401"/>
      <c r="D8" s="401"/>
      <c r="E8" s="401"/>
      <c r="F8" s="401"/>
      <c r="G8" s="417"/>
    </row>
    <row r="9" spans="1:10" ht="12.75" customHeight="1">
      <c r="A9" s="408" t="s">
        <v>111</v>
      </c>
      <c r="B9" s="169" t="s">
        <v>183</v>
      </c>
      <c r="C9" s="169" t="s">
        <v>184</v>
      </c>
      <c r="D9" s="169" t="s">
        <v>185</v>
      </c>
      <c r="E9" s="169" t="s">
        <v>186</v>
      </c>
      <c r="F9" s="401"/>
      <c r="G9" s="417"/>
    </row>
    <row r="10" spans="1:10" ht="12.75" customHeight="1">
      <c r="A10" s="406" t="s">
        <v>187</v>
      </c>
      <c r="B10" s="401"/>
      <c r="C10" s="401"/>
      <c r="D10" s="401"/>
      <c r="E10" s="403">
        <f t="shared" ref="E10:E2386" si="1">G38*0.05</f>
        <v>280.43958100630908</v>
      </c>
      <c r="F10" s="401"/>
      <c r="G10" s="417"/>
    </row>
    <row r="11" spans="1:10" ht="12.75" customHeight="1">
      <c r="A11" s="406"/>
      <c r="B11" s="401"/>
      <c r="C11" s="401"/>
      <c r="D11" s="401"/>
      <c r="E11" s="403"/>
      <c r="F11" s="401"/>
      <c r="G11" s="417"/>
    </row>
    <row r="12" spans="1:10" ht="12.75" customHeight="1">
      <c r="A12" s="406"/>
      <c r="B12" s="401"/>
      <c r="C12" s="401"/>
      <c r="D12" s="401"/>
      <c r="E12" s="403"/>
      <c r="F12" s="401"/>
      <c r="G12" s="417"/>
    </row>
    <row r="13" spans="1:10" ht="12.75" customHeight="1">
      <c r="A13" s="406"/>
      <c r="B13" s="401"/>
      <c r="C13" s="401"/>
      <c r="D13" s="401"/>
      <c r="E13" s="401"/>
      <c r="F13" s="401" t="s">
        <v>189</v>
      </c>
      <c r="G13" s="417">
        <f t="shared" ref="G13:G2389" si="2">E10+E11+E12+E13</f>
        <v>280.43958100630908</v>
      </c>
    </row>
    <row r="14" spans="1:10" ht="12.75" customHeight="1">
      <c r="A14" s="406" t="s">
        <v>191</v>
      </c>
      <c r="B14" s="401"/>
      <c r="C14" s="401"/>
      <c r="D14" s="401"/>
      <c r="E14" s="401"/>
      <c r="F14" s="401"/>
      <c r="G14" s="417"/>
    </row>
    <row r="15" spans="1:10" ht="12.75" customHeight="1">
      <c r="A15" s="408" t="s">
        <v>111</v>
      </c>
      <c r="B15" s="169" t="s">
        <v>193</v>
      </c>
      <c r="C15" s="169" t="s">
        <v>194</v>
      </c>
      <c r="D15" s="169" t="s">
        <v>195</v>
      </c>
      <c r="E15" s="169" t="s">
        <v>186</v>
      </c>
      <c r="F15" s="401"/>
      <c r="G15" s="417"/>
    </row>
    <row r="16" spans="1:10" ht="12.75" customHeight="1">
      <c r="A16" s="406"/>
      <c r="B16" s="169"/>
      <c r="C16" s="401"/>
      <c r="D16" s="427"/>
      <c r="E16" s="401"/>
      <c r="F16" s="401"/>
      <c r="G16" s="417"/>
      <c r="I16" t="str">
        <f t="shared" ref="I16:J17" si="3">+A32</f>
        <v>1 Oficial</v>
      </c>
      <c r="J16">
        <f t="shared" si="3"/>
        <v>140000</v>
      </c>
    </row>
    <row r="17" spans="1:10" ht="12.75" customHeight="1">
      <c r="A17" s="406"/>
      <c r="B17" s="169"/>
      <c r="C17" s="401"/>
      <c r="D17" s="427"/>
      <c r="E17" s="401"/>
      <c r="F17" s="401"/>
      <c r="G17" s="417"/>
      <c r="I17" t="str">
        <f t="shared" si="3"/>
        <v>1 Ayudante</v>
      </c>
      <c r="J17">
        <f t="shared" si="3"/>
        <v>91000</v>
      </c>
    </row>
    <row r="18" spans="1:10" ht="12.75" customHeight="1">
      <c r="A18" s="406"/>
      <c r="B18" s="169"/>
      <c r="C18" s="401"/>
      <c r="D18" s="401"/>
      <c r="E18" s="401"/>
      <c r="F18" s="401"/>
      <c r="G18" s="417"/>
      <c r="I18" t="str">
        <f t="shared" ref="I18:J18" si="4">+A120</f>
        <v>1 Minero</v>
      </c>
      <c r="J18">
        <f t="shared" si="4"/>
        <v>120000</v>
      </c>
    </row>
    <row r="19" spans="1:10" ht="12.75" customHeight="1">
      <c r="A19" s="406"/>
      <c r="B19" s="169"/>
      <c r="C19" s="401"/>
      <c r="D19" s="401"/>
      <c r="E19" s="401"/>
      <c r="F19" s="401"/>
      <c r="G19" s="417"/>
      <c r="I19" t="s">
        <v>196</v>
      </c>
      <c r="J19">
        <f>+J18</f>
        <v>120000</v>
      </c>
    </row>
    <row r="20" spans="1:10" ht="12.75" customHeight="1">
      <c r="A20" s="406"/>
      <c r="B20" s="169"/>
      <c r="C20" s="403"/>
      <c r="D20" s="401"/>
      <c r="E20" s="403"/>
      <c r="F20" s="401"/>
      <c r="G20" s="417"/>
    </row>
    <row r="21" spans="1:10" ht="12.75" customHeight="1">
      <c r="A21" s="406"/>
      <c r="B21" s="401"/>
      <c r="C21" s="401"/>
      <c r="D21" s="401"/>
      <c r="E21" s="401"/>
      <c r="F21" s="401"/>
      <c r="G21" s="417"/>
    </row>
    <row r="22" spans="1:10" ht="12.75" customHeight="1">
      <c r="A22" s="406"/>
      <c r="B22" s="401"/>
      <c r="C22" s="401"/>
      <c r="D22" s="401"/>
      <c r="E22" s="401"/>
      <c r="F22" s="401" t="s">
        <v>189</v>
      </c>
      <c r="G22" s="417">
        <f t="shared" ref="G22:G2398" si="5">E16+E17+E18+E19+E20+E21+E22</f>
        <v>0</v>
      </c>
    </row>
    <row r="23" spans="1:10" ht="12.75" customHeight="1">
      <c r="A23" s="406" t="s">
        <v>197</v>
      </c>
      <c r="B23" s="401"/>
      <c r="C23" s="401"/>
      <c r="D23" s="401"/>
      <c r="E23" s="401"/>
      <c r="F23" s="401"/>
      <c r="G23" s="417"/>
    </row>
    <row r="24" spans="1:10" ht="12.75" customHeight="1">
      <c r="A24" s="408" t="s">
        <v>198</v>
      </c>
      <c r="B24" s="169" t="s">
        <v>199</v>
      </c>
      <c r="C24" s="169" t="s">
        <v>200</v>
      </c>
      <c r="D24" s="169" t="s">
        <v>201</v>
      </c>
      <c r="E24" s="169" t="s">
        <v>186</v>
      </c>
      <c r="F24" s="401"/>
      <c r="G24" s="417"/>
    </row>
    <row r="25" spans="1:10" ht="12.75" customHeight="1">
      <c r="A25" s="406"/>
      <c r="B25" s="401"/>
      <c r="C25" s="401"/>
      <c r="D25" s="401"/>
      <c r="E25" s="401"/>
      <c r="F25" s="401"/>
      <c r="G25" s="417"/>
    </row>
    <row r="26" spans="1:10" ht="12.75" customHeight="1">
      <c r="A26" s="406"/>
      <c r="B26" s="401"/>
      <c r="C26" s="401"/>
      <c r="D26" s="401"/>
      <c r="E26" s="401"/>
      <c r="F26" s="401"/>
      <c r="G26" s="417"/>
    </row>
    <row r="27" spans="1:10" ht="12.75" customHeight="1">
      <c r="A27" s="406"/>
      <c r="B27" s="401"/>
      <c r="C27" s="401"/>
      <c r="D27" s="401"/>
      <c r="E27" s="401"/>
      <c r="F27" s="401"/>
      <c r="G27" s="417"/>
    </row>
    <row r="28" spans="1:10" ht="12.75" customHeight="1">
      <c r="A28" s="406"/>
      <c r="B28" s="401"/>
      <c r="C28" s="401"/>
      <c r="D28" s="401"/>
      <c r="E28" s="401"/>
      <c r="F28" s="401"/>
      <c r="G28" s="417"/>
    </row>
    <row r="29" spans="1:10" ht="12.75" customHeight="1">
      <c r="A29" s="406"/>
      <c r="B29" s="401"/>
      <c r="C29" s="401"/>
      <c r="D29" s="401"/>
      <c r="E29" s="401"/>
      <c r="F29" s="401" t="s">
        <v>189</v>
      </c>
      <c r="G29" s="417">
        <f t="shared" ref="G29:G2405" si="6">E25+E26+E27+E28+E29</f>
        <v>0</v>
      </c>
    </row>
    <row r="30" spans="1:10" ht="12.75" customHeight="1">
      <c r="A30" s="406" t="s">
        <v>202</v>
      </c>
      <c r="B30" s="401"/>
      <c r="C30" s="401"/>
      <c r="D30" s="401"/>
      <c r="E30" s="401"/>
      <c r="F30" s="401"/>
      <c r="G30" s="417"/>
    </row>
    <row r="31" spans="1:10" ht="12.75" customHeight="1">
      <c r="A31" s="408" t="s">
        <v>203</v>
      </c>
      <c r="B31" s="169" t="s">
        <v>204</v>
      </c>
      <c r="C31" s="169" t="s">
        <v>205</v>
      </c>
      <c r="D31" s="169" t="s">
        <v>206</v>
      </c>
      <c r="E31" s="169" t="s">
        <v>207</v>
      </c>
      <c r="F31" s="169" t="s">
        <v>208</v>
      </c>
      <c r="G31" s="417"/>
    </row>
    <row r="32" spans="1:10" ht="12.75" customHeight="1">
      <c r="A32" s="406" t="s">
        <v>188</v>
      </c>
      <c r="B32" s="401">
        <v>140000</v>
      </c>
      <c r="C32" s="401">
        <f t="shared" ref="C32:C2408" si="7">0.75*B32</f>
        <v>105000</v>
      </c>
      <c r="D32" s="401">
        <f t="shared" ref="D32:D2408" si="8">B32+C32</f>
        <v>245000</v>
      </c>
      <c r="E32" s="403">
        <v>73.489896165353883</v>
      </c>
      <c r="F32" s="403">
        <f t="shared" ref="F32:F385" si="9">D32/E32</f>
        <v>3333.7916201261819</v>
      </c>
      <c r="G32" s="417"/>
    </row>
    <row r="33" spans="1:10" ht="12.75" customHeight="1">
      <c r="A33" s="406" t="s">
        <v>190</v>
      </c>
      <c r="B33" s="401">
        <v>91000</v>
      </c>
      <c r="C33" s="403">
        <f t="shared" si="7"/>
        <v>68250</v>
      </c>
      <c r="D33" s="403">
        <f t="shared" si="8"/>
        <v>159250</v>
      </c>
      <c r="E33" s="403">
        <v>70</v>
      </c>
      <c r="F33" s="403">
        <f t="shared" si="9"/>
        <v>2275</v>
      </c>
      <c r="G33" s="417"/>
    </row>
    <row r="34" spans="1:10" ht="12.75" customHeight="1">
      <c r="A34" s="406"/>
      <c r="B34" s="401"/>
      <c r="C34" s="401"/>
      <c r="D34" s="401"/>
      <c r="E34" s="401"/>
      <c r="F34" s="401"/>
      <c r="G34" s="417"/>
    </row>
    <row r="35" spans="1:10" ht="12.75" customHeight="1">
      <c r="A35" s="406"/>
      <c r="B35" s="401"/>
      <c r="C35" s="401"/>
      <c r="D35" s="401"/>
      <c r="E35" s="401"/>
      <c r="F35" s="401"/>
      <c r="G35" s="417"/>
    </row>
    <row r="36" spans="1:10" ht="12.75" customHeight="1">
      <c r="A36" s="406"/>
      <c r="B36" s="401"/>
      <c r="C36" s="401"/>
      <c r="D36" s="401"/>
      <c r="E36" s="401"/>
      <c r="F36" s="401"/>
      <c r="G36" s="417"/>
    </row>
    <row r="37" spans="1:10" ht="12.75" customHeight="1">
      <c r="A37" s="406"/>
      <c r="B37" s="401"/>
      <c r="C37" s="401"/>
      <c r="D37" s="401"/>
      <c r="E37" s="401"/>
      <c r="F37" s="401"/>
      <c r="G37" s="417"/>
    </row>
    <row r="38" spans="1:10" ht="12.75" customHeight="1">
      <c r="A38" s="406"/>
      <c r="B38" s="401"/>
      <c r="C38" s="401"/>
      <c r="D38" s="401"/>
      <c r="E38" s="401"/>
      <c r="F38" s="401" t="s">
        <v>189</v>
      </c>
      <c r="G38" s="417">
        <f t="shared" ref="G38:G2414" si="10">F32+F33+F34+F35+F36+F37</f>
        <v>5608.7916201261814</v>
      </c>
      <c r="I38">
        <v>7656</v>
      </c>
    </row>
    <row r="39" spans="1:10" ht="12.75" customHeight="1">
      <c r="A39" s="406"/>
      <c r="B39" s="401"/>
      <c r="C39" s="401"/>
      <c r="D39" s="401"/>
      <c r="E39" s="401"/>
      <c r="F39" s="401"/>
      <c r="G39" s="417"/>
    </row>
    <row r="40" spans="1:10" ht="12.75" customHeight="1">
      <c r="A40" s="406" t="s">
        <v>209</v>
      </c>
      <c r="B40" s="401"/>
      <c r="C40" s="401" t="s">
        <v>210</v>
      </c>
      <c r="D40" s="401" t="s">
        <v>211</v>
      </c>
      <c r="E40" s="401"/>
      <c r="F40" s="401"/>
      <c r="G40" s="417">
        <f t="shared" ref="G40:G2416" si="11">G13+G22+G29+G38</f>
        <v>5889.2312011324902</v>
      </c>
    </row>
    <row r="41" spans="1:10" ht="12.75" customHeight="1">
      <c r="A41" s="406"/>
      <c r="B41" s="401"/>
      <c r="C41" s="401"/>
      <c r="D41" s="401"/>
      <c r="E41" s="401"/>
      <c r="F41" s="401"/>
      <c r="G41" s="417"/>
    </row>
    <row r="42" spans="1:10" ht="12.75" customHeight="1">
      <c r="A42" s="406"/>
      <c r="B42" s="401"/>
      <c r="C42" s="401"/>
      <c r="D42" s="401"/>
      <c r="E42" s="401" t="s">
        <v>212</v>
      </c>
      <c r="F42" s="401"/>
      <c r="G42" s="417">
        <f t="shared" ref="G42:G2418" si="12">0.3*G40</f>
        <v>1766.769360339747</v>
      </c>
    </row>
    <row r="43" spans="1:10" ht="12.75" customHeight="1">
      <c r="A43" s="406"/>
      <c r="B43" s="401"/>
      <c r="C43" s="401"/>
      <c r="D43" s="401"/>
      <c r="E43" s="401"/>
      <c r="F43" s="401"/>
      <c r="G43" s="417"/>
    </row>
    <row r="44" spans="1:10" ht="12.75" customHeight="1" thickBot="1">
      <c r="A44" s="411" t="s">
        <v>213</v>
      </c>
      <c r="B44" s="412"/>
      <c r="C44" s="412"/>
      <c r="D44" s="412" t="s">
        <v>214</v>
      </c>
      <c r="E44" s="412"/>
      <c r="F44" s="412"/>
      <c r="G44" s="418">
        <f t="shared" ref="G44:G2420" si="13">G40+G42</f>
        <v>7656.0005614722377</v>
      </c>
    </row>
    <row r="45" spans="1:10" ht="15" customHeight="1">
      <c r="A45" s="468" t="s">
        <v>174</v>
      </c>
      <c r="B45" s="457"/>
      <c r="C45" s="457"/>
      <c r="D45" s="457"/>
      <c r="E45" s="457"/>
      <c r="F45" s="457"/>
      <c r="G45" s="457"/>
    </row>
    <row r="46" spans="1:10" ht="12.75" customHeight="1" thickBot="1"/>
    <row r="47" spans="1:10" ht="12.75" customHeight="1">
      <c r="A47" s="404" t="s">
        <v>175</v>
      </c>
      <c r="B47" s="405"/>
      <c r="C47" s="405"/>
      <c r="D47" s="428"/>
      <c r="E47" s="428"/>
      <c r="F47" s="428"/>
      <c r="G47" s="429"/>
      <c r="H47" s="94"/>
    </row>
    <row r="48" spans="1:10" ht="12.75" customHeight="1">
      <c r="A48" s="406" t="s">
        <v>368</v>
      </c>
      <c r="B48" s="401"/>
      <c r="C48" s="401"/>
      <c r="D48" s="401"/>
      <c r="E48" s="195"/>
      <c r="F48" s="402" t="s">
        <v>177</v>
      </c>
      <c r="G48" s="430">
        <f t="shared" ca="1" si="0"/>
        <v>46289</v>
      </c>
      <c r="H48" s="94"/>
      <c r="J48" s="97"/>
    </row>
    <row r="49" spans="1:8" ht="12.75" customHeight="1">
      <c r="A49" s="433"/>
      <c r="B49" s="426"/>
      <c r="C49" s="426"/>
      <c r="D49" s="426"/>
      <c r="E49" s="426"/>
      <c r="F49" s="426"/>
      <c r="G49" s="431"/>
      <c r="H49" s="94"/>
    </row>
    <row r="50" spans="1:8" ht="12.75" customHeight="1">
      <c r="A50" s="406" t="s">
        <v>370</v>
      </c>
      <c r="B50" s="401" t="s">
        <v>300</v>
      </c>
      <c r="C50" s="401"/>
      <c r="D50" s="401"/>
      <c r="E50" s="401"/>
      <c r="F50" s="401"/>
      <c r="G50" s="417"/>
      <c r="H50" s="94"/>
    </row>
    <row r="51" spans="1:8" ht="12.75" customHeight="1">
      <c r="A51" s="406"/>
      <c r="B51" s="401"/>
      <c r="C51" s="401" t="s">
        <v>179</v>
      </c>
      <c r="D51" s="401">
        <v>30</v>
      </c>
      <c r="E51" s="401" t="s">
        <v>180</v>
      </c>
      <c r="F51" s="401" t="s">
        <v>226</v>
      </c>
      <c r="G51" s="417"/>
      <c r="H51" s="94"/>
    </row>
    <row r="52" spans="1:8" ht="12.75" customHeight="1">
      <c r="A52" s="406" t="s">
        <v>182</v>
      </c>
      <c r="B52" s="401"/>
      <c r="C52" s="401"/>
      <c r="D52" s="401"/>
      <c r="E52" s="401"/>
      <c r="F52" s="401"/>
      <c r="G52" s="417"/>
      <c r="H52" s="94"/>
    </row>
    <row r="53" spans="1:8" ht="12.75" customHeight="1">
      <c r="A53" s="408" t="s">
        <v>111</v>
      </c>
      <c r="B53" s="169" t="s">
        <v>183</v>
      </c>
      <c r="C53" s="169" t="s">
        <v>184</v>
      </c>
      <c r="D53" s="169" t="s">
        <v>185</v>
      </c>
      <c r="E53" s="169" t="s">
        <v>186</v>
      </c>
      <c r="F53" s="401"/>
      <c r="G53" s="417"/>
      <c r="H53" s="94"/>
    </row>
    <row r="54" spans="1:8" ht="12.75" customHeight="1">
      <c r="A54" s="406" t="s">
        <v>187</v>
      </c>
      <c r="B54" s="401"/>
      <c r="C54" s="401"/>
      <c r="D54" s="401"/>
      <c r="E54" s="403">
        <f t="shared" si="1"/>
        <v>1923.0769328457504</v>
      </c>
      <c r="F54" s="401"/>
      <c r="G54" s="417"/>
      <c r="H54" s="94"/>
    </row>
    <row r="55" spans="1:8" ht="12.75" customHeight="1">
      <c r="A55" s="406"/>
      <c r="B55" s="401"/>
      <c r="C55" s="401"/>
      <c r="D55" s="401"/>
      <c r="E55" s="401"/>
      <c r="F55" s="401"/>
      <c r="G55" s="417"/>
      <c r="H55" s="94"/>
    </row>
    <row r="56" spans="1:8" ht="12.75" customHeight="1">
      <c r="A56" s="406"/>
      <c r="B56" s="401"/>
      <c r="C56" s="401"/>
      <c r="D56" s="401"/>
      <c r="E56" s="401"/>
      <c r="F56" s="401"/>
      <c r="G56" s="417"/>
      <c r="H56" s="94"/>
    </row>
    <row r="57" spans="1:8" ht="12.75" customHeight="1">
      <c r="A57" s="406"/>
      <c r="B57" s="401"/>
      <c r="C57" s="401"/>
      <c r="D57" s="401"/>
      <c r="E57" s="401"/>
      <c r="F57" s="401" t="s">
        <v>189</v>
      </c>
      <c r="G57" s="417">
        <f t="shared" si="2"/>
        <v>1923.0769328457504</v>
      </c>
      <c r="H57" s="94"/>
    </row>
    <row r="58" spans="1:8" ht="12.75" customHeight="1">
      <c r="A58" s="406" t="s">
        <v>191</v>
      </c>
      <c r="B58" s="401"/>
      <c r="C58" s="401"/>
      <c r="D58" s="401"/>
      <c r="E58" s="401"/>
      <c r="F58" s="401"/>
      <c r="G58" s="417"/>
      <c r="H58" s="94"/>
    </row>
    <row r="59" spans="1:8" ht="12.75" customHeight="1">
      <c r="A59" s="408" t="s">
        <v>111</v>
      </c>
      <c r="B59" s="169" t="s">
        <v>193</v>
      </c>
      <c r="C59" s="169" t="s">
        <v>194</v>
      </c>
      <c r="D59" s="169" t="s">
        <v>195</v>
      </c>
      <c r="E59" s="169" t="s">
        <v>186</v>
      </c>
      <c r="F59" s="401"/>
      <c r="G59" s="417"/>
      <c r="H59" s="94"/>
    </row>
    <row r="60" spans="1:8" ht="12.75" customHeight="1">
      <c r="A60" s="406"/>
      <c r="B60" s="401"/>
      <c r="C60" s="401"/>
      <c r="D60" s="401"/>
      <c r="E60" s="401"/>
      <c r="F60" s="401"/>
      <c r="G60" s="417"/>
      <c r="H60" s="94"/>
    </row>
    <row r="61" spans="1:8" ht="12.75" customHeight="1">
      <c r="A61" s="406"/>
      <c r="B61" s="401"/>
      <c r="C61" s="401"/>
      <c r="D61" s="401"/>
      <c r="E61" s="401"/>
      <c r="F61" s="401"/>
      <c r="G61" s="417"/>
      <c r="H61" s="94"/>
    </row>
    <row r="62" spans="1:8" ht="12.75" customHeight="1">
      <c r="A62" s="406"/>
      <c r="B62" s="401"/>
      <c r="C62" s="401"/>
      <c r="D62" s="401"/>
      <c r="E62" s="401"/>
      <c r="F62" s="401"/>
      <c r="G62" s="417"/>
      <c r="H62" s="94"/>
    </row>
    <row r="63" spans="1:8" ht="12.75" customHeight="1">
      <c r="A63" s="406"/>
      <c r="B63" s="401"/>
      <c r="C63" s="401"/>
      <c r="D63" s="401"/>
      <c r="E63" s="401"/>
      <c r="F63" s="401"/>
      <c r="G63" s="417"/>
      <c r="H63" s="94"/>
    </row>
    <row r="64" spans="1:8" ht="12.75" customHeight="1">
      <c r="A64" s="406"/>
      <c r="B64" s="401"/>
      <c r="C64" s="401"/>
      <c r="D64" s="401"/>
      <c r="E64" s="401"/>
      <c r="F64" s="401"/>
      <c r="G64" s="417"/>
      <c r="H64" s="94"/>
    </row>
    <row r="65" spans="1:8" ht="12.75" customHeight="1">
      <c r="A65" s="406"/>
      <c r="B65" s="401"/>
      <c r="C65" s="401"/>
      <c r="D65" s="401"/>
      <c r="E65" s="401"/>
      <c r="F65" s="401"/>
      <c r="G65" s="417"/>
      <c r="H65" s="94"/>
    </row>
    <row r="66" spans="1:8" ht="12.75" customHeight="1">
      <c r="A66" s="406"/>
      <c r="B66" s="401"/>
      <c r="C66" s="401"/>
      <c r="D66" s="401"/>
      <c r="E66" s="401"/>
      <c r="F66" s="401" t="s">
        <v>189</v>
      </c>
      <c r="G66" s="417">
        <f t="shared" si="5"/>
        <v>0</v>
      </c>
      <c r="H66" s="94"/>
    </row>
    <row r="67" spans="1:8" ht="12.75" customHeight="1">
      <c r="A67" s="406" t="s">
        <v>197</v>
      </c>
      <c r="B67" s="401"/>
      <c r="C67" s="401"/>
      <c r="D67" s="401"/>
      <c r="E67" s="401"/>
      <c r="F67" s="401"/>
      <c r="G67" s="417"/>
      <c r="H67" s="94"/>
    </row>
    <row r="68" spans="1:8" ht="12.75" customHeight="1">
      <c r="A68" s="408" t="s">
        <v>198</v>
      </c>
      <c r="B68" s="169" t="s">
        <v>199</v>
      </c>
      <c r="C68" s="169" t="s">
        <v>200</v>
      </c>
      <c r="D68" s="169" t="s">
        <v>201</v>
      </c>
      <c r="E68" s="169" t="s">
        <v>186</v>
      </c>
      <c r="F68" s="401"/>
      <c r="G68" s="417"/>
      <c r="H68" s="94"/>
    </row>
    <row r="69" spans="1:8" ht="12.75" customHeight="1">
      <c r="A69" s="406"/>
      <c r="B69" s="401"/>
      <c r="C69" s="401"/>
      <c r="D69" s="401"/>
      <c r="E69" s="401"/>
      <c r="F69" s="401"/>
      <c r="G69" s="417"/>
      <c r="H69" s="94"/>
    </row>
    <row r="70" spans="1:8" ht="12.75" customHeight="1">
      <c r="A70" s="406"/>
      <c r="B70" s="401"/>
      <c r="C70" s="401"/>
      <c r="D70" s="401"/>
      <c r="E70" s="401"/>
      <c r="F70" s="401"/>
      <c r="G70" s="417"/>
      <c r="H70" s="94"/>
    </row>
    <row r="71" spans="1:8" ht="12.75" customHeight="1">
      <c r="A71" s="406"/>
      <c r="B71" s="401"/>
      <c r="C71" s="401"/>
      <c r="D71" s="401"/>
      <c r="E71" s="401"/>
      <c r="F71" s="401"/>
      <c r="G71" s="417"/>
      <c r="H71" s="94"/>
    </row>
    <row r="72" spans="1:8" ht="12.75" customHeight="1">
      <c r="A72" s="406"/>
      <c r="B72" s="401"/>
      <c r="C72" s="401"/>
      <c r="D72" s="401"/>
      <c r="E72" s="401"/>
      <c r="F72" s="401"/>
      <c r="G72" s="417"/>
      <c r="H72" s="94"/>
    </row>
    <row r="73" spans="1:8" ht="12.75" customHeight="1">
      <c r="A73" s="406"/>
      <c r="B73" s="401"/>
      <c r="C73" s="401"/>
      <c r="D73" s="401"/>
      <c r="E73" s="401"/>
      <c r="F73" s="401" t="s">
        <v>189</v>
      </c>
      <c r="G73" s="417">
        <f t="shared" si="6"/>
        <v>0</v>
      </c>
      <c r="H73" s="94"/>
    </row>
    <row r="74" spans="1:8" ht="12.75" customHeight="1">
      <c r="A74" s="406" t="s">
        <v>202</v>
      </c>
      <c r="B74" s="401"/>
      <c r="C74" s="401"/>
      <c r="D74" s="401"/>
      <c r="E74" s="401"/>
      <c r="F74" s="401"/>
      <c r="G74" s="417"/>
      <c r="H74" s="94"/>
    </row>
    <row r="75" spans="1:8" ht="12.75" customHeight="1">
      <c r="A75" s="408" t="s">
        <v>203</v>
      </c>
      <c r="B75" s="169" t="s">
        <v>204</v>
      </c>
      <c r="C75" s="169" t="s">
        <v>205</v>
      </c>
      <c r="D75" s="169" t="s">
        <v>206</v>
      </c>
      <c r="E75" s="169" t="s">
        <v>207</v>
      </c>
      <c r="F75" s="169" t="s">
        <v>208</v>
      </c>
      <c r="G75" s="417"/>
      <c r="H75" s="94"/>
    </row>
    <row r="76" spans="1:8" ht="12.75" customHeight="1">
      <c r="A76" s="406" t="s">
        <v>227</v>
      </c>
      <c r="B76" s="401">
        <f>+B33*2</f>
        <v>182000</v>
      </c>
      <c r="C76" s="403">
        <f t="shared" si="7"/>
        <v>136500</v>
      </c>
      <c r="D76" s="403">
        <f t="shared" si="8"/>
        <v>318500</v>
      </c>
      <c r="E76" s="401">
        <v>8.2809999579342577</v>
      </c>
      <c r="F76" s="403">
        <f t="shared" si="9"/>
        <v>38461.538656915007</v>
      </c>
      <c r="G76" s="417"/>
      <c r="H76" s="94"/>
    </row>
    <row r="77" spans="1:8" ht="12.75" customHeight="1">
      <c r="A77" s="406"/>
      <c r="B77" s="401"/>
      <c r="C77" s="401"/>
      <c r="D77" s="401"/>
      <c r="E77" s="401"/>
      <c r="F77" s="401"/>
      <c r="G77" s="417"/>
      <c r="H77" s="94"/>
    </row>
    <row r="78" spans="1:8" ht="12.75" customHeight="1">
      <c r="A78" s="406"/>
      <c r="B78" s="401"/>
      <c r="C78" s="401"/>
      <c r="D78" s="401"/>
      <c r="E78" s="401"/>
      <c r="F78" s="401"/>
      <c r="G78" s="417"/>
      <c r="H78" s="94"/>
    </row>
    <row r="79" spans="1:8" ht="12.75" customHeight="1">
      <c r="A79" s="406"/>
      <c r="B79" s="401"/>
      <c r="C79" s="401"/>
      <c r="D79" s="401"/>
      <c r="E79" s="401"/>
      <c r="F79" s="401"/>
      <c r="G79" s="417"/>
      <c r="H79" s="94"/>
    </row>
    <row r="80" spans="1:8" ht="12.75" customHeight="1">
      <c r="A80" s="406"/>
      <c r="B80" s="401"/>
      <c r="C80" s="401"/>
      <c r="D80" s="401"/>
      <c r="E80" s="401"/>
      <c r="F80" s="401"/>
      <c r="G80" s="417"/>
      <c r="H80" s="94"/>
    </row>
    <row r="81" spans="1:9" ht="12.75" customHeight="1">
      <c r="A81" s="406"/>
      <c r="B81" s="401"/>
      <c r="C81" s="401"/>
      <c r="D81" s="401"/>
      <c r="E81" s="401"/>
      <c r="F81" s="401"/>
      <c r="G81" s="417"/>
      <c r="H81" s="94"/>
    </row>
    <row r="82" spans="1:9" ht="12.75" customHeight="1">
      <c r="A82" s="433"/>
      <c r="B82" s="426"/>
      <c r="C82" s="426"/>
      <c r="D82" s="426"/>
      <c r="E82" s="426"/>
      <c r="F82" s="401" t="s">
        <v>189</v>
      </c>
      <c r="G82" s="417">
        <f t="shared" si="10"/>
        <v>38461.538656915007</v>
      </c>
      <c r="H82" s="94"/>
    </row>
    <row r="83" spans="1:9" ht="12.75" customHeight="1">
      <c r="A83" s="433"/>
      <c r="B83" s="426"/>
      <c r="C83" s="426"/>
      <c r="D83" s="426"/>
      <c r="E83" s="426"/>
      <c r="F83" s="426"/>
      <c r="G83" s="431"/>
      <c r="H83" s="94"/>
    </row>
    <row r="84" spans="1:9" ht="12.75" customHeight="1">
      <c r="A84" s="406" t="s">
        <v>209</v>
      </c>
      <c r="B84" s="401"/>
      <c r="C84" s="401" t="s">
        <v>210</v>
      </c>
      <c r="D84" s="401" t="s">
        <v>211</v>
      </c>
      <c r="E84" s="401"/>
      <c r="F84" s="401"/>
      <c r="G84" s="417">
        <f t="shared" si="11"/>
        <v>40384.61558976076</v>
      </c>
      <c r="H84" s="94"/>
      <c r="I84">
        <v>47775</v>
      </c>
    </row>
    <row r="85" spans="1:9" ht="12.75" customHeight="1">
      <c r="A85" s="406"/>
      <c r="B85" s="401"/>
      <c r="C85" s="401"/>
      <c r="D85" s="401"/>
      <c r="E85" s="401"/>
      <c r="F85" s="401"/>
      <c r="G85" s="417"/>
      <c r="H85" s="94"/>
    </row>
    <row r="86" spans="1:9" ht="12.75" customHeight="1">
      <c r="A86" s="406"/>
      <c r="B86" s="401"/>
      <c r="C86" s="401"/>
      <c r="D86" s="401"/>
      <c r="E86" s="401" t="s">
        <v>212</v>
      </c>
      <c r="F86" s="401"/>
      <c r="G86" s="417">
        <f t="shared" si="12"/>
        <v>12115.384676928228</v>
      </c>
      <c r="H86" s="94"/>
    </row>
    <row r="87" spans="1:9" ht="12.75" customHeight="1">
      <c r="A87" s="406"/>
      <c r="B87" s="401"/>
      <c r="C87" s="401"/>
      <c r="D87" s="401"/>
      <c r="E87" s="401"/>
      <c r="F87" s="401"/>
      <c r="G87" s="417"/>
      <c r="H87" s="94"/>
    </row>
    <row r="88" spans="1:9" ht="12.75" customHeight="1" thickBot="1">
      <c r="A88" s="411" t="s">
        <v>213</v>
      </c>
      <c r="B88" s="412"/>
      <c r="C88" s="412"/>
      <c r="D88" s="412" t="s">
        <v>214</v>
      </c>
      <c r="E88" s="412"/>
      <c r="F88" s="412"/>
      <c r="G88" s="418">
        <f t="shared" si="13"/>
        <v>52500.000266688992</v>
      </c>
      <c r="H88" s="94"/>
    </row>
    <row r="89" spans="1:9" ht="15" customHeight="1">
      <c r="A89" s="468" t="s">
        <v>174</v>
      </c>
      <c r="B89" s="457"/>
      <c r="C89" s="457"/>
      <c r="D89" s="457"/>
      <c r="E89" s="457"/>
      <c r="F89" s="457"/>
      <c r="G89" s="457"/>
    </row>
    <row r="90" spans="1:9" ht="15" customHeight="1" thickBot="1"/>
    <row r="91" spans="1:9" ht="12.75" customHeight="1">
      <c r="A91" s="404" t="s">
        <v>175</v>
      </c>
      <c r="B91" s="405"/>
      <c r="C91" s="405"/>
      <c r="D91" s="428"/>
      <c r="E91" s="428"/>
      <c r="F91" s="428"/>
      <c r="G91" s="429"/>
    </row>
    <row r="92" spans="1:9" ht="12.75" customHeight="1">
      <c r="A92" s="406" t="s">
        <v>368</v>
      </c>
      <c r="B92" s="401"/>
      <c r="C92" s="401"/>
      <c r="D92" s="401"/>
      <c r="E92" s="195"/>
      <c r="F92" s="402" t="s">
        <v>177</v>
      </c>
      <c r="G92" s="430">
        <f t="shared" ca="1" si="0"/>
        <v>46289</v>
      </c>
    </row>
    <row r="93" spans="1:9" ht="12.75" customHeight="1">
      <c r="A93" s="433"/>
      <c r="B93" s="426"/>
      <c r="C93" s="426"/>
      <c r="D93" s="426"/>
      <c r="E93" s="426"/>
      <c r="F93" s="426"/>
      <c r="G93" s="431"/>
    </row>
    <row r="94" spans="1:9" ht="12.75" customHeight="1">
      <c r="A94" s="406" t="s">
        <v>371</v>
      </c>
      <c r="B94" s="401" t="s">
        <v>229</v>
      </c>
      <c r="C94" s="401"/>
      <c r="D94" s="401"/>
      <c r="E94" s="401"/>
      <c r="F94" s="401"/>
      <c r="G94" s="417"/>
    </row>
    <row r="95" spans="1:9" ht="12.75" customHeight="1">
      <c r="A95" s="406"/>
      <c r="B95" s="401"/>
      <c r="C95" s="401" t="s">
        <v>179</v>
      </c>
      <c r="D95" s="401">
        <v>2</v>
      </c>
      <c r="E95" s="401" t="s">
        <v>180</v>
      </c>
      <c r="F95" s="401" t="s">
        <v>226</v>
      </c>
      <c r="G95" s="417"/>
    </row>
    <row r="96" spans="1:9" ht="12.75" customHeight="1">
      <c r="A96" s="406" t="s">
        <v>182</v>
      </c>
      <c r="B96" s="401"/>
      <c r="C96" s="401"/>
      <c r="D96" s="401"/>
      <c r="E96" s="401"/>
      <c r="F96" s="401"/>
      <c r="G96" s="417"/>
    </row>
    <row r="97" spans="1:7" ht="12.75" customHeight="1">
      <c r="A97" s="408" t="s">
        <v>111</v>
      </c>
      <c r="B97" s="169" t="s">
        <v>183</v>
      </c>
      <c r="C97" s="169" t="s">
        <v>184</v>
      </c>
      <c r="D97" s="169" t="s">
        <v>185</v>
      </c>
      <c r="E97" s="169" t="s">
        <v>186</v>
      </c>
      <c r="F97" s="401"/>
      <c r="G97" s="417"/>
    </row>
    <row r="98" spans="1:7" ht="12.75" customHeight="1">
      <c r="A98" s="406" t="s">
        <v>187</v>
      </c>
      <c r="B98" s="401"/>
      <c r="C98" s="401"/>
      <c r="D98" s="401"/>
      <c r="E98" s="403">
        <f t="shared" si="1"/>
        <v>2650.183162228017</v>
      </c>
      <c r="F98" s="401"/>
      <c r="G98" s="417"/>
    </row>
    <row r="99" spans="1:7" ht="12.75" customHeight="1">
      <c r="A99" s="406"/>
      <c r="B99" s="401"/>
      <c r="C99" s="401"/>
      <c r="D99" s="401"/>
      <c r="E99" s="401"/>
      <c r="F99" s="401"/>
      <c r="G99" s="417"/>
    </row>
    <row r="100" spans="1:7" ht="12.75" customHeight="1">
      <c r="A100" s="406"/>
      <c r="B100" s="401"/>
      <c r="C100" s="401"/>
      <c r="D100" s="401"/>
      <c r="E100" s="401"/>
      <c r="F100" s="401"/>
      <c r="G100" s="417"/>
    </row>
    <row r="101" spans="1:7" ht="12.75" customHeight="1">
      <c r="A101" s="406"/>
      <c r="B101" s="401"/>
      <c r="C101" s="401"/>
      <c r="D101" s="401"/>
      <c r="E101" s="401"/>
      <c r="F101" s="401" t="s">
        <v>189</v>
      </c>
      <c r="G101" s="417">
        <f t="shared" si="2"/>
        <v>2650.183162228017</v>
      </c>
    </row>
    <row r="102" spans="1:7" ht="12.75" customHeight="1">
      <c r="A102" s="406" t="s">
        <v>191</v>
      </c>
      <c r="B102" s="401"/>
      <c r="C102" s="401"/>
      <c r="D102" s="401"/>
      <c r="E102" s="401"/>
      <c r="F102" s="401"/>
      <c r="G102" s="417"/>
    </row>
    <row r="103" spans="1:7" ht="12.75" customHeight="1">
      <c r="A103" s="408" t="s">
        <v>111</v>
      </c>
      <c r="B103" s="169" t="s">
        <v>193</v>
      </c>
      <c r="C103" s="169" t="s">
        <v>194</v>
      </c>
      <c r="D103" s="169" t="s">
        <v>195</v>
      </c>
      <c r="E103" s="169" t="s">
        <v>186</v>
      </c>
      <c r="F103" s="401"/>
      <c r="G103" s="417"/>
    </row>
    <row r="104" spans="1:7" ht="12.75" customHeight="1">
      <c r="A104" s="406" t="s">
        <v>372</v>
      </c>
      <c r="B104" s="401" t="s">
        <v>220</v>
      </c>
      <c r="C104" s="401">
        <f>+Bocatoma!C148</f>
        <v>75000</v>
      </c>
      <c r="D104" s="401">
        <v>1</v>
      </c>
      <c r="E104" s="401">
        <f>+C104*D104</f>
        <v>75000</v>
      </c>
      <c r="F104" s="401"/>
      <c r="G104" s="417"/>
    </row>
    <row r="105" spans="1:7" ht="12.75" customHeight="1">
      <c r="A105" s="406"/>
      <c r="B105" s="401"/>
      <c r="C105" s="401"/>
      <c r="D105" s="401"/>
      <c r="E105" s="401"/>
      <c r="F105" s="401"/>
      <c r="G105" s="417"/>
    </row>
    <row r="106" spans="1:7" ht="12.75" customHeight="1">
      <c r="A106" s="406"/>
      <c r="B106" s="401"/>
      <c r="C106" s="401"/>
      <c r="D106" s="401"/>
      <c r="E106" s="401"/>
      <c r="F106" s="401"/>
      <c r="G106" s="417"/>
    </row>
    <row r="107" spans="1:7" ht="12.75" customHeight="1">
      <c r="A107" s="406"/>
      <c r="B107" s="401"/>
      <c r="C107" s="401"/>
      <c r="D107" s="401"/>
      <c r="E107" s="401"/>
      <c r="F107" s="401"/>
      <c r="G107" s="417"/>
    </row>
    <row r="108" spans="1:7" ht="12.75" customHeight="1">
      <c r="A108" s="406"/>
      <c r="B108" s="401"/>
      <c r="C108" s="401"/>
      <c r="D108" s="401"/>
      <c r="E108" s="401"/>
      <c r="F108" s="401"/>
      <c r="G108" s="417"/>
    </row>
    <row r="109" spans="1:7" ht="12.75" customHeight="1">
      <c r="A109" s="406"/>
      <c r="B109" s="401"/>
      <c r="C109" s="401"/>
      <c r="D109" s="401"/>
      <c r="E109" s="401"/>
      <c r="F109" s="401"/>
      <c r="G109" s="417"/>
    </row>
    <row r="110" spans="1:7" ht="12.75" customHeight="1">
      <c r="A110" s="406"/>
      <c r="B110" s="401"/>
      <c r="C110" s="401"/>
      <c r="D110" s="401"/>
      <c r="E110" s="401"/>
      <c r="F110" s="401" t="s">
        <v>189</v>
      </c>
      <c r="G110" s="417">
        <f t="shared" si="5"/>
        <v>75000</v>
      </c>
    </row>
    <row r="111" spans="1:7" ht="12.75" customHeight="1">
      <c r="A111" s="406" t="s">
        <v>197</v>
      </c>
      <c r="B111" s="401"/>
      <c r="C111" s="401"/>
      <c r="D111" s="401"/>
      <c r="E111" s="401"/>
      <c r="F111" s="401"/>
      <c r="G111" s="417"/>
    </row>
    <row r="112" spans="1:7" ht="12.75" customHeight="1">
      <c r="A112" s="408" t="s">
        <v>198</v>
      </c>
      <c r="B112" s="169" t="s">
        <v>199</v>
      </c>
      <c r="C112" s="169" t="s">
        <v>200</v>
      </c>
      <c r="D112" s="169" t="s">
        <v>201</v>
      </c>
      <c r="E112" s="169" t="s">
        <v>186</v>
      </c>
      <c r="F112" s="401"/>
      <c r="G112" s="417"/>
    </row>
    <row r="113" spans="1:9" ht="12.75" customHeight="1">
      <c r="A113" s="406" t="s">
        <v>306</v>
      </c>
      <c r="B113" s="401"/>
      <c r="C113" s="401"/>
      <c r="D113" s="401"/>
      <c r="E113" s="401">
        <v>20000</v>
      </c>
      <c r="F113" s="401"/>
      <c r="G113" s="417"/>
    </row>
    <row r="114" spans="1:9" ht="12.75" customHeight="1">
      <c r="A114" s="406"/>
      <c r="B114" s="401"/>
      <c r="C114" s="401"/>
      <c r="D114" s="401"/>
      <c r="E114" s="401"/>
      <c r="F114" s="401"/>
      <c r="G114" s="417"/>
    </row>
    <row r="115" spans="1:9" ht="12.75" customHeight="1">
      <c r="A115" s="406"/>
      <c r="B115" s="401"/>
      <c r="C115" s="401"/>
      <c r="D115" s="401"/>
      <c r="E115" s="401"/>
      <c r="F115" s="401"/>
      <c r="G115" s="417"/>
    </row>
    <row r="116" spans="1:9" ht="12.75" customHeight="1">
      <c r="A116" s="406"/>
      <c r="B116" s="401"/>
      <c r="C116" s="401"/>
      <c r="D116" s="401"/>
      <c r="E116" s="401"/>
      <c r="F116" s="401"/>
      <c r="G116" s="417"/>
    </row>
    <row r="117" spans="1:9" ht="12.75" customHeight="1">
      <c r="A117" s="406"/>
      <c r="B117" s="401"/>
      <c r="C117" s="401"/>
      <c r="D117" s="401"/>
      <c r="E117" s="401"/>
      <c r="F117" s="401" t="s">
        <v>189</v>
      </c>
      <c r="G117" s="417">
        <f t="shared" si="6"/>
        <v>20000</v>
      </c>
    </row>
    <row r="118" spans="1:9" ht="12.75" customHeight="1">
      <c r="A118" s="406" t="s">
        <v>202</v>
      </c>
      <c r="B118" s="401"/>
      <c r="C118" s="401"/>
      <c r="D118" s="401"/>
      <c r="E118" s="401"/>
      <c r="F118" s="401"/>
      <c r="G118" s="417"/>
    </row>
    <row r="119" spans="1:9" ht="12.75" customHeight="1">
      <c r="A119" s="408" t="s">
        <v>203</v>
      </c>
      <c r="B119" s="169" t="s">
        <v>204</v>
      </c>
      <c r="C119" s="169" t="s">
        <v>205</v>
      </c>
      <c r="D119" s="169" t="s">
        <v>206</v>
      </c>
      <c r="E119" s="169" t="s">
        <v>207</v>
      </c>
      <c r="F119" s="169" t="s">
        <v>208</v>
      </c>
      <c r="G119" s="417"/>
    </row>
    <row r="120" spans="1:9" ht="12.75" customHeight="1">
      <c r="A120" s="406" t="s">
        <v>192</v>
      </c>
      <c r="B120" s="401">
        <v>120000</v>
      </c>
      <c r="C120" s="401">
        <f t="shared" si="7"/>
        <v>90000</v>
      </c>
      <c r="D120" s="401">
        <f t="shared" si="8"/>
        <v>210000</v>
      </c>
      <c r="E120" s="403">
        <v>7.5456549608004364</v>
      </c>
      <c r="F120" s="403">
        <f t="shared" si="9"/>
        <v>27830.586091061257</v>
      </c>
      <c r="G120" s="417"/>
    </row>
    <row r="121" spans="1:9" ht="12.75" customHeight="1">
      <c r="A121" s="406" t="s">
        <v>307</v>
      </c>
      <c r="B121" s="401">
        <f>+B33</f>
        <v>91000</v>
      </c>
      <c r="C121" s="403">
        <f t="shared" si="7"/>
        <v>68250</v>
      </c>
      <c r="D121" s="403">
        <f t="shared" si="8"/>
        <v>159250</v>
      </c>
      <c r="E121" s="403">
        <v>6.3262031506491496</v>
      </c>
      <c r="F121" s="403">
        <f t="shared" si="9"/>
        <v>25173.077153499078</v>
      </c>
      <c r="G121" s="417"/>
    </row>
    <row r="122" spans="1:9" ht="12.75" customHeight="1">
      <c r="A122" s="406"/>
      <c r="B122" s="401"/>
      <c r="C122" s="401"/>
      <c r="D122" s="401"/>
      <c r="E122" s="401"/>
      <c r="F122" s="401"/>
      <c r="G122" s="417"/>
    </row>
    <row r="123" spans="1:9" ht="12.75" customHeight="1">
      <c r="A123" s="406"/>
      <c r="B123" s="401"/>
      <c r="C123" s="401"/>
      <c r="D123" s="401"/>
      <c r="E123" s="401"/>
      <c r="F123" s="401"/>
      <c r="G123" s="417"/>
    </row>
    <row r="124" spans="1:9" ht="12.75" customHeight="1">
      <c r="A124" s="406"/>
      <c r="B124" s="401"/>
      <c r="C124" s="401"/>
      <c r="D124" s="401"/>
      <c r="E124" s="401"/>
      <c r="F124" s="401"/>
      <c r="G124" s="417"/>
    </row>
    <row r="125" spans="1:9" ht="12.75" customHeight="1">
      <c r="A125" s="406"/>
      <c r="B125" s="401"/>
      <c r="C125" s="401"/>
      <c r="D125" s="401"/>
      <c r="E125" s="401"/>
      <c r="F125" s="401"/>
      <c r="G125" s="417"/>
    </row>
    <row r="126" spans="1:9" ht="12.75" customHeight="1">
      <c r="A126" s="406"/>
      <c r="B126" s="401"/>
      <c r="C126" s="401"/>
      <c r="D126" s="401"/>
      <c r="E126" s="401"/>
      <c r="F126" s="401" t="s">
        <v>189</v>
      </c>
      <c r="G126" s="417">
        <f t="shared" si="10"/>
        <v>53003.663244560332</v>
      </c>
    </row>
    <row r="127" spans="1:9" ht="12.75" customHeight="1">
      <c r="A127" s="406"/>
      <c r="B127" s="401"/>
      <c r="C127" s="401"/>
      <c r="D127" s="401"/>
      <c r="E127" s="401"/>
      <c r="F127" s="401"/>
      <c r="G127" s="417"/>
    </row>
    <row r="128" spans="1:9" ht="12.75" customHeight="1">
      <c r="A128" s="406" t="s">
        <v>209</v>
      </c>
      <c r="B128" s="401"/>
      <c r="C128" s="401" t="s">
        <v>210</v>
      </c>
      <c r="D128" s="401" t="s">
        <v>211</v>
      </c>
      <c r="E128" s="401"/>
      <c r="F128" s="401"/>
      <c r="G128" s="417">
        <f t="shared" si="11"/>
        <v>150653.84640678833</v>
      </c>
      <c r="I128">
        <v>192542.5</v>
      </c>
    </row>
    <row r="129" spans="1:7" ht="12.75" customHeight="1">
      <c r="A129" s="406"/>
      <c r="B129" s="401"/>
      <c r="C129" s="401"/>
      <c r="D129" s="401"/>
      <c r="E129" s="401"/>
      <c r="F129" s="401"/>
      <c r="G129" s="417"/>
    </row>
    <row r="130" spans="1:7" ht="12.75" customHeight="1">
      <c r="A130" s="406"/>
      <c r="B130" s="401"/>
      <c r="C130" s="401"/>
      <c r="D130" s="401"/>
      <c r="E130" s="401" t="s">
        <v>212</v>
      </c>
      <c r="F130" s="401"/>
      <c r="G130" s="417">
        <f t="shared" si="12"/>
        <v>45196.153922036501</v>
      </c>
    </row>
    <row r="131" spans="1:7" ht="12.75" customHeight="1">
      <c r="A131" s="406"/>
      <c r="B131" s="401"/>
      <c r="C131" s="401"/>
      <c r="D131" s="401"/>
      <c r="E131" s="401"/>
      <c r="F131" s="401"/>
      <c r="G131" s="417"/>
    </row>
    <row r="132" spans="1:7" ht="12.75" customHeight="1" thickBot="1">
      <c r="A132" s="411" t="s">
        <v>213</v>
      </c>
      <c r="B132" s="412"/>
      <c r="C132" s="412"/>
      <c r="D132" s="412" t="s">
        <v>214</v>
      </c>
      <c r="E132" s="412"/>
      <c r="F132" s="412"/>
      <c r="G132" s="418">
        <f t="shared" si="13"/>
        <v>195850.00032882483</v>
      </c>
    </row>
    <row r="133" spans="1:7" ht="15" customHeight="1">
      <c r="A133" s="468" t="s">
        <v>174</v>
      </c>
      <c r="B133" s="457"/>
      <c r="C133" s="457"/>
      <c r="D133" s="457"/>
      <c r="E133" s="457"/>
      <c r="F133" s="457"/>
      <c r="G133" s="457"/>
    </row>
    <row r="134" spans="1:7" ht="12.75" customHeight="1" thickBot="1"/>
    <row r="135" spans="1:7" ht="12.75" customHeight="1">
      <c r="A135" s="404" t="s">
        <v>175</v>
      </c>
      <c r="B135" s="405"/>
      <c r="C135" s="405"/>
      <c r="D135" s="428"/>
      <c r="E135" s="428"/>
      <c r="F135" s="428"/>
      <c r="G135" s="429"/>
    </row>
    <row r="136" spans="1:7" ht="15" customHeight="1">
      <c r="A136" s="406" t="s">
        <v>368</v>
      </c>
      <c r="B136" s="401"/>
      <c r="C136" s="401"/>
      <c r="D136" s="401"/>
      <c r="E136" s="195"/>
      <c r="F136" s="402" t="s">
        <v>177</v>
      </c>
      <c r="G136" s="430">
        <f t="shared" ca="1" si="0"/>
        <v>46289</v>
      </c>
    </row>
    <row r="137" spans="1:7" ht="12.75" customHeight="1">
      <c r="A137" s="406"/>
      <c r="B137" s="401"/>
      <c r="C137" s="401"/>
      <c r="D137" s="401"/>
      <c r="E137" s="401"/>
      <c r="F137" s="401"/>
      <c r="G137" s="417"/>
    </row>
    <row r="138" spans="1:7" ht="12.75" customHeight="1">
      <c r="A138" s="406" t="s">
        <v>373</v>
      </c>
      <c r="B138" s="401" t="s">
        <v>374</v>
      </c>
      <c r="C138" s="401"/>
      <c r="D138" s="401"/>
      <c r="E138" s="401"/>
      <c r="F138" s="401"/>
      <c r="G138" s="417"/>
    </row>
    <row r="139" spans="1:7" ht="12.75" customHeight="1">
      <c r="A139" s="406"/>
      <c r="B139" s="401"/>
      <c r="C139" s="401" t="s">
        <v>179</v>
      </c>
      <c r="D139" s="439">
        <v>60</v>
      </c>
      <c r="E139" s="401" t="s">
        <v>180</v>
      </c>
      <c r="F139" s="401" t="s">
        <v>181</v>
      </c>
      <c r="G139" s="417"/>
    </row>
    <row r="140" spans="1:7" ht="12.75" customHeight="1">
      <c r="A140" s="406" t="s">
        <v>182</v>
      </c>
      <c r="B140" s="401"/>
      <c r="C140" s="401"/>
      <c r="D140" s="401"/>
      <c r="E140" s="401"/>
      <c r="F140" s="401"/>
      <c r="G140" s="417"/>
    </row>
    <row r="141" spans="1:7" ht="12.75" customHeight="1">
      <c r="A141" s="408" t="s">
        <v>111</v>
      </c>
      <c r="B141" s="169" t="s">
        <v>183</v>
      </c>
      <c r="C141" s="169" t="s">
        <v>184</v>
      </c>
      <c r="D141" s="169" t="s">
        <v>185</v>
      </c>
      <c r="E141" s="169" t="s">
        <v>186</v>
      </c>
      <c r="F141" s="401"/>
      <c r="G141" s="417"/>
    </row>
    <row r="142" spans="1:7" ht="12.75" customHeight="1">
      <c r="A142" s="406" t="s">
        <v>187</v>
      </c>
      <c r="B142" s="401"/>
      <c r="C142" s="401"/>
      <c r="D142" s="401"/>
      <c r="E142" s="403">
        <f t="shared" si="1"/>
        <v>1914.4230769270202</v>
      </c>
      <c r="F142" s="401"/>
      <c r="G142" s="417"/>
    </row>
    <row r="143" spans="1:7" ht="12.75" customHeight="1">
      <c r="A143" s="406"/>
      <c r="B143" s="401"/>
      <c r="C143" s="401"/>
      <c r="D143" s="401"/>
      <c r="E143" s="403"/>
      <c r="F143" s="401"/>
      <c r="G143" s="417"/>
    </row>
    <row r="144" spans="1:7" ht="12.75" customHeight="1">
      <c r="A144" s="406"/>
      <c r="B144" s="401"/>
      <c r="C144" s="401"/>
      <c r="D144" s="401"/>
      <c r="E144" s="403"/>
      <c r="F144" s="401"/>
      <c r="G144" s="417"/>
    </row>
    <row r="145" spans="1:7" ht="12.75" customHeight="1">
      <c r="A145" s="406"/>
      <c r="B145" s="401"/>
      <c r="C145" s="401"/>
      <c r="D145" s="401"/>
      <c r="E145" s="401"/>
      <c r="F145" s="401" t="s">
        <v>189</v>
      </c>
      <c r="G145" s="417">
        <f t="shared" si="2"/>
        <v>1914.4230769270202</v>
      </c>
    </row>
    <row r="146" spans="1:7" ht="12.75" customHeight="1">
      <c r="A146" s="406" t="s">
        <v>191</v>
      </c>
      <c r="B146" s="401"/>
      <c r="C146" s="401"/>
      <c r="D146" s="401"/>
      <c r="E146" s="401"/>
      <c r="F146" s="401"/>
      <c r="G146" s="417"/>
    </row>
    <row r="147" spans="1:7" ht="12.75" customHeight="1">
      <c r="A147" s="408" t="s">
        <v>111</v>
      </c>
      <c r="B147" s="169" t="s">
        <v>193</v>
      </c>
      <c r="C147" s="169" t="s">
        <v>194</v>
      </c>
      <c r="D147" s="169" t="s">
        <v>195</v>
      </c>
      <c r="E147" s="169" t="s">
        <v>186</v>
      </c>
      <c r="F147" s="401"/>
      <c r="G147" s="417"/>
    </row>
    <row r="148" spans="1:7" ht="12.75" customHeight="1">
      <c r="A148" s="406" t="s">
        <v>375</v>
      </c>
      <c r="B148" s="169" t="s">
        <v>226</v>
      </c>
      <c r="C148" s="401">
        <f>+Bocatoma!C194</f>
        <v>170000</v>
      </c>
      <c r="D148" s="427">
        <f>1.05*0.15</f>
        <v>0.1575</v>
      </c>
      <c r="E148" s="401">
        <f t="shared" ref="E148:E2349" si="14">C148*D148</f>
        <v>26775</v>
      </c>
      <c r="F148" s="401"/>
      <c r="G148" s="417"/>
    </row>
    <row r="149" spans="1:7" ht="12.75" customHeight="1">
      <c r="A149" s="406" t="s">
        <v>376</v>
      </c>
      <c r="B149" s="169" t="s">
        <v>226</v>
      </c>
      <c r="C149" s="401">
        <f>+Bocatoma!C193</f>
        <v>200000</v>
      </c>
      <c r="D149" s="427">
        <f>0.05*1.05</f>
        <v>5.2500000000000005E-2</v>
      </c>
      <c r="E149" s="401">
        <f t="shared" si="14"/>
        <v>10500.000000000002</v>
      </c>
      <c r="F149" s="401"/>
      <c r="G149" s="417"/>
    </row>
    <row r="150" spans="1:7" ht="12.75" customHeight="1">
      <c r="A150" s="406"/>
      <c r="B150" s="401"/>
      <c r="C150" s="401"/>
      <c r="D150" s="401"/>
      <c r="E150" s="401"/>
      <c r="F150" s="401"/>
      <c r="G150" s="417"/>
    </row>
    <row r="151" spans="1:7" ht="12.75" customHeight="1">
      <c r="A151" s="406"/>
      <c r="B151" s="169"/>
      <c r="C151" s="401"/>
      <c r="D151" s="401"/>
      <c r="E151" s="401"/>
      <c r="F151" s="401"/>
      <c r="G151" s="417"/>
    </row>
    <row r="152" spans="1:7" ht="12.75" customHeight="1">
      <c r="A152" s="406"/>
      <c r="B152" s="169"/>
      <c r="C152" s="403"/>
      <c r="D152" s="401"/>
      <c r="E152" s="403"/>
      <c r="F152" s="401"/>
      <c r="G152" s="417"/>
    </row>
    <row r="153" spans="1:7" ht="12.75" customHeight="1">
      <c r="A153" s="406"/>
      <c r="B153" s="401"/>
      <c r="C153" s="401"/>
      <c r="D153" s="401"/>
      <c r="E153" s="401"/>
      <c r="F153" s="401"/>
      <c r="G153" s="417"/>
    </row>
    <row r="154" spans="1:7" ht="12.75" customHeight="1">
      <c r="A154" s="406"/>
      <c r="B154" s="401"/>
      <c r="C154" s="401"/>
      <c r="D154" s="401"/>
      <c r="E154" s="401"/>
      <c r="F154" s="401" t="s">
        <v>189</v>
      </c>
      <c r="G154" s="417">
        <f t="shared" si="5"/>
        <v>37275</v>
      </c>
    </row>
    <row r="155" spans="1:7" ht="12.75" customHeight="1">
      <c r="A155" s="406" t="s">
        <v>197</v>
      </c>
      <c r="B155" s="401"/>
      <c r="C155" s="401"/>
      <c r="D155" s="401"/>
      <c r="E155" s="401"/>
      <c r="F155" s="401"/>
      <c r="G155" s="417"/>
    </row>
    <row r="156" spans="1:7" ht="12.75" customHeight="1">
      <c r="A156" s="408" t="s">
        <v>198</v>
      </c>
      <c r="B156" s="169" t="s">
        <v>199</v>
      </c>
      <c r="C156" s="169" t="s">
        <v>200</v>
      </c>
      <c r="D156" s="169" t="s">
        <v>201</v>
      </c>
      <c r="E156" s="169" t="s">
        <v>186</v>
      </c>
      <c r="F156" s="401"/>
      <c r="G156" s="417"/>
    </row>
    <row r="157" spans="1:7" ht="12.75" customHeight="1">
      <c r="A157" s="406" t="s">
        <v>243</v>
      </c>
      <c r="B157" s="401"/>
      <c r="C157" s="401"/>
      <c r="D157" s="401"/>
      <c r="E157" s="403">
        <v>32685.961538378728</v>
      </c>
      <c r="F157" s="401"/>
      <c r="G157" s="417"/>
    </row>
    <row r="158" spans="1:7" ht="12.75" customHeight="1">
      <c r="A158" s="406"/>
      <c r="B158" s="401"/>
      <c r="C158" s="401"/>
      <c r="D158" s="401"/>
      <c r="E158" s="401"/>
      <c r="F158" s="401"/>
      <c r="G158" s="417"/>
    </row>
    <row r="159" spans="1:7" ht="12.75" customHeight="1">
      <c r="A159" s="406"/>
      <c r="B159" s="401"/>
      <c r="C159" s="401"/>
      <c r="D159" s="401"/>
      <c r="E159" s="401"/>
      <c r="F159" s="401"/>
      <c r="G159" s="417"/>
    </row>
    <row r="160" spans="1:7" ht="12.75" customHeight="1">
      <c r="A160" s="406"/>
      <c r="B160" s="401"/>
      <c r="C160" s="401"/>
      <c r="D160" s="401"/>
      <c r="E160" s="401"/>
      <c r="F160" s="401"/>
      <c r="G160" s="417"/>
    </row>
    <row r="161" spans="1:9" ht="12.75" customHeight="1">
      <c r="A161" s="406"/>
      <c r="B161" s="401"/>
      <c r="C161" s="401"/>
      <c r="D161" s="401"/>
      <c r="E161" s="401"/>
      <c r="F161" s="401" t="s">
        <v>189</v>
      </c>
      <c r="G161" s="417">
        <f t="shared" si="6"/>
        <v>32685.961538378728</v>
      </c>
    </row>
    <row r="162" spans="1:9" ht="12.75" customHeight="1">
      <c r="A162" s="406" t="s">
        <v>202</v>
      </c>
      <c r="B162" s="401"/>
      <c r="C162" s="401"/>
      <c r="D162" s="401"/>
      <c r="E162" s="401"/>
      <c r="F162" s="401"/>
      <c r="G162" s="417"/>
    </row>
    <row r="163" spans="1:9" ht="12.75" customHeight="1">
      <c r="A163" s="408" t="s">
        <v>203</v>
      </c>
      <c r="B163" s="169" t="s">
        <v>204</v>
      </c>
      <c r="C163" s="169" t="s">
        <v>205</v>
      </c>
      <c r="D163" s="169" t="s">
        <v>206</v>
      </c>
      <c r="E163" s="169" t="s">
        <v>207</v>
      </c>
      <c r="F163" s="169" t="s">
        <v>208</v>
      </c>
      <c r="G163" s="417"/>
    </row>
    <row r="164" spans="1:9" ht="12.75" customHeight="1">
      <c r="A164" s="406" t="s">
        <v>188</v>
      </c>
      <c r="B164" s="401">
        <f t="shared" ref="B164:B165" si="15">+B32</f>
        <v>140000</v>
      </c>
      <c r="C164" s="401">
        <f t="shared" si="7"/>
        <v>105000</v>
      </c>
      <c r="D164" s="401">
        <f t="shared" si="8"/>
        <v>245000</v>
      </c>
      <c r="E164" s="432">
        <v>10.955370195163015</v>
      </c>
      <c r="F164" s="403">
        <f t="shared" si="9"/>
        <v>22363.461538540407</v>
      </c>
      <c r="G164" s="417"/>
    </row>
    <row r="165" spans="1:9" ht="12.75" customHeight="1">
      <c r="A165" s="406" t="s">
        <v>190</v>
      </c>
      <c r="B165" s="401">
        <f t="shared" si="15"/>
        <v>91000</v>
      </c>
      <c r="C165" s="403">
        <f t="shared" si="7"/>
        <v>68250</v>
      </c>
      <c r="D165" s="403">
        <f t="shared" si="8"/>
        <v>159250</v>
      </c>
      <c r="E165" s="432">
        <v>10</v>
      </c>
      <c r="F165" s="403">
        <f t="shared" si="9"/>
        <v>15925</v>
      </c>
      <c r="G165" s="417"/>
    </row>
    <row r="166" spans="1:9" ht="12.75" customHeight="1">
      <c r="A166" s="406"/>
      <c r="B166" s="401"/>
      <c r="C166" s="401"/>
      <c r="D166" s="401"/>
      <c r="E166" s="401"/>
      <c r="F166" s="401"/>
      <c r="G166" s="417"/>
    </row>
    <row r="167" spans="1:9" ht="12.75" customHeight="1">
      <c r="A167" s="406"/>
      <c r="B167" s="401"/>
      <c r="C167" s="401"/>
      <c r="D167" s="401"/>
      <c r="E167" s="401"/>
      <c r="F167" s="401"/>
      <c r="G167" s="417"/>
    </row>
    <row r="168" spans="1:9" ht="12.75" customHeight="1">
      <c r="A168" s="406"/>
      <c r="B168" s="401"/>
      <c r="C168" s="401"/>
      <c r="D168" s="401"/>
      <c r="E168" s="401"/>
      <c r="F168" s="401"/>
      <c r="G168" s="417"/>
    </row>
    <row r="169" spans="1:9" ht="12.75" customHeight="1">
      <c r="A169" s="406"/>
      <c r="B169" s="401"/>
      <c r="C169" s="401"/>
      <c r="D169" s="401"/>
      <c r="E169" s="401"/>
      <c r="F169" s="401"/>
      <c r="G169" s="417"/>
    </row>
    <row r="170" spans="1:9" ht="12.75" customHeight="1">
      <c r="A170" s="406"/>
      <c r="B170" s="401"/>
      <c r="C170" s="401"/>
      <c r="D170" s="401"/>
      <c r="E170" s="401"/>
      <c r="F170" s="401" t="s">
        <v>189</v>
      </c>
      <c r="G170" s="417">
        <f t="shared" si="10"/>
        <v>38288.461538540403</v>
      </c>
    </row>
    <row r="171" spans="1:9" ht="12.75" customHeight="1">
      <c r="A171" s="406"/>
      <c r="B171" s="401"/>
      <c r="C171" s="401"/>
      <c r="D171" s="401"/>
      <c r="E171" s="401"/>
      <c r="F171" s="401"/>
      <c r="G171" s="417"/>
    </row>
    <row r="172" spans="1:9" ht="12.75" customHeight="1">
      <c r="A172" s="406" t="s">
        <v>209</v>
      </c>
      <c r="B172" s="401"/>
      <c r="C172" s="401" t="s">
        <v>210</v>
      </c>
      <c r="D172" s="401" t="s">
        <v>211</v>
      </c>
      <c r="E172" s="401"/>
      <c r="F172" s="401"/>
      <c r="G172" s="417">
        <f t="shared" si="11"/>
        <v>110163.84615384616</v>
      </c>
      <c r="I172">
        <v>139721.25</v>
      </c>
    </row>
    <row r="173" spans="1:9" ht="12.75" customHeight="1">
      <c r="A173" s="406"/>
      <c r="B173" s="401"/>
      <c r="C173" s="401"/>
      <c r="D173" s="401"/>
      <c r="E173" s="401"/>
      <c r="F173" s="401"/>
      <c r="G173" s="417"/>
    </row>
    <row r="174" spans="1:9" ht="12.75" customHeight="1">
      <c r="A174" s="406"/>
      <c r="B174" s="401"/>
      <c r="C174" s="401"/>
      <c r="D174" s="401"/>
      <c r="E174" s="401" t="s">
        <v>212</v>
      </c>
      <c r="F174" s="401"/>
      <c r="G174" s="417">
        <f t="shared" si="12"/>
        <v>33049.153846153844</v>
      </c>
    </row>
    <row r="175" spans="1:9" ht="12.75" customHeight="1">
      <c r="A175" s="406"/>
      <c r="B175" s="401"/>
      <c r="C175" s="401"/>
      <c r="D175" s="401"/>
      <c r="E175" s="401"/>
      <c r="F175" s="401"/>
      <c r="G175" s="417"/>
    </row>
    <row r="176" spans="1:9" ht="12.75" customHeight="1" thickBot="1">
      <c r="A176" s="411" t="s">
        <v>213</v>
      </c>
      <c r="B176" s="412"/>
      <c r="C176" s="412"/>
      <c r="D176" s="412" t="s">
        <v>214</v>
      </c>
      <c r="E176" s="412"/>
      <c r="F176" s="412"/>
      <c r="G176" s="418">
        <f t="shared" si="13"/>
        <v>143213</v>
      </c>
    </row>
    <row r="177" spans="1:7" ht="15" customHeight="1">
      <c r="A177" s="468" t="s">
        <v>174</v>
      </c>
      <c r="B177" s="457"/>
      <c r="C177" s="457"/>
      <c r="D177" s="457"/>
      <c r="E177" s="457"/>
      <c r="F177" s="457"/>
      <c r="G177" s="457"/>
    </row>
    <row r="178" spans="1:7" ht="12.75" customHeight="1" thickBot="1"/>
    <row r="179" spans="1:7" ht="12.75" customHeight="1">
      <c r="A179" s="404" t="s">
        <v>175</v>
      </c>
      <c r="B179" s="405"/>
      <c r="C179" s="405"/>
      <c r="D179" s="428"/>
      <c r="E179" s="428"/>
      <c r="F179" s="428"/>
      <c r="G179" s="429"/>
    </row>
    <row r="180" spans="1:7" ht="12.75" customHeight="1">
      <c r="A180" s="406" t="s">
        <v>368</v>
      </c>
      <c r="B180" s="401"/>
      <c r="C180" s="401"/>
      <c r="D180" s="401"/>
      <c r="E180" s="195"/>
      <c r="F180" s="402" t="s">
        <v>177</v>
      </c>
      <c r="G180" s="430">
        <f t="shared" ca="1" si="0"/>
        <v>46289</v>
      </c>
    </row>
    <row r="181" spans="1:7" ht="15" customHeight="1">
      <c r="A181" s="406"/>
      <c r="B181" s="401"/>
      <c r="C181" s="401"/>
      <c r="D181" s="401"/>
      <c r="E181" s="401"/>
      <c r="F181" s="401"/>
      <c r="G181" s="417"/>
    </row>
    <row r="182" spans="1:7" ht="15.75" customHeight="1">
      <c r="A182" s="406" t="s">
        <v>377</v>
      </c>
      <c r="B182" s="401" t="s">
        <v>378</v>
      </c>
      <c r="C182" s="401"/>
      <c r="D182" s="401"/>
      <c r="E182" s="401"/>
      <c r="F182" s="401"/>
      <c r="G182" s="417"/>
    </row>
    <row r="183" spans="1:7" ht="15.75" customHeight="1">
      <c r="A183" s="406"/>
      <c r="B183" s="401"/>
      <c r="C183" s="401" t="s">
        <v>179</v>
      </c>
      <c r="D183" s="170">
        <v>60</v>
      </c>
      <c r="E183" s="401" t="s">
        <v>180</v>
      </c>
      <c r="F183" s="401" t="s">
        <v>181</v>
      </c>
      <c r="G183" s="417"/>
    </row>
    <row r="184" spans="1:7" ht="12.75" customHeight="1">
      <c r="A184" s="406" t="s">
        <v>182</v>
      </c>
      <c r="B184" s="401"/>
      <c r="C184" s="401"/>
      <c r="D184" s="401"/>
      <c r="E184" s="401"/>
      <c r="F184" s="401"/>
      <c r="G184" s="417"/>
    </row>
    <row r="185" spans="1:7" ht="12.75" customHeight="1">
      <c r="A185" s="408" t="s">
        <v>111</v>
      </c>
      <c r="B185" s="169" t="s">
        <v>183</v>
      </c>
      <c r="C185" s="169" t="s">
        <v>184</v>
      </c>
      <c r="D185" s="169" t="s">
        <v>185</v>
      </c>
      <c r="E185" s="169" t="s">
        <v>186</v>
      </c>
      <c r="F185" s="401"/>
      <c r="G185" s="417"/>
    </row>
    <row r="186" spans="1:7" ht="12.75" customHeight="1">
      <c r="A186" s="406" t="s">
        <v>187</v>
      </c>
      <c r="B186" s="401"/>
      <c r="C186" s="401"/>
      <c r="D186" s="401"/>
      <c r="E186" s="403">
        <f t="shared" ref="E186:E1549" si="16">G213*0.05</f>
        <v>2941.163003671335</v>
      </c>
      <c r="F186" s="401"/>
      <c r="G186" s="417"/>
    </row>
    <row r="187" spans="1:7" ht="12.75" customHeight="1">
      <c r="A187" s="406"/>
      <c r="B187" s="401"/>
      <c r="C187" s="401"/>
      <c r="D187" s="401"/>
      <c r="E187" s="403"/>
      <c r="F187" s="401"/>
      <c r="G187" s="417"/>
    </row>
    <row r="188" spans="1:7" ht="12.75" customHeight="1">
      <c r="A188" s="406"/>
      <c r="B188" s="401"/>
      <c r="C188" s="401"/>
      <c r="D188" s="401"/>
      <c r="E188" s="403"/>
      <c r="F188" s="401"/>
      <c r="G188" s="417"/>
    </row>
    <row r="189" spans="1:7" ht="12.75" customHeight="1">
      <c r="A189" s="406"/>
      <c r="B189" s="401"/>
      <c r="C189" s="401"/>
      <c r="D189" s="401"/>
      <c r="E189" s="401"/>
      <c r="F189" s="401" t="s">
        <v>189</v>
      </c>
      <c r="G189" s="417">
        <f t="shared" si="2"/>
        <v>2941.163003671335</v>
      </c>
    </row>
    <row r="190" spans="1:7" ht="12.75" customHeight="1">
      <c r="A190" s="406" t="s">
        <v>191</v>
      </c>
      <c r="B190" s="401"/>
      <c r="C190" s="401"/>
      <c r="D190" s="401"/>
      <c r="E190" s="401"/>
      <c r="F190" s="401"/>
      <c r="G190" s="417"/>
    </row>
    <row r="191" spans="1:7" ht="12.75" customHeight="1">
      <c r="A191" s="408" t="s">
        <v>111</v>
      </c>
      <c r="B191" s="169" t="s">
        <v>193</v>
      </c>
      <c r="C191" s="169" t="s">
        <v>194</v>
      </c>
      <c r="D191" s="169" t="s">
        <v>195</v>
      </c>
      <c r="E191" s="169" t="s">
        <v>186</v>
      </c>
      <c r="F191" s="401"/>
      <c r="G191" s="417"/>
    </row>
    <row r="192" spans="1:7" ht="12.75" customHeight="1">
      <c r="A192" s="406" t="s">
        <v>235</v>
      </c>
      <c r="B192" s="169" t="s">
        <v>236</v>
      </c>
      <c r="C192" s="401">
        <f>+Bocatoma!C192</f>
        <v>40000</v>
      </c>
      <c r="D192" s="401">
        <f>7*0.05</f>
        <v>0.35000000000000003</v>
      </c>
      <c r="E192" s="401">
        <f t="shared" si="14"/>
        <v>14000.000000000002</v>
      </c>
      <c r="F192" s="401"/>
      <c r="G192" s="417"/>
    </row>
    <row r="193" spans="1:7" ht="12.75" customHeight="1">
      <c r="A193" s="406" t="s">
        <v>237</v>
      </c>
      <c r="B193" s="169" t="s">
        <v>226</v>
      </c>
      <c r="C193" s="401">
        <f>+Bocatoma!C193</f>
        <v>200000</v>
      </c>
      <c r="D193" s="401">
        <v>0.08</v>
      </c>
      <c r="E193" s="401">
        <f t="shared" si="14"/>
        <v>16000</v>
      </c>
      <c r="F193" s="401"/>
      <c r="G193" s="417"/>
    </row>
    <row r="194" spans="1:7" ht="12.75" customHeight="1">
      <c r="A194" s="406" t="s">
        <v>242</v>
      </c>
      <c r="B194" s="169" t="s">
        <v>273</v>
      </c>
      <c r="C194" s="403">
        <f>(E192+E193)*0.05</f>
        <v>1500</v>
      </c>
      <c r="D194" s="401">
        <v>1</v>
      </c>
      <c r="E194" s="403">
        <f t="shared" si="14"/>
        <v>1500</v>
      </c>
      <c r="F194" s="401"/>
      <c r="G194" s="417"/>
    </row>
    <row r="195" spans="1:7" ht="12.75" customHeight="1">
      <c r="A195" s="406"/>
      <c r="B195" s="169"/>
      <c r="C195" s="401"/>
      <c r="D195" s="401"/>
      <c r="E195" s="401"/>
      <c r="F195" s="401"/>
      <c r="G195" s="417"/>
    </row>
    <row r="196" spans="1:7" ht="12.75" customHeight="1">
      <c r="A196" s="406"/>
      <c r="B196" s="401"/>
      <c r="C196" s="401"/>
      <c r="D196" s="401"/>
      <c r="E196" s="401"/>
      <c r="F196" s="401"/>
      <c r="G196" s="417"/>
    </row>
    <row r="197" spans="1:7" ht="12.75" customHeight="1">
      <c r="A197" s="406"/>
      <c r="B197" s="401"/>
      <c r="C197" s="401"/>
      <c r="D197" s="401"/>
      <c r="E197" s="401"/>
      <c r="F197" s="401" t="s">
        <v>189</v>
      </c>
      <c r="G197" s="417">
        <f>+E192+E193+E194</f>
        <v>31500</v>
      </c>
    </row>
    <row r="198" spans="1:7" ht="12.75" customHeight="1">
      <c r="A198" s="406" t="s">
        <v>197</v>
      </c>
      <c r="B198" s="401"/>
      <c r="C198" s="401"/>
      <c r="D198" s="401"/>
      <c r="E198" s="401"/>
      <c r="F198" s="401"/>
      <c r="G198" s="417"/>
    </row>
    <row r="199" spans="1:7" ht="12.75" customHeight="1">
      <c r="A199" s="408" t="s">
        <v>198</v>
      </c>
      <c r="B199" s="169" t="s">
        <v>199</v>
      </c>
      <c r="C199" s="169" t="s">
        <v>200</v>
      </c>
      <c r="D199" s="169" t="s">
        <v>201</v>
      </c>
      <c r="E199" s="169" t="s">
        <v>186</v>
      </c>
      <c r="F199" s="401"/>
      <c r="G199" s="417"/>
    </row>
    <row r="200" spans="1:7" ht="12.75" customHeight="1">
      <c r="A200" s="406" t="s">
        <v>243</v>
      </c>
      <c r="B200" s="401"/>
      <c r="C200" s="401"/>
      <c r="D200" s="401"/>
      <c r="E200" s="403">
        <v>24476.346153671195</v>
      </c>
      <c r="F200" s="401"/>
      <c r="G200" s="417"/>
    </row>
    <row r="201" spans="1:7" ht="12.75" customHeight="1">
      <c r="A201" s="406"/>
      <c r="B201" s="401"/>
      <c r="C201" s="401"/>
      <c r="D201" s="401"/>
      <c r="E201" s="401"/>
      <c r="F201" s="401"/>
      <c r="G201" s="417"/>
    </row>
    <row r="202" spans="1:7" ht="12.75" customHeight="1">
      <c r="A202" s="406"/>
      <c r="B202" s="401"/>
      <c r="C202" s="401"/>
      <c r="D202" s="401"/>
      <c r="E202" s="401"/>
      <c r="F202" s="401"/>
      <c r="G202" s="417"/>
    </row>
    <row r="203" spans="1:7" ht="12.75" customHeight="1">
      <c r="A203" s="406"/>
      <c r="B203" s="401"/>
      <c r="C203" s="401"/>
      <c r="D203" s="401"/>
      <c r="E203" s="401"/>
      <c r="F203" s="401"/>
      <c r="G203" s="417"/>
    </row>
    <row r="204" spans="1:7" ht="12.75" customHeight="1">
      <c r="A204" s="406"/>
      <c r="B204" s="401"/>
      <c r="C204" s="401"/>
      <c r="D204" s="401"/>
      <c r="E204" s="401"/>
      <c r="F204" s="401" t="s">
        <v>189</v>
      </c>
      <c r="G204" s="417">
        <f t="shared" si="6"/>
        <v>24476.346153671195</v>
      </c>
    </row>
    <row r="205" spans="1:7" ht="12.75" customHeight="1">
      <c r="A205" s="406" t="s">
        <v>202</v>
      </c>
      <c r="B205" s="401"/>
      <c r="C205" s="401"/>
      <c r="D205" s="401"/>
      <c r="E205" s="401"/>
      <c r="F205" s="401"/>
      <c r="G205" s="417"/>
    </row>
    <row r="206" spans="1:7" ht="12.75" customHeight="1">
      <c r="A206" s="408" t="s">
        <v>203</v>
      </c>
      <c r="B206" s="169" t="s">
        <v>204</v>
      </c>
      <c r="C206" s="169" t="s">
        <v>205</v>
      </c>
      <c r="D206" s="169" t="s">
        <v>206</v>
      </c>
      <c r="E206" s="169" t="s">
        <v>207</v>
      </c>
      <c r="F206" s="169" t="s">
        <v>208</v>
      </c>
      <c r="G206" s="417"/>
    </row>
    <row r="207" spans="1:7" ht="12.75" customHeight="1">
      <c r="A207" s="406" t="s">
        <v>188</v>
      </c>
      <c r="B207" s="401">
        <f t="shared" ref="B207:B208" si="17">+B32</f>
        <v>140000</v>
      </c>
      <c r="C207" s="401">
        <f t="shared" si="7"/>
        <v>105000</v>
      </c>
      <c r="D207" s="401">
        <f t="shared" si="8"/>
        <v>245000</v>
      </c>
      <c r="E207" s="432">
        <v>7</v>
      </c>
      <c r="F207" s="403">
        <f t="shared" si="9"/>
        <v>35000</v>
      </c>
      <c r="G207" s="417"/>
    </row>
    <row r="208" spans="1:7" ht="12.75" customHeight="1">
      <c r="A208" s="406" t="s">
        <v>307</v>
      </c>
      <c r="B208" s="401">
        <f t="shared" si="17"/>
        <v>91000</v>
      </c>
      <c r="C208" s="403">
        <f t="shared" si="7"/>
        <v>68250</v>
      </c>
      <c r="D208" s="403">
        <f t="shared" si="8"/>
        <v>159250</v>
      </c>
      <c r="E208" s="432">
        <v>6.6846434748715629</v>
      </c>
      <c r="F208" s="403">
        <f t="shared" si="9"/>
        <v>23823.260073426696</v>
      </c>
      <c r="G208" s="417"/>
    </row>
    <row r="209" spans="1:9" ht="12.75" customHeight="1">
      <c r="A209" s="406"/>
      <c r="B209" s="401"/>
      <c r="C209" s="401"/>
      <c r="D209" s="401"/>
      <c r="E209" s="401"/>
      <c r="F209" s="401"/>
      <c r="G209" s="417"/>
    </row>
    <row r="210" spans="1:9" ht="12.75" customHeight="1">
      <c r="A210" s="406"/>
      <c r="B210" s="401"/>
      <c r="C210" s="401"/>
      <c r="D210" s="401"/>
      <c r="E210" s="401"/>
      <c r="F210" s="401"/>
      <c r="G210" s="417"/>
    </row>
    <row r="211" spans="1:9" ht="12.75" customHeight="1">
      <c r="A211" s="406"/>
      <c r="B211" s="401"/>
      <c r="C211" s="401"/>
      <c r="D211" s="401"/>
      <c r="E211" s="401"/>
      <c r="F211" s="401"/>
      <c r="G211" s="417"/>
    </row>
    <row r="212" spans="1:9" ht="12.75" customHeight="1">
      <c r="A212" s="406"/>
      <c r="B212" s="401"/>
      <c r="C212" s="401"/>
      <c r="D212" s="401"/>
      <c r="E212" s="401"/>
      <c r="F212" s="401"/>
      <c r="G212" s="417"/>
    </row>
    <row r="213" spans="1:9" ht="12.75" customHeight="1">
      <c r="A213" s="406"/>
      <c r="B213" s="401"/>
      <c r="C213" s="401"/>
      <c r="D213" s="401"/>
      <c r="E213" s="401"/>
      <c r="F213" s="401" t="s">
        <v>189</v>
      </c>
      <c r="G213" s="417">
        <f t="shared" si="10"/>
        <v>58823.260073426696</v>
      </c>
    </row>
    <row r="214" spans="1:9" ht="12.75" customHeight="1">
      <c r="A214" s="406"/>
      <c r="B214" s="401"/>
      <c r="C214" s="401"/>
      <c r="D214" s="401"/>
      <c r="E214" s="401"/>
      <c r="F214" s="401"/>
      <c r="G214" s="417"/>
    </row>
    <row r="215" spans="1:9" ht="12.75" customHeight="1">
      <c r="A215" s="406" t="s">
        <v>209</v>
      </c>
      <c r="B215" s="401"/>
      <c r="C215" s="401" t="s">
        <v>210</v>
      </c>
      <c r="D215" s="401" t="s">
        <v>211</v>
      </c>
      <c r="E215" s="401"/>
      <c r="F215" s="401"/>
      <c r="G215" s="417">
        <f t="shared" ref="G215:G1578" si="18">G189+G197+G204+G213</f>
        <v>117740.76923076922</v>
      </c>
      <c r="I215">
        <v>147243.75</v>
      </c>
    </row>
    <row r="216" spans="1:9" ht="12.75" customHeight="1">
      <c r="A216" s="406"/>
      <c r="B216" s="401"/>
      <c r="C216" s="401"/>
      <c r="D216" s="401"/>
      <c r="E216" s="401"/>
      <c r="F216" s="401"/>
      <c r="G216" s="417"/>
    </row>
    <row r="217" spans="1:9" ht="12.75" customHeight="1">
      <c r="A217" s="406"/>
      <c r="B217" s="401"/>
      <c r="C217" s="401"/>
      <c r="D217" s="401"/>
      <c r="E217" s="401" t="s">
        <v>212</v>
      </c>
      <c r="F217" s="401"/>
      <c r="G217" s="417">
        <f t="shared" si="12"/>
        <v>35322.230769230766</v>
      </c>
    </row>
    <row r="218" spans="1:9" ht="12.75" customHeight="1">
      <c r="A218" s="406"/>
      <c r="B218" s="401"/>
      <c r="C218" s="401"/>
      <c r="D218" s="401"/>
      <c r="E218" s="401"/>
      <c r="F218" s="401"/>
      <c r="G218" s="417"/>
    </row>
    <row r="219" spans="1:9" ht="12.75" customHeight="1" thickBot="1">
      <c r="A219" s="411" t="s">
        <v>213</v>
      </c>
      <c r="B219" s="412"/>
      <c r="C219" s="412"/>
      <c r="D219" s="412" t="s">
        <v>214</v>
      </c>
      <c r="E219" s="412"/>
      <c r="F219" s="412"/>
      <c r="G219" s="418">
        <f t="shared" si="13"/>
        <v>153063</v>
      </c>
    </row>
    <row r="220" spans="1:9" ht="15" customHeight="1">
      <c r="A220" s="468" t="s">
        <v>174</v>
      </c>
      <c r="B220" s="457"/>
      <c r="C220" s="457"/>
      <c r="D220" s="457"/>
      <c r="E220" s="457"/>
      <c r="F220" s="457"/>
      <c r="G220" s="457"/>
    </row>
    <row r="221" spans="1:9" ht="12.75" customHeight="1" thickBot="1"/>
    <row r="222" spans="1:9" ht="12.75" customHeight="1">
      <c r="A222" s="404" t="s">
        <v>175</v>
      </c>
      <c r="B222" s="405"/>
      <c r="C222" s="405"/>
      <c r="D222" s="428"/>
      <c r="E222" s="428"/>
      <c r="F222" s="428"/>
      <c r="G222" s="429"/>
    </row>
    <row r="223" spans="1:9" ht="12.75" customHeight="1">
      <c r="A223" s="406" t="s">
        <v>368</v>
      </c>
      <c r="B223" s="401"/>
      <c r="C223" s="401"/>
      <c r="D223" s="401"/>
      <c r="E223" s="195"/>
      <c r="F223" s="402" t="s">
        <v>177</v>
      </c>
      <c r="G223" s="430">
        <f t="shared" ca="1" si="0"/>
        <v>46289</v>
      </c>
    </row>
    <row r="224" spans="1:9" ht="12.75" customHeight="1">
      <c r="A224" s="406"/>
      <c r="B224" s="401"/>
      <c r="C224" s="401"/>
      <c r="D224" s="401"/>
      <c r="E224" s="401"/>
      <c r="F224" s="401"/>
      <c r="G224" s="417"/>
    </row>
    <row r="225" spans="1:7" ht="12.75" customHeight="1">
      <c r="A225" s="406" t="s">
        <v>245</v>
      </c>
      <c r="B225" s="401" t="s">
        <v>246</v>
      </c>
      <c r="C225" s="401"/>
      <c r="D225" s="401"/>
      <c r="E225" s="401"/>
      <c r="F225" s="401"/>
      <c r="G225" s="417"/>
    </row>
    <row r="226" spans="1:7" ht="12.75" customHeight="1">
      <c r="A226" s="406"/>
      <c r="B226" s="401"/>
      <c r="C226" s="401"/>
      <c r="D226" s="401"/>
      <c r="E226" s="401"/>
      <c r="F226" s="401"/>
      <c r="G226" s="417"/>
    </row>
    <row r="227" spans="1:7" ht="15" customHeight="1">
      <c r="A227" s="406" t="s">
        <v>182</v>
      </c>
      <c r="B227" s="401"/>
      <c r="C227" s="401"/>
      <c r="D227" s="401"/>
      <c r="E227" s="401"/>
      <c r="F227" s="401"/>
      <c r="G227" s="417"/>
    </row>
    <row r="228" spans="1:7" ht="12.75" customHeight="1">
      <c r="A228" s="408" t="s">
        <v>111</v>
      </c>
      <c r="B228" s="169" t="s">
        <v>183</v>
      </c>
      <c r="C228" s="169" t="s">
        <v>184</v>
      </c>
      <c r="D228" s="169" t="s">
        <v>185</v>
      </c>
      <c r="E228" s="169" t="s">
        <v>186</v>
      </c>
      <c r="F228" s="401"/>
      <c r="G228" s="417"/>
    </row>
    <row r="229" spans="1:7" ht="12.75" customHeight="1">
      <c r="A229" s="406" t="s">
        <v>187</v>
      </c>
      <c r="B229" s="401"/>
      <c r="C229" s="401"/>
      <c r="D229" s="401"/>
      <c r="E229" s="403">
        <f t="shared" si="1"/>
        <v>24357.142857135666</v>
      </c>
      <c r="F229" s="401"/>
      <c r="G229" s="417"/>
    </row>
    <row r="230" spans="1:7" ht="12.75" customHeight="1">
      <c r="A230" s="406"/>
      <c r="B230" s="401"/>
      <c r="C230" s="401"/>
      <c r="D230" s="401"/>
      <c r="E230" s="403"/>
      <c r="F230" s="401"/>
      <c r="G230" s="417"/>
    </row>
    <row r="231" spans="1:7" ht="12.75" customHeight="1">
      <c r="A231" s="406"/>
      <c r="B231" s="401"/>
      <c r="C231" s="401"/>
      <c r="D231" s="401"/>
      <c r="E231" s="403"/>
      <c r="F231" s="401"/>
      <c r="G231" s="417"/>
    </row>
    <row r="232" spans="1:7" ht="12.75" customHeight="1">
      <c r="A232" s="406"/>
      <c r="B232" s="401"/>
      <c r="C232" s="401"/>
      <c r="D232" s="401"/>
      <c r="E232" s="401"/>
      <c r="F232" s="401" t="s">
        <v>189</v>
      </c>
      <c r="G232" s="417">
        <f t="shared" si="2"/>
        <v>24357.142857135666</v>
      </c>
    </row>
    <row r="233" spans="1:7" ht="12.75" customHeight="1">
      <c r="A233" s="406" t="s">
        <v>191</v>
      </c>
      <c r="B233" s="401"/>
      <c r="C233" s="401"/>
      <c r="D233" s="401"/>
      <c r="E233" s="401"/>
      <c r="F233" s="401"/>
      <c r="G233" s="417"/>
    </row>
    <row r="234" spans="1:7" ht="12.75" customHeight="1">
      <c r="A234" s="408" t="s">
        <v>111</v>
      </c>
      <c r="B234" s="169" t="s">
        <v>193</v>
      </c>
      <c r="C234" s="169" t="s">
        <v>194</v>
      </c>
      <c r="D234" s="169" t="s">
        <v>195</v>
      </c>
      <c r="E234" s="169" t="s">
        <v>186</v>
      </c>
      <c r="F234" s="401"/>
      <c r="G234" s="417"/>
    </row>
    <row r="235" spans="1:7" ht="12.75" customHeight="1">
      <c r="A235" s="406" t="s">
        <v>235</v>
      </c>
      <c r="B235" s="169" t="s">
        <v>236</v>
      </c>
      <c r="C235" s="401">
        <f>+Bocatoma!C236</f>
        <v>40000</v>
      </c>
      <c r="D235" s="401">
        <v>8</v>
      </c>
      <c r="E235" s="401">
        <f t="shared" si="14"/>
        <v>320000</v>
      </c>
      <c r="F235" s="401"/>
      <c r="G235" s="417"/>
    </row>
    <row r="236" spans="1:7" ht="12.75" customHeight="1">
      <c r="A236" s="406" t="s">
        <v>237</v>
      </c>
      <c r="B236" s="169" t="s">
        <v>238</v>
      </c>
      <c r="C236" s="401">
        <f>+Bocatoma!C237</f>
        <v>200000</v>
      </c>
      <c r="D236" s="401">
        <v>1.5</v>
      </c>
      <c r="E236" s="401">
        <f t="shared" si="14"/>
        <v>300000</v>
      </c>
      <c r="F236" s="401"/>
      <c r="G236" s="417"/>
    </row>
    <row r="237" spans="1:7" ht="12.75" customHeight="1">
      <c r="A237" s="406" t="s">
        <v>241</v>
      </c>
      <c r="B237" s="169" t="s">
        <v>220</v>
      </c>
      <c r="C237" s="401">
        <f>+Bocatoma!C238</f>
        <v>85000</v>
      </c>
      <c r="D237" s="401">
        <v>1</v>
      </c>
      <c r="E237" s="401">
        <f t="shared" si="14"/>
        <v>85000</v>
      </c>
      <c r="F237" s="401"/>
      <c r="G237" s="417"/>
    </row>
    <row r="238" spans="1:7" ht="12.75" customHeight="1">
      <c r="A238" s="406" t="s">
        <v>240</v>
      </c>
      <c r="B238" s="169" t="s">
        <v>220</v>
      </c>
      <c r="C238" s="401">
        <f>+Bocatoma!C239</f>
        <v>35000</v>
      </c>
      <c r="D238" s="401">
        <v>1</v>
      </c>
      <c r="E238" s="401">
        <f t="shared" si="14"/>
        <v>35000</v>
      </c>
      <c r="F238" s="401"/>
      <c r="G238" s="417"/>
    </row>
    <row r="239" spans="1:7" ht="12.75" customHeight="1">
      <c r="A239" s="406" t="s">
        <v>247</v>
      </c>
      <c r="B239" s="169" t="s">
        <v>220</v>
      </c>
      <c r="C239" s="401">
        <f>(E235+E236+E237+E238)*0.05</f>
        <v>37000</v>
      </c>
      <c r="D239" s="401">
        <v>1</v>
      </c>
      <c r="E239" s="401">
        <f t="shared" si="14"/>
        <v>37000</v>
      </c>
      <c r="F239" s="401"/>
      <c r="G239" s="417"/>
    </row>
    <row r="240" spans="1:7" ht="12.75" customHeight="1">
      <c r="A240" s="406"/>
      <c r="B240" s="169"/>
      <c r="C240" s="403"/>
      <c r="D240" s="401"/>
      <c r="E240" s="403"/>
      <c r="F240" s="401"/>
      <c r="G240" s="417"/>
    </row>
    <row r="241" spans="1:7" ht="12.75" customHeight="1">
      <c r="A241" s="406"/>
      <c r="B241" s="401"/>
      <c r="C241" s="401"/>
      <c r="D241" s="401"/>
      <c r="E241" s="401"/>
      <c r="F241" s="401" t="s">
        <v>189</v>
      </c>
      <c r="G241" s="417">
        <f>E235+E236+E237+E238+E239</f>
        <v>777000</v>
      </c>
    </row>
    <row r="242" spans="1:7" ht="12.75" customHeight="1">
      <c r="A242" s="406" t="s">
        <v>197</v>
      </c>
      <c r="B242" s="401"/>
      <c r="C242" s="401"/>
      <c r="D242" s="401"/>
      <c r="E242" s="401"/>
      <c r="F242" s="401"/>
      <c r="G242" s="417"/>
    </row>
    <row r="243" spans="1:7" ht="12.75" customHeight="1">
      <c r="A243" s="408" t="s">
        <v>198</v>
      </c>
      <c r="B243" s="169" t="s">
        <v>199</v>
      </c>
      <c r="C243" s="169" t="s">
        <v>200</v>
      </c>
      <c r="D243" s="169" t="s">
        <v>201</v>
      </c>
      <c r="E243" s="169" t="s">
        <v>186</v>
      </c>
      <c r="F243" s="401"/>
      <c r="G243" s="417"/>
    </row>
    <row r="244" spans="1:7" ht="12.75" customHeight="1">
      <c r="A244" s="406" t="s">
        <v>243</v>
      </c>
      <c r="B244" s="401"/>
      <c r="C244" s="401"/>
      <c r="D244" s="401"/>
      <c r="E244" s="401">
        <v>82510.000000151165</v>
      </c>
      <c r="F244" s="401"/>
      <c r="G244" s="417"/>
    </row>
    <row r="245" spans="1:7" ht="12.75" customHeight="1">
      <c r="A245" s="406"/>
      <c r="B245" s="401"/>
      <c r="C245" s="401"/>
      <c r="D245" s="401"/>
      <c r="E245" s="401"/>
      <c r="F245" s="401"/>
      <c r="G245" s="417"/>
    </row>
    <row r="246" spans="1:7" ht="12.75" customHeight="1">
      <c r="A246" s="406"/>
      <c r="B246" s="401"/>
      <c r="C246" s="401"/>
      <c r="D246" s="401"/>
      <c r="E246" s="401"/>
      <c r="F246" s="401"/>
      <c r="G246" s="417"/>
    </row>
    <row r="247" spans="1:7" ht="12.75" customHeight="1">
      <c r="A247" s="406"/>
      <c r="B247" s="401"/>
      <c r="C247" s="401"/>
      <c r="D247" s="401"/>
      <c r="E247" s="401"/>
      <c r="F247" s="401"/>
      <c r="G247" s="417"/>
    </row>
    <row r="248" spans="1:7" ht="12.75" customHeight="1">
      <c r="A248" s="406"/>
      <c r="B248" s="401"/>
      <c r="C248" s="401"/>
      <c r="D248" s="401"/>
      <c r="E248" s="401"/>
      <c r="F248" s="401" t="s">
        <v>189</v>
      </c>
      <c r="G248" s="417">
        <f t="shared" si="6"/>
        <v>82510.000000151165</v>
      </c>
    </row>
    <row r="249" spans="1:7" ht="12.75" customHeight="1">
      <c r="A249" s="406" t="s">
        <v>202</v>
      </c>
      <c r="B249" s="401"/>
      <c r="C249" s="401"/>
      <c r="D249" s="401"/>
      <c r="E249" s="401"/>
      <c r="F249" s="401"/>
      <c r="G249" s="417"/>
    </row>
    <row r="250" spans="1:7" ht="12.75" customHeight="1">
      <c r="A250" s="408" t="s">
        <v>203</v>
      </c>
      <c r="B250" s="169" t="s">
        <v>204</v>
      </c>
      <c r="C250" s="169" t="s">
        <v>205</v>
      </c>
      <c r="D250" s="169" t="s">
        <v>206</v>
      </c>
      <c r="E250" s="169" t="s">
        <v>207</v>
      </c>
      <c r="F250" s="169" t="s">
        <v>208</v>
      </c>
      <c r="G250" s="417"/>
    </row>
    <row r="251" spans="1:7" ht="12.75" customHeight="1">
      <c r="A251" s="406" t="s">
        <v>188</v>
      </c>
      <c r="B251" s="401">
        <f>+B32</f>
        <v>140000</v>
      </c>
      <c r="C251" s="401">
        <f t="shared" si="7"/>
        <v>105000</v>
      </c>
      <c r="D251" s="401">
        <f t="shared" si="8"/>
        <v>245000</v>
      </c>
      <c r="E251" s="427">
        <v>1.8</v>
      </c>
      <c r="F251" s="403">
        <f t="shared" si="9"/>
        <v>136111.11111111109</v>
      </c>
      <c r="G251" s="417"/>
    </row>
    <row r="252" spans="1:7" ht="12.75" customHeight="1">
      <c r="A252" s="406" t="s">
        <v>248</v>
      </c>
      <c r="B252" s="401">
        <f>+B33*4</f>
        <v>364000</v>
      </c>
      <c r="C252" s="403">
        <f t="shared" si="7"/>
        <v>273000</v>
      </c>
      <c r="D252" s="403">
        <f t="shared" si="8"/>
        <v>637000</v>
      </c>
      <c r="E252" s="427">
        <v>1.8146506895779539</v>
      </c>
      <c r="F252" s="403">
        <f t="shared" si="9"/>
        <v>351031.74603160215</v>
      </c>
      <c r="G252" s="417"/>
    </row>
    <row r="253" spans="1:7" ht="12.75" customHeight="1">
      <c r="A253" s="406"/>
      <c r="B253" s="401"/>
      <c r="C253" s="401"/>
      <c r="D253" s="401"/>
      <c r="E253" s="401"/>
      <c r="F253" s="401"/>
      <c r="G253" s="417"/>
    </row>
    <row r="254" spans="1:7" ht="12.75" customHeight="1">
      <c r="A254" s="406"/>
      <c r="B254" s="401"/>
      <c r="C254" s="401"/>
      <c r="D254" s="401"/>
      <c r="E254" s="401"/>
      <c r="F254" s="401"/>
      <c r="G254" s="417"/>
    </row>
    <row r="255" spans="1:7" ht="12.75" customHeight="1">
      <c r="A255" s="406"/>
      <c r="B255" s="401"/>
      <c r="C255" s="401"/>
      <c r="D255" s="401"/>
      <c r="E255" s="401"/>
      <c r="F255" s="401"/>
      <c r="G255" s="417"/>
    </row>
    <row r="256" spans="1:7" ht="12.75" customHeight="1">
      <c r="A256" s="406"/>
      <c r="B256" s="401"/>
      <c r="C256" s="401"/>
      <c r="D256" s="401"/>
      <c r="E256" s="401"/>
      <c r="F256" s="401"/>
      <c r="G256" s="417"/>
    </row>
    <row r="257" spans="1:9" ht="12.75" customHeight="1">
      <c r="A257" s="406"/>
      <c r="B257" s="401"/>
      <c r="C257" s="401"/>
      <c r="D257" s="401"/>
      <c r="E257" s="401"/>
      <c r="F257" s="401" t="s">
        <v>189</v>
      </c>
      <c r="G257" s="417">
        <f t="shared" si="10"/>
        <v>487142.85714271327</v>
      </c>
    </row>
    <row r="258" spans="1:9" ht="12.75" customHeight="1">
      <c r="A258" s="406"/>
      <c r="B258" s="401"/>
      <c r="C258" s="401"/>
      <c r="D258" s="401"/>
      <c r="E258" s="401"/>
      <c r="F258" s="401"/>
      <c r="G258" s="417"/>
    </row>
    <row r="259" spans="1:9" ht="12.75" customHeight="1">
      <c r="A259" s="406" t="s">
        <v>209</v>
      </c>
      <c r="B259" s="401"/>
      <c r="C259" s="401" t="s">
        <v>210</v>
      </c>
      <c r="D259" s="401" t="s">
        <v>211</v>
      </c>
      <c r="E259" s="401"/>
      <c r="F259" s="401"/>
      <c r="G259" s="417">
        <f t="shared" si="11"/>
        <v>1371010</v>
      </c>
      <c r="I259">
        <v>1740050</v>
      </c>
    </row>
    <row r="260" spans="1:9" ht="12.75" customHeight="1">
      <c r="A260" s="406"/>
      <c r="B260" s="401"/>
      <c r="C260" s="401"/>
      <c r="D260" s="401"/>
      <c r="E260" s="401"/>
      <c r="F260" s="401"/>
      <c r="G260" s="417"/>
    </row>
    <row r="261" spans="1:9" ht="12.75" customHeight="1">
      <c r="A261" s="406"/>
      <c r="B261" s="401"/>
      <c r="C261" s="401"/>
      <c r="D261" s="401"/>
      <c r="E261" s="401" t="s">
        <v>212</v>
      </c>
      <c r="F261" s="401"/>
      <c r="G261" s="417">
        <f t="shared" si="12"/>
        <v>411303</v>
      </c>
    </row>
    <row r="262" spans="1:9" ht="12.75" customHeight="1">
      <c r="A262" s="406"/>
      <c r="B262" s="401"/>
      <c r="C262" s="401"/>
      <c r="D262" s="401"/>
      <c r="E262" s="401"/>
      <c r="F262" s="401"/>
      <c r="G262" s="417"/>
    </row>
    <row r="263" spans="1:9" ht="12.75" customHeight="1" thickBot="1">
      <c r="A263" s="411" t="s">
        <v>213</v>
      </c>
      <c r="B263" s="412"/>
      <c r="C263" s="412"/>
      <c r="D263" s="412" t="s">
        <v>214</v>
      </c>
      <c r="E263" s="412"/>
      <c r="F263" s="412"/>
      <c r="G263" s="418">
        <f t="shared" si="13"/>
        <v>1782313</v>
      </c>
    </row>
    <row r="264" spans="1:9" ht="15" customHeight="1">
      <c r="A264" s="468" t="s">
        <v>174</v>
      </c>
      <c r="B264" s="457"/>
      <c r="C264" s="457"/>
      <c r="D264" s="457"/>
      <c r="E264" s="457"/>
      <c r="F264" s="457"/>
      <c r="G264" s="457"/>
    </row>
    <row r="265" spans="1:9" ht="12.75" customHeight="1" thickBot="1"/>
    <row r="266" spans="1:9" ht="12.75" customHeight="1">
      <c r="A266" s="404" t="s">
        <v>175</v>
      </c>
      <c r="B266" s="405"/>
      <c r="C266" s="405"/>
      <c r="D266" s="428"/>
      <c r="E266" s="428"/>
      <c r="F266" s="428"/>
      <c r="G266" s="429"/>
    </row>
    <row r="267" spans="1:9" ht="12.75" customHeight="1">
      <c r="A267" s="406" t="s">
        <v>368</v>
      </c>
      <c r="B267" s="401"/>
      <c r="C267" s="401"/>
      <c r="D267" s="401"/>
      <c r="E267" s="195"/>
      <c r="F267" s="402" t="s">
        <v>177</v>
      </c>
      <c r="G267" s="430">
        <f t="shared" ca="1" si="0"/>
        <v>46289</v>
      </c>
    </row>
    <row r="268" spans="1:9" ht="12.75" customHeight="1">
      <c r="A268" s="406"/>
      <c r="B268" s="401"/>
      <c r="C268" s="401"/>
      <c r="D268" s="401"/>
      <c r="E268" s="401"/>
      <c r="F268" s="401"/>
      <c r="G268" s="417"/>
    </row>
    <row r="269" spans="1:9" ht="12.75" customHeight="1">
      <c r="A269" s="406" t="s">
        <v>379</v>
      </c>
      <c r="B269" s="401" t="s">
        <v>380</v>
      </c>
      <c r="C269" s="401"/>
      <c r="D269" s="401"/>
      <c r="E269" s="401"/>
      <c r="F269" s="401"/>
      <c r="G269" s="417"/>
    </row>
    <row r="270" spans="1:9" ht="12.75" customHeight="1">
      <c r="A270" s="406"/>
      <c r="B270" s="401"/>
      <c r="C270" s="401" t="s">
        <v>179</v>
      </c>
      <c r="D270" s="169">
        <v>1190</v>
      </c>
      <c r="E270" s="401" t="s">
        <v>180</v>
      </c>
      <c r="F270" s="401" t="s">
        <v>251</v>
      </c>
      <c r="G270" s="417"/>
    </row>
    <row r="271" spans="1:9" ht="12.75" customHeight="1">
      <c r="A271" s="406" t="s">
        <v>182</v>
      </c>
      <c r="B271" s="401"/>
      <c r="C271" s="401"/>
      <c r="D271" s="401"/>
      <c r="E271" s="401"/>
      <c r="F271" s="401"/>
      <c r="G271" s="417"/>
    </row>
    <row r="272" spans="1:9" ht="12.75" customHeight="1">
      <c r="A272" s="408" t="s">
        <v>111</v>
      </c>
      <c r="B272" s="169" t="s">
        <v>183</v>
      </c>
      <c r="C272" s="169" t="s">
        <v>184</v>
      </c>
      <c r="D272" s="169" t="s">
        <v>185</v>
      </c>
      <c r="E272" s="169" t="s">
        <v>186</v>
      </c>
      <c r="F272" s="401"/>
      <c r="G272" s="417"/>
    </row>
    <row r="273" spans="1:7" ht="12.75" customHeight="1">
      <c r="A273" s="406" t="s">
        <v>187</v>
      </c>
      <c r="B273" s="401"/>
      <c r="C273" s="401"/>
      <c r="D273" s="401"/>
      <c r="E273" s="403">
        <f t="shared" si="1"/>
        <v>69.321472098716512</v>
      </c>
      <c r="F273" s="401"/>
      <c r="G273" s="417"/>
    </row>
    <row r="274" spans="1:7" ht="12.75" customHeight="1">
      <c r="A274" s="406"/>
      <c r="B274" s="401"/>
      <c r="C274" s="401"/>
      <c r="D274" s="401"/>
      <c r="E274" s="401"/>
      <c r="F274" s="401"/>
      <c r="G274" s="417"/>
    </row>
    <row r="275" spans="1:7" ht="12.75" customHeight="1">
      <c r="A275" s="406"/>
      <c r="B275" s="401"/>
      <c r="C275" s="401"/>
      <c r="D275" s="401"/>
      <c r="E275" s="401"/>
      <c r="F275" s="401"/>
      <c r="G275" s="417"/>
    </row>
    <row r="276" spans="1:7" ht="15" customHeight="1">
      <c r="A276" s="406"/>
      <c r="B276" s="401"/>
      <c r="C276" s="401"/>
      <c r="D276" s="401"/>
      <c r="E276" s="401"/>
      <c r="F276" s="401" t="s">
        <v>189</v>
      </c>
      <c r="G276" s="417">
        <f t="shared" si="2"/>
        <v>69.321472098716512</v>
      </c>
    </row>
    <row r="277" spans="1:7" ht="12.75" customHeight="1">
      <c r="A277" s="406" t="s">
        <v>191</v>
      </c>
      <c r="B277" s="401"/>
      <c r="C277" s="401"/>
      <c r="D277" s="401"/>
      <c r="E277" s="401"/>
      <c r="F277" s="401"/>
      <c r="G277" s="417"/>
    </row>
    <row r="278" spans="1:7" ht="12.75" customHeight="1">
      <c r="A278" s="408" t="s">
        <v>111</v>
      </c>
      <c r="B278" s="169" t="s">
        <v>193</v>
      </c>
      <c r="C278" s="169" t="s">
        <v>194</v>
      </c>
      <c r="D278" s="169" t="s">
        <v>195</v>
      </c>
      <c r="E278" s="169" t="s">
        <v>186</v>
      </c>
      <c r="F278" s="401"/>
      <c r="G278" s="417"/>
    </row>
    <row r="279" spans="1:7" ht="12.75" customHeight="1">
      <c r="A279" s="406" t="s">
        <v>381</v>
      </c>
      <c r="B279" s="169" t="s">
        <v>253</v>
      </c>
      <c r="C279" s="403">
        <f>1.19*3809.52</f>
        <v>4533.3288000000002</v>
      </c>
      <c r="D279" s="401">
        <v>1.05</v>
      </c>
      <c r="E279" s="403">
        <f t="shared" si="14"/>
        <v>4759.9952400000002</v>
      </c>
      <c r="F279" s="401"/>
      <c r="G279" s="417"/>
    </row>
    <row r="280" spans="1:7" ht="12.75" customHeight="1">
      <c r="A280" s="406" t="s">
        <v>255</v>
      </c>
      <c r="B280" s="169" t="s">
        <v>220</v>
      </c>
      <c r="C280" s="401">
        <v>700</v>
      </c>
      <c r="D280" s="401">
        <v>1.05</v>
      </c>
      <c r="E280" s="403">
        <f t="shared" si="14"/>
        <v>735</v>
      </c>
      <c r="F280" s="401"/>
      <c r="G280" s="417"/>
    </row>
    <row r="281" spans="1:7" ht="12.75" customHeight="1">
      <c r="A281" s="406"/>
      <c r="B281" s="169"/>
      <c r="C281" s="401"/>
      <c r="D281" s="401"/>
      <c r="E281" s="401"/>
      <c r="F281" s="401"/>
      <c r="G281" s="417"/>
    </row>
    <row r="282" spans="1:7" ht="12.75" customHeight="1">
      <c r="A282" s="406"/>
      <c r="B282" s="401"/>
      <c r="C282" s="401"/>
      <c r="D282" s="401"/>
      <c r="E282" s="401"/>
      <c r="F282" s="401"/>
      <c r="G282" s="417"/>
    </row>
    <row r="283" spans="1:7" ht="12.75" customHeight="1">
      <c r="A283" s="406"/>
      <c r="B283" s="401"/>
      <c r="C283" s="401"/>
      <c r="D283" s="401"/>
      <c r="E283" s="401"/>
      <c r="F283" s="401"/>
      <c r="G283" s="417"/>
    </row>
    <row r="284" spans="1:7" ht="12.75" customHeight="1">
      <c r="A284" s="406"/>
      <c r="B284" s="401"/>
      <c r="C284" s="401"/>
      <c r="D284" s="401"/>
      <c r="E284" s="401"/>
      <c r="F284" s="401"/>
      <c r="G284" s="417"/>
    </row>
    <row r="285" spans="1:7" ht="12.75" customHeight="1">
      <c r="A285" s="406"/>
      <c r="B285" s="401"/>
      <c r="C285" s="401"/>
      <c r="D285" s="401"/>
      <c r="E285" s="401"/>
      <c r="F285" s="401" t="s">
        <v>189</v>
      </c>
      <c r="G285" s="417">
        <f t="shared" si="5"/>
        <v>5494.9952400000002</v>
      </c>
    </row>
    <row r="286" spans="1:7" ht="12.75" customHeight="1">
      <c r="A286" s="406" t="s">
        <v>197</v>
      </c>
      <c r="B286" s="401"/>
      <c r="C286" s="401"/>
      <c r="D286" s="401"/>
      <c r="E286" s="401"/>
      <c r="F286" s="401"/>
      <c r="G286" s="417"/>
    </row>
    <row r="287" spans="1:7" ht="12.75" customHeight="1">
      <c r="A287" s="408" t="s">
        <v>198</v>
      </c>
      <c r="B287" s="169" t="s">
        <v>199</v>
      </c>
      <c r="C287" s="169" t="s">
        <v>200</v>
      </c>
      <c r="D287" s="169" t="s">
        <v>201</v>
      </c>
      <c r="E287" s="169" t="s">
        <v>186</v>
      </c>
      <c r="F287" s="401"/>
      <c r="G287" s="417"/>
    </row>
    <row r="288" spans="1:7" ht="12.75" customHeight="1">
      <c r="A288" s="406" t="s">
        <v>243</v>
      </c>
      <c r="B288" s="401"/>
      <c r="C288" s="401"/>
      <c r="D288" s="401"/>
      <c r="E288" s="403">
        <v>733.8692305423375</v>
      </c>
      <c r="F288" s="401"/>
      <c r="G288" s="417"/>
    </row>
    <row r="289" spans="1:9" ht="12.75" customHeight="1">
      <c r="A289" s="406"/>
      <c r="B289" s="401"/>
      <c r="C289" s="401"/>
      <c r="D289" s="401"/>
      <c r="E289" s="401"/>
      <c r="F289" s="401"/>
      <c r="G289" s="417"/>
    </row>
    <row r="290" spans="1:9" ht="12.75" customHeight="1">
      <c r="A290" s="406"/>
      <c r="B290" s="401"/>
      <c r="C290" s="401"/>
      <c r="D290" s="401"/>
      <c r="E290" s="401"/>
      <c r="F290" s="401"/>
      <c r="G290" s="417"/>
    </row>
    <row r="291" spans="1:9" ht="12.75" customHeight="1">
      <c r="A291" s="406"/>
      <c r="B291" s="401"/>
      <c r="C291" s="401"/>
      <c r="D291" s="401"/>
      <c r="E291" s="401"/>
      <c r="F291" s="401"/>
      <c r="G291" s="417"/>
    </row>
    <row r="292" spans="1:9" ht="12.75" customHeight="1">
      <c r="A292" s="406"/>
      <c r="B292" s="401"/>
      <c r="C292" s="401"/>
      <c r="D292" s="401"/>
      <c r="E292" s="401"/>
      <c r="F292" s="401" t="s">
        <v>189</v>
      </c>
      <c r="G292" s="417">
        <f t="shared" si="6"/>
        <v>733.8692305423375</v>
      </c>
    </row>
    <row r="293" spans="1:9" ht="12.75" customHeight="1">
      <c r="A293" s="406" t="s">
        <v>202</v>
      </c>
      <c r="B293" s="401"/>
      <c r="C293" s="401"/>
      <c r="D293" s="401"/>
      <c r="E293" s="401"/>
      <c r="F293" s="401"/>
      <c r="G293" s="417"/>
    </row>
    <row r="294" spans="1:9" ht="12.75" customHeight="1">
      <c r="A294" s="408" t="s">
        <v>203</v>
      </c>
      <c r="B294" s="169" t="s">
        <v>204</v>
      </c>
      <c r="C294" s="169" t="s">
        <v>205</v>
      </c>
      <c r="D294" s="169" t="s">
        <v>206</v>
      </c>
      <c r="E294" s="169" t="s">
        <v>207</v>
      </c>
      <c r="F294" s="169" t="s">
        <v>208</v>
      </c>
      <c r="G294" s="417"/>
    </row>
    <row r="295" spans="1:9" ht="12.75" customHeight="1">
      <c r="A295" s="406" t="s">
        <v>188</v>
      </c>
      <c r="B295" s="401">
        <f t="shared" ref="B295:B296" si="19">+B32</f>
        <v>140000</v>
      </c>
      <c r="C295" s="401">
        <f t="shared" si="7"/>
        <v>105000</v>
      </c>
      <c r="D295" s="401">
        <f t="shared" si="8"/>
        <v>245000</v>
      </c>
      <c r="E295" s="403">
        <v>300</v>
      </c>
      <c r="F295" s="403">
        <f t="shared" si="9"/>
        <v>816.66666666666663</v>
      </c>
      <c r="G295" s="417"/>
    </row>
    <row r="296" spans="1:9" ht="12.75" customHeight="1">
      <c r="A296" s="406" t="s">
        <v>190</v>
      </c>
      <c r="B296" s="401">
        <f t="shared" si="19"/>
        <v>91000</v>
      </c>
      <c r="C296" s="403">
        <f t="shared" si="7"/>
        <v>68250</v>
      </c>
      <c r="D296" s="403">
        <f t="shared" si="8"/>
        <v>159250</v>
      </c>
      <c r="E296" s="403">
        <v>279.50228920098778</v>
      </c>
      <c r="F296" s="403">
        <f t="shared" si="9"/>
        <v>569.76277530766356</v>
      </c>
      <c r="G296" s="417"/>
    </row>
    <row r="297" spans="1:9" ht="12.75" customHeight="1">
      <c r="A297" s="406"/>
      <c r="B297" s="401"/>
      <c r="C297" s="401"/>
      <c r="D297" s="401"/>
      <c r="E297" s="401"/>
      <c r="F297" s="401"/>
      <c r="G297" s="417"/>
    </row>
    <row r="298" spans="1:9" ht="12.75" customHeight="1">
      <c r="A298" s="406"/>
      <c r="B298" s="401"/>
      <c r="C298" s="401"/>
      <c r="D298" s="401"/>
      <c r="E298" s="401"/>
      <c r="F298" s="401"/>
      <c r="G298" s="417"/>
    </row>
    <row r="299" spans="1:9" ht="12.75" customHeight="1">
      <c r="A299" s="406"/>
      <c r="B299" s="401"/>
      <c r="C299" s="401"/>
      <c r="D299" s="401"/>
      <c r="E299" s="401"/>
      <c r="F299" s="401"/>
      <c r="G299" s="417"/>
    </row>
    <row r="300" spans="1:9" ht="12.75" customHeight="1">
      <c r="A300" s="406"/>
      <c r="B300" s="401"/>
      <c r="C300" s="401"/>
      <c r="D300" s="401"/>
      <c r="E300" s="401"/>
      <c r="F300" s="401"/>
      <c r="G300" s="417"/>
    </row>
    <row r="301" spans="1:9" ht="12.75" customHeight="1">
      <c r="A301" s="406"/>
      <c r="B301" s="401"/>
      <c r="C301" s="401"/>
      <c r="D301" s="401"/>
      <c r="E301" s="401"/>
      <c r="F301" s="401" t="s">
        <v>189</v>
      </c>
      <c r="G301" s="417">
        <f t="shared" si="10"/>
        <v>1386.4294419743301</v>
      </c>
    </row>
    <row r="302" spans="1:9" ht="12.75" customHeight="1">
      <c r="A302" s="406"/>
      <c r="B302" s="401"/>
      <c r="C302" s="401"/>
      <c r="D302" s="401"/>
      <c r="E302" s="401"/>
      <c r="F302" s="401"/>
      <c r="G302" s="417"/>
    </row>
    <row r="303" spans="1:9" ht="12.75" customHeight="1">
      <c r="A303" s="406" t="s">
        <v>209</v>
      </c>
      <c r="B303" s="401"/>
      <c r="C303" s="401" t="s">
        <v>210</v>
      </c>
      <c r="D303" s="401" t="s">
        <v>211</v>
      </c>
      <c r="E303" s="401"/>
      <c r="F303" s="401"/>
      <c r="G303" s="417">
        <f t="shared" si="11"/>
        <v>7684.6153846153838</v>
      </c>
      <c r="I303">
        <v>9685.9699999999993</v>
      </c>
    </row>
    <row r="304" spans="1:9" ht="12.75" customHeight="1">
      <c r="A304" s="406"/>
      <c r="B304" s="401"/>
      <c r="C304" s="401"/>
      <c r="D304" s="401"/>
      <c r="E304" s="401"/>
      <c r="F304" s="401"/>
      <c r="G304" s="417"/>
    </row>
    <row r="305" spans="1:7" ht="12.75" customHeight="1">
      <c r="A305" s="406"/>
      <c r="B305" s="401"/>
      <c r="C305" s="401"/>
      <c r="D305" s="401"/>
      <c r="E305" s="401" t="s">
        <v>212</v>
      </c>
      <c r="F305" s="401"/>
      <c r="G305" s="417">
        <f t="shared" si="12"/>
        <v>2305.3846153846152</v>
      </c>
    </row>
    <row r="306" spans="1:7" ht="12.75" customHeight="1">
      <c r="A306" s="406"/>
      <c r="B306" s="401"/>
      <c r="C306" s="401"/>
      <c r="D306" s="401"/>
      <c r="E306" s="401"/>
      <c r="F306" s="401"/>
      <c r="G306" s="417"/>
    </row>
    <row r="307" spans="1:7" ht="12.75" customHeight="1" thickBot="1">
      <c r="A307" s="411" t="s">
        <v>213</v>
      </c>
      <c r="B307" s="412"/>
      <c r="C307" s="412"/>
      <c r="D307" s="412" t="s">
        <v>214</v>
      </c>
      <c r="E307" s="412"/>
      <c r="F307" s="412"/>
      <c r="G307" s="418">
        <f t="shared" si="13"/>
        <v>9990</v>
      </c>
    </row>
    <row r="308" spans="1:7" ht="15" customHeight="1">
      <c r="A308" s="468" t="s">
        <v>174</v>
      </c>
      <c r="B308" s="457"/>
      <c r="C308" s="457"/>
      <c r="D308" s="457"/>
      <c r="E308" s="457"/>
      <c r="F308" s="457"/>
      <c r="G308" s="457"/>
    </row>
    <row r="309" spans="1:7" ht="12.75" customHeight="1" thickBot="1">
      <c r="A309" s="77"/>
      <c r="B309" s="77"/>
      <c r="C309" s="77"/>
      <c r="D309" s="77"/>
      <c r="E309" s="77"/>
      <c r="F309" s="77"/>
    </row>
    <row r="310" spans="1:7" ht="12.75" customHeight="1">
      <c r="A310" s="404" t="s">
        <v>175</v>
      </c>
      <c r="B310" s="405"/>
      <c r="C310" s="405"/>
      <c r="D310" s="428"/>
      <c r="E310" s="428"/>
      <c r="F310" s="428"/>
      <c r="G310" s="429"/>
    </row>
    <row r="311" spans="1:7" ht="12.75" customHeight="1">
      <c r="A311" s="406" t="s">
        <v>368</v>
      </c>
      <c r="B311" s="401"/>
      <c r="C311" s="401"/>
      <c r="D311" s="401"/>
      <c r="E311" s="195"/>
      <c r="F311" s="402" t="s">
        <v>177</v>
      </c>
      <c r="G311" s="430">
        <f t="shared" ca="1" si="0"/>
        <v>46289</v>
      </c>
    </row>
    <row r="312" spans="1:7" ht="12.75" customHeight="1">
      <c r="A312" s="406"/>
      <c r="B312" s="401"/>
      <c r="C312" s="401"/>
      <c r="D312" s="401"/>
      <c r="E312" s="401"/>
      <c r="F312" s="401"/>
      <c r="G312" s="417"/>
    </row>
    <row r="313" spans="1:7" ht="12.75" customHeight="1">
      <c r="A313" s="406" t="s">
        <v>382</v>
      </c>
      <c r="B313" s="401" t="s">
        <v>383</v>
      </c>
      <c r="C313" s="401"/>
      <c r="D313" s="401"/>
      <c r="E313" s="401"/>
      <c r="F313" s="401"/>
      <c r="G313" s="417"/>
    </row>
    <row r="314" spans="1:7" ht="12.75" customHeight="1">
      <c r="A314" s="406" t="s">
        <v>384</v>
      </c>
      <c r="B314" s="401"/>
      <c r="C314" s="169" t="s">
        <v>179</v>
      </c>
      <c r="D314" s="432">
        <v>1</v>
      </c>
      <c r="E314" s="401" t="s">
        <v>180</v>
      </c>
      <c r="F314" s="401" t="s">
        <v>262</v>
      </c>
      <c r="G314" s="417"/>
    </row>
    <row r="315" spans="1:7" ht="12.75" customHeight="1">
      <c r="A315" s="406" t="s">
        <v>182</v>
      </c>
      <c r="B315" s="401"/>
      <c r="C315" s="401"/>
      <c r="D315" s="401"/>
      <c r="E315" s="401"/>
      <c r="F315" s="401"/>
      <c r="G315" s="417"/>
    </row>
    <row r="316" spans="1:7" ht="12.75" customHeight="1">
      <c r="A316" s="408" t="s">
        <v>111</v>
      </c>
      <c r="B316" s="169" t="s">
        <v>183</v>
      </c>
      <c r="C316" s="169" t="s">
        <v>184</v>
      </c>
      <c r="D316" s="169" t="s">
        <v>185</v>
      </c>
      <c r="E316" s="169" t="s">
        <v>186</v>
      </c>
      <c r="F316" s="401"/>
      <c r="G316" s="417"/>
    </row>
    <row r="317" spans="1:7" ht="12.75" customHeight="1">
      <c r="A317" s="406" t="s">
        <v>187</v>
      </c>
      <c r="B317" s="401"/>
      <c r="C317" s="401"/>
      <c r="D317" s="401"/>
      <c r="E317" s="403">
        <f>G345*0.05</f>
        <v>185829.96336982763</v>
      </c>
      <c r="F317" s="401"/>
      <c r="G317" s="417"/>
    </row>
    <row r="318" spans="1:7" ht="12.75" customHeight="1">
      <c r="A318" s="406"/>
      <c r="B318" s="401"/>
      <c r="C318" s="401"/>
      <c r="D318" s="401"/>
      <c r="E318" s="401"/>
      <c r="F318" s="401"/>
      <c r="G318" s="417"/>
    </row>
    <row r="319" spans="1:7" ht="12.75" customHeight="1">
      <c r="A319" s="406"/>
      <c r="B319" s="401"/>
      <c r="C319" s="401"/>
      <c r="D319" s="401"/>
      <c r="E319" s="401"/>
      <c r="F319" s="401"/>
      <c r="G319" s="417"/>
    </row>
    <row r="320" spans="1:7" ht="12.75" customHeight="1">
      <c r="A320" s="406"/>
      <c r="B320" s="401"/>
      <c r="C320" s="401"/>
      <c r="D320" s="401"/>
      <c r="E320" s="401"/>
      <c r="F320" s="401" t="s">
        <v>189</v>
      </c>
      <c r="G320" s="417">
        <f t="shared" si="2"/>
        <v>185829.96336982763</v>
      </c>
    </row>
    <row r="321" spans="1:7" ht="12.75" customHeight="1">
      <c r="A321" s="406" t="s">
        <v>191</v>
      </c>
      <c r="B321" s="401"/>
      <c r="C321" s="401"/>
      <c r="D321" s="401"/>
      <c r="E321" s="401"/>
      <c r="F321" s="401"/>
      <c r="G321" s="417"/>
    </row>
    <row r="322" spans="1:7" ht="12.75" customHeight="1">
      <c r="A322" s="408" t="s">
        <v>111</v>
      </c>
      <c r="B322" s="169" t="s">
        <v>193</v>
      </c>
      <c r="C322" s="169" t="s">
        <v>194</v>
      </c>
      <c r="D322" s="169" t="s">
        <v>195</v>
      </c>
      <c r="E322" s="169" t="s">
        <v>186</v>
      </c>
      <c r="F322" s="401"/>
      <c r="G322" s="417"/>
    </row>
    <row r="323" spans="1:7" ht="12.75" customHeight="1">
      <c r="A323" s="406" t="s">
        <v>385</v>
      </c>
      <c r="B323" s="169"/>
      <c r="C323" s="403"/>
      <c r="D323" s="401"/>
      <c r="E323" s="403"/>
      <c r="F323" s="401"/>
      <c r="G323" s="417"/>
    </row>
    <row r="324" spans="1:7" ht="15" customHeight="1">
      <c r="A324" s="406" t="s">
        <v>386</v>
      </c>
      <c r="B324" s="169"/>
      <c r="C324" s="401"/>
      <c r="D324" s="401"/>
      <c r="E324" s="403"/>
      <c r="F324" s="401"/>
      <c r="G324" s="417"/>
    </row>
    <row r="325" spans="1:7" ht="12.75" customHeight="1">
      <c r="A325" s="406" t="s">
        <v>387</v>
      </c>
      <c r="B325" s="169"/>
      <c r="C325" s="401"/>
      <c r="D325" s="401"/>
      <c r="E325" s="403"/>
      <c r="F325" s="401"/>
      <c r="G325" s="417"/>
    </row>
    <row r="326" spans="1:7" ht="12.75" customHeight="1">
      <c r="A326" s="406" t="s">
        <v>388</v>
      </c>
      <c r="B326" s="401"/>
      <c r="C326" s="401"/>
      <c r="D326" s="401"/>
      <c r="E326" s="401"/>
      <c r="F326" s="401"/>
      <c r="G326" s="417"/>
    </row>
    <row r="327" spans="1:7" ht="12.75" customHeight="1">
      <c r="A327" s="406" t="s">
        <v>389</v>
      </c>
      <c r="B327" s="401"/>
      <c r="C327" s="401"/>
      <c r="D327" s="401"/>
      <c r="E327" s="401"/>
      <c r="F327" s="401"/>
      <c r="G327" s="417"/>
    </row>
    <row r="328" spans="1:7" ht="12.75" customHeight="1">
      <c r="A328" s="406" t="s">
        <v>390</v>
      </c>
      <c r="B328" s="401" t="s">
        <v>273</v>
      </c>
      <c r="C328" s="401"/>
      <c r="D328" s="401"/>
      <c r="E328" s="401">
        <f>5575600</f>
        <v>5575600</v>
      </c>
      <c r="F328" s="401"/>
      <c r="G328" s="417"/>
    </row>
    <row r="329" spans="1:7" ht="12.75" customHeight="1">
      <c r="A329" s="406"/>
      <c r="B329" s="401"/>
      <c r="C329" s="401"/>
      <c r="D329" s="401"/>
      <c r="E329" s="401"/>
      <c r="F329" s="401" t="s">
        <v>189</v>
      </c>
      <c r="G329" s="417">
        <f t="shared" si="5"/>
        <v>5575600</v>
      </c>
    </row>
    <row r="330" spans="1:7" ht="12.75" customHeight="1">
      <c r="A330" s="406" t="s">
        <v>197</v>
      </c>
      <c r="B330" s="401"/>
      <c r="C330" s="401"/>
      <c r="D330" s="401"/>
      <c r="E330" s="401"/>
      <c r="F330" s="401"/>
      <c r="G330" s="417"/>
    </row>
    <row r="331" spans="1:7" ht="12.75" customHeight="1">
      <c r="A331" s="408" t="s">
        <v>198</v>
      </c>
      <c r="B331" s="169" t="s">
        <v>199</v>
      </c>
      <c r="C331" s="169" t="s">
        <v>200</v>
      </c>
      <c r="D331" s="169" t="s">
        <v>201</v>
      </c>
      <c r="E331" s="169" t="s">
        <v>186</v>
      </c>
      <c r="F331" s="401"/>
      <c r="G331" s="417"/>
    </row>
    <row r="332" spans="1:7" ht="12.75" customHeight="1">
      <c r="A332" s="406" t="s">
        <v>391</v>
      </c>
      <c r="B332" s="401"/>
      <c r="C332" s="401"/>
      <c r="D332" s="401"/>
      <c r="E332" s="401">
        <v>50000</v>
      </c>
      <c r="F332" s="401"/>
      <c r="G332" s="417"/>
    </row>
    <row r="333" spans="1:7" ht="12.75" customHeight="1">
      <c r="A333" s="406"/>
      <c r="B333" s="401"/>
      <c r="C333" s="401"/>
      <c r="D333" s="401"/>
      <c r="E333" s="401"/>
      <c r="F333" s="401"/>
      <c r="G333" s="417"/>
    </row>
    <row r="334" spans="1:7" ht="12.75" customHeight="1">
      <c r="A334" s="406"/>
      <c r="B334" s="401"/>
      <c r="C334" s="401"/>
      <c r="D334" s="401"/>
      <c r="E334" s="401"/>
      <c r="F334" s="401"/>
      <c r="G334" s="417"/>
    </row>
    <row r="335" spans="1:7" ht="12.75" customHeight="1">
      <c r="A335" s="406"/>
      <c r="B335" s="401"/>
      <c r="C335" s="401"/>
      <c r="D335" s="401"/>
      <c r="E335" s="401"/>
      <c r="F335" s="401"/>
      <c r="G335" s="417"/>
    </row>
    <row r="336" spans="1:7" ht="12.75" customHeight="1">
      <c r="A336" s="406"/>
      <c r="B336" s="401"/>
      <c r="C336" s="401"/>
      <c r="D336" s="401"/>
      <c r="E336" s="401"/>
      <c r="F336" s="401" t="s">
        <v>189</v>
      </c>
      <c r="G336" s="417">
        <f t="shared" si="6"/>
        <v>50000</v>
      </c>
    </row>
    <row r="337" spans="1:9" ht="12.75" customHeight="1">
      <c r="A337" s="406" t="s">
        <v>202</v>
      </c>
      <c r="B337" s="401"/>
      <c r="C337" s="401"/>
      <c r="D337" s="401"/>
      <c r="E337" s="401"/>
      <c r="F337" s="401"/>
      <c r="G337" s="417"/>
    </row>
    <row r="338" spans="1:9" ht="12.75" customHeight="1">
      <c r="A338" s="408" t="s">
        <v>203</v>
      </c>
      <c r="B338" s="169" t="s">
        <v>204</v>
      </c>
      <c r="C338" s="169" t="s">
        <v>205</v>
      </c>
      <c r="D338" s="169" t="s">
        <v>206</v>
      </c>
      <c r="E338" s="169" t="s">
        <v>207</v>
      </c>
      <c r="F338" s="169" t="s">
        <v>208</v>
      </c>
      <c r="G338" s="417"/>
    </row>
    <row r="339" spans="1:9" ht="12.75" customHeight="1">
      <c r="A339" s="406" t="s">
        <v>392</v>
      </c>
      <c r="B339" s="401">
        <f>+B32</f>
        <v>140000</v>
      </c>
      <c r="C339" s="403">
        <f t="shared" si="7"/>
        <v>105000</v>
      </c>
      <c r="D339" s="403">
        <f t="shared" si="8"/>
        <v>245000</v>
      </c>
      <c r="E339" s="401">
        <v>0.25</v>
      </c>
      <c r="F339" s="403">
        <f t="shared" si="9"/>
        <v>980000</v>
      </c>
      <c r="G339" s="417"/>
    </row>
    <row r="340" spans="1:9" ht="12.75" customHeight="1">
      <c r="A340" s="406" t="s">
        <v>244</v>
      </c>
      <c r="B340" s="401">
        <f>+B33*3</f>
        <v>273000</v>
      </c>
      <c r="C340" s="403">
        <f t="shared" si="7"/>
        <v>204750</v>
      </c>
      <c r="D340" s="403">
        <f t="shared" si="8"/>
        <v>477750</v>
      </c>
      <c r="E340" s="401">
        <v>0.25</v>
      </c>
      <c r="F340" s="403">
        <f t="shared" si="9"/>
        <v>1911000</v>
      </c>
      <c r="G340" s="417"/>
    </row>
    <row r="341" spans="1:9" ht="12.75" customHeight="1">
      <c r="A341" s="406" t="s">
        <v>321</v>
      </c>
      <c r="B341" s="401">
        <v>120000</v>
      </c>
      <c r="C341" s="403">
        <f t="shared" si="7"/>
        <v>90000</v>
      </c>
      <c r="D341" s="403">
        <f t="shared" si="8"/>
        <v>210000</v>
      </c>
      <c r="E341" s="427">
        <v>0.25436069082548335</v>
      </c>
      <c r="F341" s="403">
        <f t="shared" si="9"/>
        <v>825599.26739655237</v>
      </c>
      <c r="G341" s="417"/>
    </row>
    <row r="342" spans="1:9" ht="12.75" customHeight="1">
      <c r="A342" s="406"/>
      <c r="B342" s="401"/>
      <c r="C342" s="401"/>
      <c r="D342" s="401"/>
      <c r="E342" s="401"/>
      <c r="F342" s="401"/>
      <c r="G342" s="417"/>
    </row>
    <row r="343" spans="1:9" ht="12.75" customHeight="1">
      <c r="A343" s="406"/>
      <c r="B343" s="401"/>
      <c r="C343" s="401"/>
      <c r="D343" s="401"/>
      <c r="E343" s="401"/>
      <c r="F343" s="401"/>
      <c r="G343" s="417"/>
    </row>
    <row r="344" spans="1:9" ht="12.75" customHeight="1">
      <c r="A344" s="406"/>
      <c r="B344" s="401"/>
      <c r="C344" s="401"/>
      <c r="D344" s="401"/>
      <c r="E344" s="401"/>
      <c r="F344" s="401"/>
      <c r="G344" s="417"/>
    </row>
    <row r="345" spans="1:9" ht="12.75" customHeight="1">
      <c r="A345" s="406"/>
      <c r="B345" s="401"/>
      <c r="C345" s="401"/>
      <c r="D345" s="401"/>
      <c r="E345" s="401"/>
      <c r="F345" s="401" t="s">
        <v>189</v>
      </c>
      <c r="G345" s="417">
        <f t="shared" si="10"/>
        <v>3716599.2673965525</v>
      </c>
    </row>
    <row r="346" spans="1:9" ht="12.75" customHeight="1">
      <c r="A346" s="406"/>
      <c r="B346" s="401"/>
      <c r="C346" s="401"/>
      <c r="D346" s="401"/>
      <c r="E346" s="401"/>
      <c r="F346" s="401"/>
      <c r="G346" s="417"/>
    </row>
    <row r="347" spans="1:9" ht="12.75" customHeight="1">
      <c r="A347" s="406" t="s">
        <v>209</v>
      </c>
      <c r="B347" s="401"/>
      <c r="C347" s="401" t="s">
        <v>210</v>
      </c>
      <c r="D347" s="401" t="s">
        <v>211</v>
      </c>
      <c r="E347" s="401"/>
      <c r="F347" s="401"/>
      <c r="G347" s="417">
        <f t="shared" si="11"/>
        <v>9528029.2307663802</v>
      </c>
      <c r="I347">
        <v>12167380.789999999</v>
      </c>
    </row>
    <row r="348" spans="1:9" ht="12.75" customHeight="1">
      <c r="A348" s="406"/>
      <c r="B348" s="401"/>
      <c r="C348" s="401"/>
      <c r="D348" s="401"/>
      <c r="E348" s="401"/>
      <c r="F348" s="401"/>
      <c r="G348" s="417"/>
    </row>
    <row r="349" spans="1:9" ht="12.75" customHeight="1">
      <c r="A349" s="406"/>
      <c r="B349" s="401"/>
      <c r="C349" s="401"/>
      <c r="D349" s="401"/>
      <c r="E349" s="401" t="s">
        <v>212</v>
      </c>
      <c r="F349" s="401"/>
      <c r="G349" s="417">
        <f t="shared" si="12"/>
        <v>2858408.7692299141</v>
      </c>
    </row>
    <row r="350" spans="1:9" ht="12.75" customHeight="1">
      <c r="A350" s="406"/>
      <c r="B350" s="401"/>
      <c r="C350" s="401"/>
      <c r="D350" s="401"/>
      <c r="E350" s="401"/>
      <c r="F350" s="401"/>
      <c r="G350" s="417"/>
    </row>
    <row r="351" spans="1:9" ht="12.75" customHeight="1" thickBot="1">
      <c r="A351" s="411" t="s">
        <v>213</v>
      </c>
      <c r="B351" s="412"/>
      <c r="C351" s="412"/>
      <c r="D351" s="412" t="s">
        <v>214</v>
      </c>
      <c r="E351" s="412"/>
      <c r="F351" s="412"/>
      <c r="G351" s="418">
        <f t="shared" si="13"/>
        <v>12386437.999996293</v>
      </c>
    </row>
    <row r="352" spans="1:9" ht="15" customHeight="1">
      <c r="A352" s="468" t="s">
        <v>174</v>
      </c>
      <c r="B352" s="457"/>
      <c r="C352" s="457"/>
      <c r="D352" s="457"/>
      <c r="E352" s="457"/>
      <c r="F352" s="457"/>
      <c r="G352" s="457"/>
    </row>
    <row r="353" spans="1:7" ht="12.75" customHeight="1">
      <c r="A353" s="77"/>
      <c r="B353" s="77"/>
      <c r="C353" s="77"/>
      <c r="D353" s="77"/>
      <c r="E353" s="77"/>
      <c r="F353" s="77"/>
    </row>
    <row r="354" spans="1:7" ht="12.75" customHeight="1">
      <c r="A354" s="1" t="s">
        <v>175</v>
      </c>
      <c r="B354" s="1"/>
      <c r="C354" s="1"/>
      <c r="D354" s="94"/>
      <c r="E354" s="94"/>
      <c r="F354" s="94"/>
      <c r="G354" s="414"/>
    </row>
    <row r="355" spans="1:7" ht="12.75" customHeight="1">
      <c r="A355" s="1" t="s">
        <v>368</v>
      </c>
      <c r="B355" s="1"/>
      <c r="C355" s="1"/>
      <c r="D355" s="1"/>
      <c r="F355" s="95" t="s">
        <v>177</v>
      </c>
      <c r="G355" s="415">
        <f t="shared" ca="1" si="0"/>
        <v>46289</v>
      </c>
    </row>
    <row r="356" spans="1:7" ht="12.75" customHeight="1">
      <c r="A356" s="1"/>
      <c r="B356" s="94"/>
      <c r="C356" s="94"/>
      <c r="D356" s="94"/>
      <c r="E356" s="94"/>
      <c r="F356" s="94"/>
      <c r="G356" s="414"/>
    </row>
    <row r="357" spans="1:7" ht="12.75" customHeight="1">
      <c r="A357" s="1"/>
      <c r="B357" s="1"/>
      <c r="C357" s="1"/>
      <c r="D357" s="1"/>
      <c r="E357" s="1"/>
      <c r="F357" s="1"/>
      <c r="G357" s="420"/>
    </row>
    <row r="358" spans="1:7" ht="12.75" customHeight="1">
      <c r="A358" s="99" t="s">
        <v>393</v>
      </c>
      <c r="B358" s="100" t="s">
        <v>394</v>
      </c>
      <c r="C358" s="100"/>
      <c r="D358" s="100"/>
      <c r="E358" s="100"/>
      <c r="F358" s="100"/>
      <c r="G358" s="138"/>
    </row>
    <row r="359" spans="1:7" ht="12.75" customHeight="1">
      <c r="A359" s="102" t="s">
        <v>395</v>
      </c>
      <c r="B359" s="103"/>
      <c r="C359" s="104" t="s">
        <v>179</v>
      </c>
      <c r="D359" s="126">
        <v>1</v>
      </c>
      <c r="E359" s="103" t="s">
        <v>180</v>
      </c>
      <c r="F359" s="103" t="s">
        <v>262</v>
      </c>
      <c r="G359" s="419"/>
    </row>
    <row r="360" spans="1:7" ht="12.75" customHeight="1">
      <c r="A360" s="1" t="s">
        <v>182</v>
      </c>
      <c r="B360" s="1"/>
      <c r="C360" s="1"/>
      <c r="D360" s="1"/>
      <c r="E360" s="1"/>
      <c r="F360" s="1"/>
      <c r="G360" s="420"/>
    </row>
    <row r="361" spans="1:7" ht="12.75" customHeight="1">
      <c r="A361" s="106" t="s">
        <v>111</v>
      </c>
      <c r="B361" s="107" t="s">
        <v>183</v>
      </c>
      <c r="C361" s="106" t="s">
        <v>184</v>
      </c>
      <c r="D361" s="107" t="s">
        <v>185</v>
      </c>
      <c r="E361" s="106" t="s">
        <v>186</v>
      </c>
      <c r="F361" s="108"/>
      <c r="G361" s="421"/>
    </row>
    <row r="362" spans="1:7" ht="12.75" customHeight="1">
      <c r="A362" s="110" t="s">
        <v>187</v>
      </c>
      <c r="B362" s="100"/>
      <c r="C362" s="110"/>
      <c r="D362" s="100"/>
      <c r="E362" s="111">
        <f t="shared" si="16"/>
        <v>163097.06959707016</v>
      </c>
      <c r="F362" s="112"/>
      <c r="G362" s="422"/>
    </row>
    <row r="363" spans="1:7" ht="12.75" customHeight="1">
      <c r="A363" s="110"/>
      <c r="B363" s="110"/>
      <c r="C363" s="110"/>
      <c r="D363" s="110"/>
      <c r="E363" s="101"/>
      <c r="F363" s="112"/>
      <c r="G363" s="422"/>
    </row>
    <row r="364" spans="1:7" ht="12.75" customHeight="1">
      <c r="A364" s="110"/>
      <c r="B364" s="110"/>
      <c r="C364" s="110"/>
      <c r="D364" s="110"/>
      <c r="E364" s="101"/>
      <c r="F364" s="112"/>
      <c r="G364" s="422"/>
    </row>
    <row r="365" spans="1:7" ht="12.75" customHeight="1">
      <c r="A365" s="110"/>
      <c r="B365" s="110"/>
      <c r="C365" s="110"/>
      <c r="D365" s="110"/>
      <c r="E365" s="101"/>
      <c r="F365" s="102" t="s">
        <v>189</v>
      </c>
      <c r="G365" s="419">
        <f t="shared" si="2"/>
        <v>163097.06959707016</v>
      </c>
    </row>
    <row r="366" spans="1:7" ht="12.75" customHeight="1">
      <c r="A366" s="1" t="s">
        <v>191</v>
      </c>
      <c r="B366" s="1"/>
      <c r="C366" s="1"/>
      <c r="D366" s="1"/>
      <c r="E366" s="1"/>
      <c r="F366" s="1"/>
      <c r="G366" s="420"/>
    </row>
    <row r="367" spans="1:7" ht="12.75" customHeight="1">
      <c r="A367" s="115" t="s">
        <v>111</v>
      </c>
      <c r="B367" s="106" t="s">
        <v>193</v>
      </c>
      <c r="C367" s="80" t="s">
        <v>194</v>
      </c>
      <c r="D367" s="106" t="s">
        <v>195</v>
      </c>
      <c r="E367" s="81" t="s">
        <v>186</v>
      </c>
      <c r="F367" s="108"/>
      <c r="G367" s="421"/>
    </row>
    <row r="368" spans="1:7" ht="12.75" customHeight="1">
      <c r="A368" s="528" t="s">
        <v>396</v>
      </c>
      <c r="B368" s="106"/>
      <c r="C368" s="111"/>
      <c r="D368" s="110"/>
      <c r="E368" s="119"/>
      <c r="F368" s="112"/>
      <c r="G368" s="422"/>
    </row>
    <row r="369" spans="1:11" ht="12.75" customHeight="1">
      <c r="A369" s="529"/>
      <c r="B369" s="123"/>
      <c r="C369" s="63"/>
      <c r="D369" s="63"/>
      <c r="E369" s="119"/>
      <c r="F369" s="112"/>
      <c r="G369" s="422"/>
      <c r="J369" s="49">
        <f>4500000/I371</f>
        <v>2380952.3809523811</v>
      </c>
    </row>
    <row r="370" spans="1:11" ht="12.75" customHeight="1">
      <c r="A370" s="529"/>
      <c r="B370" s="106"/>
      <c r="C370" s="110"/>
      <c r="D370" s="110"/>
      <c r="E370" s="119"/>
      <c r="F370" s="112"/>
      <c r="G370" s="422"/>
    </row>
    <row r="371" spans="1:11" ht="12.75" customHeight="1">
      <c r="A371" s="529"/>
      <c r="B371" s="63"/>
      <c r="C371" s="63"/>
      <c r="D371" s="63"/>
      <c r="E371" s="101"/>
      <c r="F371" s="112"/>
      <c r="G371" s="422"/>
      <c r="I371" s="49">
        <f>2.7*0.7</f>
        <v>1.89</v>
      </c>
      <c r="J371" s="49">
        <f>+K371*J369</f>
        <v>5261904.7619047621</v>
      </c>
      <c r="K371" s="49">
        <f>2.6*0.85</f>
        <v>2.21</v>
      </c>
    </row>
    <row r="372" spans="1:11" ht="12.75" customHeight="1">
      <c r="A372" s="529"/>
      <c r="B372" s="110"/>
      <c r="C372" s="110"/>
      <c r="D372" s="110"/>
      <c r="E372" s="101"/>
      <c r="F372" s="112"/>
      <c r="G372" s="422"/>
    </row>
    <row r="373" spans="1:11" ht="12.75" customHeight="1">
      <c r="A373" s="530"/>
      <c r="B373" s="110" t="s">
        <v>273</v>
      </c>
      <c r="C373" s="110"/>
      <c r="D373" s="110"/>
      <c r="E373" s="101">
        <f>5460000</f>
        <v>5460000</v>
      </c>
      <c r="F373" s="112"/>
      <c r="G373" s="422"/>
    </row>
    <row r="374" spans="1:11" ht="12.75" customHeight="1">
      <c r="A374" s="116"/>
      <c r="B374" s="116"/>
      <c r="C374" s="116"/>
      <c r="D374" s="116"/>
      <c r="E374" s="101"/>
      <c r="F374" s="102" t="s">
        <v>189</v>
      </c>
      <c r="G374" s="419">
        <f t="shared" si="5"/>
        <v>5460000</v>
      </c>
    </row>
    <row r="375" spans="1:11" ht="12.75" customHeight="1">
      <c r="A375" s="1" t="s">
        <v>197</v>
      </c>
      <c r="B375" s="1"/>
      <c r="C375" s="1"/>
      <c r="D375" s="1"/>
      <c r="E375" s="1"/>
      <c r="F375" s="1"/>
      <c r="G375" s="420"/>
    </row>
    <row r="376" spans="1:11" ht="12.75" customHeight="1">
      <c r="A376" s="117" t="s">
        <v>198</v>
      </c>
      <c r="B376" s="117" t="s">
        <v>199</v>
      </c>
      <c r="C376" s="117" t="s">
        <v>200</v>
      </c>
      <c r="D376" s="117" t="s">
        <v>201</v>
      </c>
      <c r="E376" s="81" t="s">
        <v>186</v>
      </c>
      <c r="F376" s="108"/>
      <c r="G376" s="421"/>
    </row>
    <row r="377" spans="1:11" ht="12.75" customHeight="1">
      <c r="A377" s="110" t="s">
        <v>391</v>
      </c>
      <c r="B377" s="110"/>
      <c r="C377" s="110"/>
      <c r="D377" s="110"/>
      <c r="E377" s="101">
        <v>50000</v>
      </c>
      <c r="F377" s="112"/>
      <c r="G377" s="422"/>
    </row>
    <row r="378" spans="1:11" ht="12.75" customHeight="1">
      <c r="A378" s="63"/>
      <c r="B378" s="63"/>
      <c r="C378" s="63"/>
      <c r="D378" s="63"/>
      <c r="E378" s="113"/>
      <c r="F378" s="112"/>
      <c r="G378" s="422"/>
    </row>
    <row r="379" spans="1:11" ht="12.75" customHeight="1">
      <c r="A379" s="110"/>
      <c r="B379" s="110"/>
      <c r="C379" s="110"/>
      <c r="D379" s="110"/>
      <c r="E379" s="101"/>
      <c r="F379" s="112"/>
      <c r="G379" s="422"/>
    </row>
    <row r="380" spans="1:11" ht="12.75" customHeight="1">
      <c r="A380" s="116"/>
      <c r="B380" s="116"/>
      <c r="C380" s="116"/>
      <c r="D380" s="116"/>
      <c r="E380" s="105"/>
      <c r="F380" s="102" t="s">
        <v>189</v>
      </c>
      <c r="G380" s="419">
        <f t="shared" ref="G380:G776" si="20">+E377</f>
        <v>50000</v>
      </c>
    </row>
    <row r="381" spans="1:11" ht="12.75" customHeight="1">
      <c r="A381" s="1" t="s">
        <v>202</v>
      </c>
      <c r="B381" s="1"/>
      <c r="C381" s="1"/>
      <c r="D381" s="1"/>
      <c r="E381" s="1"/>
      <c r="F381" s="1"/>
      <c r="G381" s="420"/>
    </row>
    <row r="382" spans="1:11" ht="12.75" customHeight="1">
      <c r="A382" s="117" t="s">
        <v>203</v>
      </c>
      <c r="B382" s="80" t="s">
        <v>204</v>
      </c>
      <c r="C382" s="117" t="s">
        <v>205</v>
      </c>
      <c r="D382" s="80" t="s">
        <v>206</v>
      </c>
      <c r="E382" s="117" t="s">
        <v>207</v>
      </c>
      <c r="F382" s="80" t="s">
        <v>208</v>
      </c>
      <c r="G382" s="423"/>
    </row>
    <row r="383" spans="1:11" ht="12.75" customHeight="1">
      <c r="A383" s="110" t="s">
        <v>392</v>
      </c>
      <c r="B383" s="100">
        <f>+B32</f>
        <v>140000</v>
      </c>
      <c r="C383" s="111">
        <f t="shared" si="7"/>
        <v>105000</v>
      </c>
      <c r="D383" s="120">
        <f t="shared" si="8"/>
        <v>245000</v>
      </c>
      <c r="E383" s="110">
        <v>0.28000000000000003</v>
      </c>
      <c r="F383" s="119">
        <f t="shared" si="9"/>
        <v>874999.99999999988</v>
      </c>
      <c r="G383" s="424"/>
    </row>
    <row r="384" spans="1:11" ht="12.75" customHeight="1">
      <c r="A384" s="63" t="s">
        <v>244</v>
      </c>
      <c r="B384" s="100">
        <f>+B33*3</f>
        <v>273000</v>
      </c>
      <c r="C384" s="111">
        <f t="shared" si="7"/>
        <v>204750</v>
      </c>
      <c r="D384" s="120">
        <f t="shared" si="8"/>
        <v>477750</v>
      </c>
      <c r="E384" s="110">
        <v>0.28000000000000003</v>
      </c>
      <c r="F384" s="119">
        <f t="shared" si="9"/>
        <v>1706249.9999999998</v>
      </c>
      <c r="G384" s="424"/>
    </row>
    <row r="385" spans="1:9" ht="12.75" customHeight="1">
      <c r="A385" s="110" t="s">
        <v>321</v>
      </c>
      <c r="B385" s="100">
        <f t="shared" ref="B385:B473" si="21">+B341</f>
        <v>120000</v>
      </c>
      <c r="C385" s="111">
        <f t="shared" si="7"/>
        <v>90000</v>
      </c>
      <c r="D385" s="120">
        <f t="shared" si="8"/>
        <v>210000</v>
      </c>
      <c r="E385" s="110">
        <v>0.30850985113982105</v>
      </c>
      <c r="F385" s="119">
        <f t="shared" si="9"/>
        <v>680691.39194140362</v>
      </c>
      <c r="G385" s="424"/>
    </row>
    <row r="386" spans="1:9" ht="12.75" customHeight="1">
      <c r="A386" s="63"/>
      <c r="B386" s="1"/>
      <c r="C386" s="63"/>
      <c r="D386" s="1"/>
      <c r="E386" s="63"/>
      <c r="F386" s="101"/>
      <c r="G386" s="424"/>
    </row>
    <row r="387" spans="1:9" ht="12.75" customHeight="1">
      <c r="A387" s="110"/>
      <c r="B387" s="100"/>
      <c r="C387" s="110"/>
      <c r="D387" s="100"/>
      <c r="E387" s="110"/>
      <c r="F387" s="101"/>
      <c r="G387" s="424"/>
    </row>
    <row r="388" spans="1:9" ht="12.75" customHeight="1">
      <c r="A388" s="116"/>
      <c r="B388" s="103"/>
      <c r="C388" s="116"/>
      <c r="D388" s="103"/>
      <c r="E388" s="116"/>
      <c r="F388" s="101"/>
      <c r="G388" s="425"/>
    </row>
    <row r="389" spans="1:9" ht="12.75" customHeight="1">
      <c r="A389" s="1"/>
      <c r="B389" s="1"/>
      <c r="C389" s="1"/>
      <c r="D389" s="1"/>
      <c r="E389" s="1"/>
      <c r="F389" s="1" t="s">
        <v>189</v>
      </c>
      <c r="G389" s="225">
        <f t="shared" si="10"/>
        <v>3261941.391941403</v>
      </c>
    </row>
    <row r="390" spans="1:9" ht="12.75" customHeight="1">
      <c r="A390" s="1"/>
      <c r="B390" s="1"/>
      <c r="C390" s="1"/>
      <c r="D390" s="1"/>
      <c r="E390" s="1"/>
      <c r="F390" s="1"/>
      <c r="G390" s="420"/>
    </row>
    <row r="391" spans="1:9" ht="12.75" customHeight="1">
      <c r="A391" s="103" t="s">
        <v>209</v>
      </c>
      <c r="B391" s="1"/>
      <c r="C391" s="1" t="s">
        <v>210</v>
      </c>
      <c r="D391" s="1" t="s">
        <v>211</v>
      </c>
      <c r="E391" s="1"/>
      <c r="F391" s="1"/>
      <c r="G391" s="225">
        <f>G365+G374+G380+G389</f>
        <v>8935038.4615384731</v>
      </c>
      <c r="I391">
        <v>11615550</v>
      </c>
    </row>
    <row r="392" spans="1:9" ht="12.75" customHeight="1">
      <c r="A392" s="1"/>
      <c r="B392" s="1"/>
      <c r="C392" s="1"/>
      <c r="D392" s="1"/>
      <c r="E392" s="1"/>
      <c r="F392" s="1"/>
      <c r="G392" s="420"/>
    </row>
    <row r="393" spans="1:9" ht="12.75" customHeight="1">
      <c r="A393" s="1"/>
      <c r="B393" s="1"/>
      <c r="C393" s="1"/>
      <c r="D393" s="1"/>
      <c r="E393" s="1" t="s">
        <v>212</v>
      </c>
      <c r="F393" s="1"/>
      <c r="G393" s="225">
        <f t="shared" si="12"/>
        <v>2680511.5384615418</v>
      </c>
    </row>
    <row r="394" spans="1:9" ht="12.75" customHeight="1">
      <c r="A394" s="1"/>
      <c r="B394" s="1"/>
      <c r="C394" s="1"/>
      <c r="D394" s="1"/>
      <c r="E394" s="1"/>
      <c r="F394" s="1"/>
      <c r="G394" s="420"/>
    </row>
    <row r="395" spans="1:9" ht="12.75" customHeight="1">
      <c r="A395" s="103" t="s">
        <v>213</v>
      </c>
      <c r="B395" s="1"/>
      <c r="C395" s="1"/>
      <c r="D395" s="1" t="s">
        <v>214</v>
      </c>
      <c r="E395" s="1"/>
      <c r="F395" s="1"/>
      <c r="G395" s="225">
        <f t="shared" si="13"/>
        <v>11615550.000000015</v>
      </c>
    </row>
    <row r="396" spans="1:9" ht="15" customHeight="1">
      <c r="A396" s="468" t="s">
        <v>174</v>
      </c>
      <c r="B396" s="457"/>
      <c r="C396" s="457"/>
      <c r="D396" s="457"/>
      <c r="E396" s="457"/>
      <c r="F396" s="457"/>
      <c r="G396" s="457"/>
    </row>
    <row r="397" spans="1:9" ht="12.75" customHeight="1">
      <c r="A397" s="77"/>
      <c r="B397" s="77"/>
      <c r="C397" s="77"/>
      <c r="D397" s="77"/>
      <c r="E397" s="77"/>
      <c r="F397" s="77"/>
    </row>
    <row r="398" spans="1:9" ht="12.75" customHeight="1">
      <c r="A398" s="1" t="s">
        <v>175</v>
      </c>
      <c r="B398" s="1"/>
      <c r="C398" s="1"/>
      <c r="D398" s="94"/>
      <c r="E398" s="94"/>
      <c r="F398" s="94"/>
      <c r="G398" s="414"/>
    </row>
    <row r="399" spans="1:9" ht="12.75" customHeight="1">
      <c r="A399" s="1" t="s">
        <v>368</v>
      </c>
      <c r="B399" s="1"/>
      <c r="C399" s="1"/>
      <c r="D399" s="1"/>
      <c r="F399" s="95" t="s">
        <v>177</v>
      </c>
      <c r="G399" s="415">
        <f t="shared" ca="1" si="0"/>
        <v>46289</v>
      </c>
    </row>
    <row r="400" spans="1:9" ht="12.75" customHeight="1">
      <c r="A400" s="1"/>
      <c r="B400" s="1"/>
      <c r="C400" s="1"/>
      <c r="D400" s="1"/>
      <c r="E400" s="1"/>
      <c r="F400" s="1"/>
      <c r="G400" s="420"/>
    </row>
    <row r="401" spans="1:7" ht="12.75" customHeight="1">
      <c r="A401" s="99" t="s">
        <v>397</v>
      </c>
      <c r="B401" s="525" t="s">
        <v>850</v>
      </c>
      <c r="C401" s="526"/>
      <c r="D401" s="526"/>
      <c r="E401" s="526"/>
      <c r="F401" s="526"/>
      <c r="G401" s="527"/>
    </row>
    <row r="402" spans="1:7" ht="12.75" customHeight="1">
      <c r="A402" s="100" t="s">
        <v>849</v>
      </c>
      <c r="B402" s="103"/>
      <c r="C402" s="104" t="s">
        <v>179</v>
      </c>
      <c r="D402" s="126">
        <v>3</v>
      </c>
      <c r="E402" s="103" t="s">
        <v>180</v>
      </c>
      <c r="F402" s="103" t="s">
        <v>262</v>
      </c>
      <c r="G402" s="419"/>
    </row>
    <row r="403" spans="1:7" ht="12.75" customHeight="1">
      <c r="A403" s="1" t="s">
        <v>182</v>
      </c>
      <c r="B403" s="1"/>
      <c r="C403" s="1"/>
      <c r="D403" s="1"/>
      <c r="E403" s="1"/>
      <c r="F403" s="1"/>
      <c r="G403" s="420"/>
    </row>
    <row r="404" spans="1:7" ht="12.75" customHeight="1">
      <c r="A404" s="106" t="s">
        <v>111</v>
      </c>
      <c r="B404" s="107" t="s">
        <v>183</v>
      </c>
      <c r="C404" s="106" t="s">
        <v>184</v>
      </c>
      <c r="D404" s="107" t="s">
        <v>185</v>
      </c>
      <c r="E404" s="106" t="s">
        <v>186</v>
      </c>
      <c r="F404" s="108"/>
      <c r="G404" s="421"/>
    </row>
    <row r="405" spans="1:7" ht="12.75" customHeight="1">
      <c r="A405" s="110" t="s">
        <v>187</v>
      </c>
      <c r="B405" s="100"/>
      <c r="C405" s="110"/>
      <c r="D405" s="100"/>
      <c r="E405" s="111">
        <f t="shared" si="1"/>
        <v>116593.75</v>
      </c>
      <c r="F405" s="112"/>
      <c r="G405" s="422"/>
    </row>
    <row r="406" spans="1:7" ht="12.75" customHeight="1">
      <c r="A406" s="110" t="s">
        <v>399</v>
      </c>
      <c r="B406" s="110" t="s">
        <v>400</v>
      </c>
      <c r="C406" s="110">
        <v>100000</v>
      </c>
      <c r="D406" s="110">
        <v>0.5</v>
      </c>
      <c r="E406" s="101">
        <f t="shared" ref="E406:F2408" si="22">C406/D406</f>
        <v>200000</v>
      </c>
      <c r="F406" s="112"/>
      <c r="G406" s="422"/>
    </row>
    <row r="407" spans="1:7" ht="12.75" customHeight="1">
      <c r="A407" s="110"/>
      <c r="B407" s="110"/>
      <c r="C407" s="110"/>
      <c r="D407" s="110"/>
      <c r="E407" s="101"/>
      <c r="F407" s="112"/>
      <c r="G407" s="422"/>
    </row>
    <row r="408" spans="1:7" ht="12.75" customHeight="1">
      <c r="A408" s="110"/>
      <c r="B408" s="110"/>
      <c r="C408" s="110"/>
      <c r="D408" s="110"/>
      <c r="E408" s="101"/>
      <c r="F408" s="102" t="s">
        <v>189</v>
      </c>
      <c r="G408" s="419">
        <f t="shared" si="2"/>
        <v>316593.75</v>
      </c>
    </row>
    <row r="409" spans="1:7" ht="12.75" customHeight="1">
      <c r="A409" s="1" t="s">
        <v>191</v>
      </c>
      <c r="B409" s="1"/>
      <c r="C409" s="1"/>
      <c r="D409" s="1"/>
      <c r="E409" s="1"/>
      <c r="F409" s="1"/>
      <c r="G409" s="420"/>
    </row>
    <row r="410" spans="1:7" ht="15" customHeight="1">
      <c r="A410" s="115" t="s">
        <v>111</v>
      </c>
      <c r="B410" s="106" t="s">
        <v>193</v>
      </c>
      <c r="C410" s="80" t="s">
        <v>194</v>
      </c>
      <c r="D410" s="106" t="s">
        <v>195</v>
      </c>
      <c r="E410" s="81" t="s">
        <v>186</v>
      </c>
      <c r="F410" s="108"/>
      <c r="G410" s="421"/>
    </row>
    <row r="411" spans="1:7" ht="12.75" customHeight="1">
      <c r="A411" s="110" t="s">
        <v>401</v>
      </c>
      <c r="B411" s="106"/>
      <c r="C411" s="111"/>
      <c r="D411" s="110"/>
      <c r="E411" s="119"/>
      <c r="F411" s="112"/>
      <c r="G411" s="422"/>
    </row>
    <row r="412" spans="1:7" ht="12.75" customHeight="1">
      <c r="A412" s="110" t="s">
        <v>851</v>
      </c>
      <c r="B412" s="123"/>
      <c r="C412" s="63"/>
      <c r="D412" s="63"/>
      <c r="E412" s="119"/>
      <c r="F412" s="112"/>
      <c r="G412" s="422"/>
    </row>
    <row r="413" spans="1:7" ht="12.75" customHeight="1">
      <c r="A413" s="110" t="s">
        <v>402</v>
      </c>
      <c r="B413" s="106"/>
      <c r="C413" s="110"/>
      <c r="D413" s="110"/>
      <c r="E413" s="119"/>
      <c r="F413" s="112"/>
      <c r="G413" s="422"/>
    </row>
    <row r="414" spans="1:7" ht="12.75" customHeight="1">
      <c r="A414" s="63" t="s">
        <v>388</v>
      </c>
      <c r="B414" s="63"/>
      <c r="C414" s="63"/>
      <c r="D414" s="63"/>
      <c r="E414" s="101"/>
      <c r="F414" s="112"/>
      <c r="G414" s="422"/>
    </row>
    <row r="415" spans="1:7" ht="12.75" customHeight="1">
      <c r="A415" s="110" t="s">
        <v>389</v>
      </c>
      <c r="B415" s="110"/>
      <c r="C415" s="110"/>
      <c r="D415" s="110"/>
      <c r="E415" s="101"/>
      <c r="F415" s="112"/>
      <c r="G415" s="422"/>
    </row>
    <row r="416" spans="1:7" ht="12.75" customHeight="1">
      <c r="A416" s="110" t="s">
        <v>403</v>
      </c>
      <c r="B416" s="110" t="s">
        <v>273</v>
      </c>
      <c r="C416" s="110"/>
      <c r="D416" s="110"/>
      <c r="E416" s="138">
        <f>1.19*7200000</f>
        <v>8568000</v>
      </c>
      <c r="F416" s="112"/>
      <c r="G416" s="422"/>
    </row>
    <row r="417" spans="1:7" ht="12.75" customHeight="1">
      <c r="A417" s="116"/>
      <c r="B417" s="116"/>
      <c r="C417" s="116"/>
      <c r="D417" s="116"/>
      <c r="E417" s="101"/>
      <c r="F417" s="102" t="s">
        <v>189</v>
      </c>
      <c r="G417" s="419">
        <f t="shared" si="5"/>
        <v>8568000</v>
      </c>
    </row>
    <row r="418" spans="1:7" ht="12.75" customHeight="1">
      <c r="A418" s="1" t="s">
        <v>197</v>
      </c>
      <c r="B418" s="1"/>
      <c r="C418" s="1"/>
      <c r="D418" s="1"/>
      <c r="E418" s="1"/>
      <c r="F418" s="1"/>
      <c r="G418" s="420"/>
    </row>
    <row r="419" spans="1:7" ht="12.75" customHeight="1">
      <c r="A419" s="117" t="s">
        <v>198</v>
      </c>
      <c r="B419" s="117" t="s">
        <v>199</v>
      </c>
      <c r="C419" s="117" t="s">
        <v>200</v>
      </c>
      <c r="D419" s="117" t="s">
        <v>201</v>
      </c>
      <c r="E419" s="81" t="s">
        <v>186</v>
      </c>
      <c r="F419" s="108"/>
      <c r="G419" s="421"/>
    </row>
    <row r="420" spans="1:7" ht="12.75" customHeight="1">
      <c r="A420" s="110" t="s">
        <v>391</v>
      </c>
      <c r="B420" s="110"/>
      <c r="C420" s="110"/>
      <c r="D420" s="110"/>
      <c r="E420" s="139">
        <v>1000000</v>
      </c>
      <c r="F420" s="112"/>
      <c r="G420" s="422"/>
    </row>
    <row r="421" spans="1:7" ht="12.75" customHeight="1">
      <c r="A421" s="63"/>
      <c r="B421" s="63"/>
      <c r="C421" s="63"/>
      <c r="D421" s="63"/>
      <c r="E421" s="113"/>
      <c r="F421" s="112"/>
      <c r="G421" s="422"/>
    </row>
    <row r="422" spans="1:7" ht="12.75" customHeight="1">
      <c r="A422" s="110"/>
      <c r="B422" s="110"/>
      <c r="C422" s="110"/>
      <c r="D422" s="110"/>
      <c r="E422" s="101"/>
      <c r="F422" s="112"/>
      <c r="G422" s="422"/>
    </row>
    <row r="423" spans="1:7" ht="12.75" customHeight="1">
      <c r="A423" s="110"/>
      <c r="B423" s="110"/>
      <c r="C423" s="110"/>
      <c r="D423" s="110"/>
      <c r="E423" s="101"/>
      <c r="F423" s="112"/>
      <c r="G423" s="422"/>
    </row>
    <row r="424" spans="1:7" ht="12.75" customHeight="1">
      <c r="A424" s="116"/>
      <c r="B424" s="116"/>
      <c r="C424" s="116"/>
      <c r="D424" s="116"/>
      <c r="E424" s="105"/>
      <c r="F424" s="102" t="s">
        <v>189</v>
      </c>
      <c r="G424" s="419">
        <f t="shared" si="6"/>
        <v>1000000</v>
      </c>
    </row>
    <row r="425" spans="1:7" ht="12.75" customHeight="1">
      <c r="A425" s="1" t="s">
        <v>202</v>
      </c>
      <c r="B425" s="1"/>
      <c r="C425" s="1"/>
      <c r="D425" s="1"/>
      <c r="E425" s="1"/>
      <c r="F425" s="1"/>
      <c r="G425" s="420"/>
    </row>
    <row r="426" spans="1:7" ht="12.75" customHeight="1">
      <c r="A426" s="117" t="s">
        <v>203</v>
      </c>
      <c r="B426" s="80" t="s">
        <v>204</v>
      </c>
      <c r="C426" s="117" t="s">
        <v>205</v>
      </c>
      <c r="D426" s="80" t="s">
        <v>206</v>
      </c>
      <c r="E426" s="117" t="s">
        <v>207</v>
      </c>
      <c r="F426" s="80" t="s">
        <v>208</v>
      </c>
      <c r="G426" s="423"/>
    </row>
    <row r="427" spans="1:7" ht="12.75" customHeight="1">
      <c r="A427" s="110" t="s">
        <v>188</v>
      </c>
      <c r="B427" s="100">
        <f>+B32</f>
        <v>140000</v>
      </c>
      <c r="C427" s="111">
        <f t="shared" si="7"/>
        <v>105000</v>
      </c>
      <c r="D427" s="120">
        <f t="shared" si="8"/>
        <v>245000</v>
      </c>
      <c r="E427" s="110">
        <v>0.4</v>
      </c>
      <c r="F427" s="119">
        <f t="shared" si="22"/>
        <v>612500</v>
      </c>
      <c r="G427" s="424"/>
    </row>
    <row r="428" spans="1:7" ht="12.75" customHeight="1">
      <c r="A428" s="63" t="s">
        <v>244</v>
      </c>
      <c r="B428" s="100">
        <f>+B33*3</f>
        <v>273000</v>
      </c>
      <c r="C428" s="111">
        <f t="shared" si="7"/>
        <v>204750</v>
      </c>
      <c r="D428" s="120">
        <f t="shared" si="8"/>
        <v>477750</v>
      </c>
      <c r="E428" s="110">
        <v>0.4</v>
      </c>
      <c r="F428" s="119">
        <f t="shared" si="22"/>
        <v>1194375</v>
      </c>
      <c r="G428" s="424"/>
    </row>
    <row r="429" spans="1:7" ht="12.75" customHeight="1">
      <c r="A429" s="110" t="s">
        <v>321</v>
      </c>
      <c r="B429" s="100">
        <f t="shared" si="21"/>
        <v>120000</v>
      </c>
      <c r="C429" s="111">
        <f t="shared" si="7"/>
        <v>90000</v>
      </c>
      <c r="D429" s="120">
        <f t="shared" si="8"/>
        <v>210000</v>
      </c>
      <c r="E429" s="110">
        <v>0.4</v>
      </c>
      <c r="F429" s="119">
        <f t="shared" si="22"/>
        <v>525000</v>
      </c>
      <c r="G429" s="424"/>
    </row>
    <row r="430" spans="1:7" ht="12.75" customHeight="1">
      <c r="A430" s="63"/>
      <c r="B430" s="1"/>
      <c r="C430" s="63"/>
      <c r="D430" s="1"/>
      <c r="E430" s="63"/>
      <c r="F430" s="101"/>
      <c r="G430" s="424"/>
    </row>
    <row r="431" spans="1:7" ht="12.75" customHeight="1">
      <c r="A431" s="110"/>
      <c r="B431" s="100"/>
      <c r="C431" s="110"/>
      <c r="D431" s="100"/>
      <c r="E431" s="110"/>
      <c r="F431" s="101"/>
      <c r="G431" s="424"/>
    </row>
    <row r="432" spans="1:7" ht="12.75" customHeight="1">
      <c r="A432" s="116"/>
      <c r="B432" s="103"/>
      <c r="C432" s="116"/>
      <c r="D432" s="103"/>
      <c r="E432" s="116"/>
      <c r="F432" s="101"/>
      <c r="G432" s="425"/>
    </row>
    <row r="433" spans="1:10" ht="12.75" customHeight="1">
      <c r="A433" s="1"/>
      <c r="B433" s="1"/>
      <c r="C433" s="1"/>
      <c r="D433" s="1"/>
      <c r="E433" s="1"/>
      <c r="F433" s="1" t="s">
        <v>189</v>
      </c>
      <c r="G433" s="225">
        <f t="shared" si="10"/>
        <v>2331875</v>
      </c>
    </row>
    <row r="434" spans="1:10" ht="12.75" customHeight="1">
      <c r="A434" s="1"/>
      <c r="B434" s="1"/>
      <c r="C434" s="1"/>
      <c r="D434" s="1"/>
      <c r="E434" s="1"/>
      <c r="F434" s="1"/>
      <c r="G434" s="420"/>
    </row>
    <row r="435" spans="1:10" ht="12.75" customHeight="1">
      <c r="A435" s="103" t="s">
        <v>209</v>
      </c>
      <c r="B435" s="1"/>
      <c r="C435" s="1" t="s">
        <v>210</v>
      </c>
      <c r="D435" s="1" t="s">
        <v>211</v>
      </c>
      <c r="E435" s="1"/>
      <c r="F435" s="1"/>
      <c r="G435" s="225">
        <f t="shared" si="11"/>
        <v>12216468.75</v>
      </c>
      <c r="I435" s="49">
        <v>8520000</v>
      </c>
      <c r="J435">
        <v>6817146</v>
      </c>
    </row>
    <row r="436" spans="1:10" ht="12.75" customHeight="1">
      <c r="A436" s="1"/>
      <c r="B436" s="1"/>
      <c r="C436" s="1"/>
      <c r="D436" s="1"/>
      <c r="E436" s="1"/>
      <c r="F436" s="1"/>
      <c r="G436" s="420"/>
    </row>
    <row r="437" spans="1:10" ht="12.75" customHeight="1">
      <c r="A437" s="1"/>
      <c r="B437" s="1"/>
      <c r="C437" s="1"/>
      <c r="D437" s="1"/>
      <c r="E437" s="1" t="s">
        <v>212</v>
      </c>
      <c r="F437" s="1"/>
      <c r="G437" s="225">
        <f t="shared" si="12"/>
        <v>3664940.625</v>
      </c>
    </row>
    <row r="438" spans="1:10" ht="12.75" customHeight="1">
      <c r="A438" s="1"/>
      <c r="B438" s="1"/>
      <c r="C438" s="1"/>
      <c r="D438" s="1"/>
      <c r="E438" s="1"/>
      <c r="F438" s="1"/>
      <c r="G438" s="420"/>
    </row>
    <row r="439" spans="1:10" ht="12.75" customHeight="1">
      <c r="A439" s="103" t="s">
        <v>213</v>
      </c>
      <c r="B439" s="1"/>
      <c r="C439" s="1"/>
      <c r="D439" s="1" t="s">
        <v>214</v>
      </c>
      <c r="E439" s="1"/>
      <c r="F439" s="1"/>
      <c r="G439" s="225">
        <f t="shared" si="13"/>
        <v>15881409.375</v>
      </c>
    </row>
    <row r="440" spans="1:10" ht="15" customHeight="1">
      <c r="A440" s="468" t="s">
        <v>174</v>
      </c>
      <c r="B440" s="457"/>
      <c r="C440" s="457"/>
      <c r="D440" s="457"/>
      <c r="E440" s="457"/>
      <c r="F440" s="457"/>
      <c r="G440" s="457"/>
    </row>
    <row r="441" spans="1:10" ht="12.75" customHeight="1">
      <c r="A441" s="77"/>
      <c r="B441" s="77"/>
      <c r="C441" s="77"/>
      <c r="D441" s="77"/>
      <c r="E441" s="77"/>
      <c r="F441" s="77"/>
    </row>
    <row r="442" spans="1:10" ht="12.75" customHeight="1">
      <c r="A442" s="1" t="s">
        <v>175</v>
      </c>
      <c r="B442" s="1"/>
      <c r="C442" s="1"/>
      <c r="D442" s="94"/>
      <c r="E442" s="94"/>
      <c r="F442" s="94"/>
      <c r="G442" s="414"/>
    </row>
    <row r="443" spans="1:10" ht="12.75" customHeight="1">
      <c r="A443" s="1" t="s">
        <v>368</v>
      </c>
      <c r="B443" s="1"/>
      <c r="C443" s="1"/>
      <c r="D443" s="1"/>
      <c r="F443" s="95" t="s">
        <v>177</v>
      </c>
      <c r="G443" s="415">
        <f t="shared" ca="1" si="0"/>
        <v>46289</v>
      </c>
    </row>
    <row r="444" spans="1:10" ht="12.75" customHeight="1">
      <c r="A444" s="1"/>
      <c r="B444" s="1"/>
      <c r="C444" s="1"/>
      <c r="D444" s="1"/>
      <c r="E444" s="1"/>
      <c r="F444" s="1"/>
      <c r="G444" s="420"/>
    </row>
    <row r="445" spans="1:10" ht="26.25" customHeight="1">
      <c r="A445" s="99" t="s">
        <v>356</v>
      </c>
      <c r="B445" s="525" t="s">
        <v>78</v>
      </c>
      <c r="C445" s="526"/>
      <c r="D445" s="526"/>
      <c r="E445" s="526"/>
      <c r="F445" s="526"/>
      <c r="G445" s="527"/>
    </row>
    <row r="446" spans="1:10" ht="12.75" customHeight="1">
      <c r="A446" s="100" t="s">
        <v>398</v>
      </c>
      <c r="B446" s="103"/>
      <c r="C446" s="104" t="s">
        <v>179</v>
      </c>
      <c r="D446" s="126">
        <v>2</v>
      </c>
      <c r="E446" s="103" t="s">
        <v>180</v>
      </c>
      <c r="F446" s="103" t="s">
        <v>262</v>
      </c>
      <c r="G446" s="419"/>
    </row>
    <row r="447" spans="1:10" ht="12.75" customHeight="1">
      <c r="A447" s="1" t="s">
        <v>182</v>
      </c>
      <c r="B447" s="1"/>
      <c r="C447" s="1"/>
      <c r="D447" s="1"/>
      <c r="E447" s="1"/>
      <c r="F447" s="1"/>
      <c r="G447" s="420"/>
    </row>
    <row r="448" spans="1:10" ht="12.75" customHeight="1">
      <c r="A448" s="106" t="s">
        <v>111</v>
      </c>
      <c r="B448" s="107" t="s">
        <v>183</v>
      </c>
      <c r="C448" s="106" t="s">
        <v>184</v>
      </c>
      <c r="D448" s="107" t="s">
        <v>185</v>
      </c>
      <c r="E448" s="106" t="s">
        <v>186</v>
      </c>
      <c r="F448" s="108"/>
      <c r="G448" s="421"/>
    </row>
    <row r="449" spans="1:7" ht="12.75" customHeight="1">
      <c r="A449" s="110" t="s">
        <v>187</v>
      </c>
      <c r="B449" s="100"/>
      <c r="C449" s="110"/>
      <c r="D449" s="100"/>
      <c r="E449" s="111">
        <f t="shared" si="1"/>
        <v>122850</v>
      </c>
      <c r="F449" s="112"/>
      <c r="G449" s="422"/>
    </row>
    <row r="450" spans="1:7" ht="12.75" customHeight="1">
      <c r="A450" s="110"/>
      <c r="B450" s="110"/>
      <c r="C450" s="110"/>
      <c r="D450" s="110"/>
      <c r="E450" s="101"/>
      <c r="F450" s="112"/>
      <c r="G450" s="422"/>
    </row>
    <row r="451" spans="1:7" ht="12.75" customHeight="1">
      <c r="A451" s="110"/>
      <c r="B451" s="110"/>
      <c r="C451" s="110"/>
      <c r="D451" s="110"/>
      <c r="E451" s="101"/>
      <c r="F451" s="112"/>
      <c r="G451" s="422"/>
    </row>
    <row r="452" spans="1:7" ht="12.75" customHeight="1">
      <c r="A452" s="110"/>
      <c r="B452" s="110"/>
      <c r="C452" s="110"/>
      <c r="D452" s="110"/>
      <c r="E452" s="101"/>
      <c r="F452" s="102" t="s">
        <v>189</v>
      </c>
      <c r="G452" s="419">
        <f t="shared" si="2"/>
        <v>122850</v>
      </c>
    </row>
    <row r="453" spans="1:7" ht="12.75" customHeight="1">
      <c r="A453" s="1" t="s">
        <v>191</v>
      </c>
      <c r="B453" s="1"/>
      <c r="C453" s="1"/>
      <c r="D453" s="1"/>
      <c r="E453" s="1"/>
      <c r="F453" s="1"/>
      <c r="G453" s="420"/>
    </row>
    <row r="454" spans="1:7" ht="12.75" customHeight="1">
      <c r="A454" s="115" t="s">
        <v>111</v>
      </c>
      <c r="B454" s="106" t="s">
        <v>193</v>
      </c>
      <c r="C454" s="80" t="s">
        <v>194</v>
      </c>
      <c r="D454" s="106" t="s">
        <v>195</v>
      </c>
      <c r="E454" s="81" t="s">
        <v>186</v>
      </c>
      <c r="F454" s="108"/>
      <c r="G454" s="421"/>
    </row>
    <row r="455" spans="1:7" ht="12.75" customHeight="1">
      <c r="A455" s="110" t="s">
        <v>385</v>
      </c>
      <c r="B455" s="106"/>
      <c r="C455" s="111"/>
      <c r="D455" s="110"/>
      <c r="E455" s="119"/>
      <c r="F455" s="112"/>
      <c r="G455" s="422"/>
    </row>
    <row r="456" spans="1:7" ht="12.75" customHeight="1">
      <c r="A456" s="110" t="s">
        <v>404</v>
      </c>
      <c r="B456" s="123"/>
      <c r="C456" s="63"/>
      <c r="D456" s="63"/>
      <c r="E456" s="119"/>
      <c r="F456" s="112"/>
      <c r="G456" s="422"/>
    </row>
    <row r="457" spans="1:7" ht="12.75" customHeight="1">
      <c r="A457" s="110" t="s">
        <v>387</v>
      </c>
      <c r="B457" s="106"/>
      <c r="C457" s="110"/>
      <c r="D457" s="110"/>
      <c r="E457" s="119"/>
      <c r="F457" s="112"/>
      <c r="G457" s="422"/>
    </row>
    <row r="458" spans="1:7" ht="12.75" customHeight="1">
      <c r="A458" s="63" t="s">
        <v>388</v>
      </c>
      <c r="B458" s="63"/>
      <c r="C458" s="63"/>
      <c r="D458" s="63"/>
      <c r="E458" s="101"/>
      <c r="F458" s="112"/>
      <c r="G458" s="422"/>
    </row>
    <row r="459" spans="1:7" ht="12.75" customHeight="1">
      <c r="A459" s="110" t="s">
        <v>389</v>
      </c>
      <c r="B459" s="110"/>
      <c r="C459" s="110"/>
      <c r="D459" s="110"/>
      <c r="E459" s="101"/>
      <c r="F459" s="112"/>
      <c r="G459" s="422"/>
    </row>
    <row r="460" spans="1:7" ht="12.75" customHeight="1">
      <c r="A460" s="110" t="s">
        <v>390</v>
      </c>
      <c r="B460" s="110" t="s">
        <v>273</v>
      </c>
      <c r="C460" s="110"/>
      <c r="D460" s="110"/>
      <c r="E460" s="101">
        <f>1.3*4000000</f>
        <v>5200000</v>
      </c>
      <c r="F460" s="112"/>
      <c r="G460" s="422"/>
    </row>
    <row r="461" spans="1:7" ht="12.75" customHeight="1">
      <c r="A461" s="116"/>
      <c r="B461" s="116"/>
      <c r="C461" s="116"/>
      <c r="D461" s="116"/>
      <c r="E461" s="101"/>
      <c r="F461" s="102" t="s">
        <v>189</v>
      </c>
      <c r="G461" s="419">
        <f t="shared" si="5"/>
        <v>5200000</v>
      </c>
    </row>
    <row r="462" spans="1:7" ht="12.75" customHeight="1">
      <c r="A462" s="1" t="s">
        <v>197</v>
      </c>
      <c r="B462" s="1"/>
      <c r="C462" s="1"/>
      <c r="D462" s="1"/>
      <c r="E462" s="1"/>
      <c r="F462" s="1"/>
      <c r="G462" s="420"/>
    </row>
    <row r="463" spans="1:7" ht="12.75" customHeight="1">
      <c r="A463" s="117" t="s">
        <v>198</v>
      </c>
      <c r="B463" s="117" t="s">
        <v>199</v>
      </c>
      <c r="C463" s="117" t="s">
        <v>200</v>
      </c>
      <c r="D463" s="117" t="s">
        <v>201</v>
      </c>
      <c r="E463" s="81" t="s">
        <v>186</v>
      </c>
      <c r="F463" s="108"/>
      <c r="G463" s="421"/>
    </row>
    <row r="464" spans="1:7" ht="12.75" customHeight="1">
      <c r="A464" s="110" t="s">
        <v>391</v>
      </c>
      <c r="B464" s="110"/>
      <c r="C464" s="110"/>
      <c r="D464" s="110"/>
      <c r="E464" s="101">
        <v>500000</v>
      </c>
      <c r="F464" s="112"/>
      <c r="G464" s="422"/>
    </row>
    <row r="465" spans="1:7" ht="12.75" customHeight="1">
      <c r="A465" s="63"/>
      <c r="B465" s="63"/>
      <c r="C465" s="63"/>
      <c r="D465" s="63"/>
      <c r="E465" s="113"/>
      <c r="F465" s="112"/>
      <c r="G465" s="422"/>
    </row>
    <row r="466" spans="1:7" ht="12.75" customHeight="1">
      <c r="A466" s="110"/>
      <c r="B466" s="110"/>
      <c r="C466" s="110"/>
      <c r="D466" s="110"/>
      <c r="E466" s="101"/>
      <c r="F466" s="112"/>
      <c r="G466" s="422"/>
    </row>
    <row r="467" spans="1:7" ht="12.75" customHeight="1">
      <c r="A467" s="110"/>
      <c r="B467" s="110"/>
      <c r="C467" s="110"/>
      <c r="D467" s="110"/>
      <c r="E467" s="101"/>
      <c r="F467" s="112"/>
      <c r="G467" s="422"/>
    </row>
    <row r="468" spans="1:7" ht="12.75" customHeight="1">
      <c r="A468" s="116"/>
      <c r="B468" s="116"/>
      <c r="C468" s="116"/>
      <c r="D468" s="116"/>
      <c r="E468" s="105"/>
      <c r="F468" s="102" t="s">
        <v>189</v>
      </c>
      <c r="G468" s="419">
        <f t="shared" si="6"/>
        <v>500000</v>
      </c>
    </row>
    <row r="469" spans="1:7" ht="12.75" customHeight="1">
      <c r="A469" s="1" t="s">
        <v>202</v>
      </c>
      <c r="B469" s="1"/>
      <c r="C469" s="1"/>
      <c r="D469" s="1"/>
      <c r="E469" s="1"/>
      <c r="F469" s="1"/>
      <c r="G469" s="420"/>
    </row>
    <row r="470" spans="1:7" ht="12.75" customHeight="1">
      <c r="A470" s="117" t="s">
        <v>203</v>
      </c>
      <c r="B470" s="80" t="s">
        <v>204</v>
      </c>
      <c r="C470" s="117" t="s">
        <v>205</v>
      </c>
      <c r="D470" s="80" t="s">
        <v>206</v>
      </c>
      <c r="E470" s="117" t="s">
        <v>207</v>
      </c>
      <c r="F470" s="80" t="s">
        <v>208</v>
      </c>
      <c r="G470" s="423"/>
    </row>
    <row r="471" spans="1:7" ht="12.75" customHeight="1">
      <c r="A471" s="110" t="s">
        <v>392</v>
      </c>
      <c r="B471" s="100">
        <f t="shared" ref="B471:B472" si="23">+B32</f>
        <v>140000</v>
      </c>
      <c r="C471" s="111">
        <f t="shared" si="7"/>
        <v>105000</v>
      </c>
      <c r="D471" s="120">
        <f t="shared" si="8"/>
        <v>245000</v>
      </c>
      <c r="E471" s="110">
        <v>0.25</v>
      </c>
      <c r="F471" s="119">
        <f t="shared" si="22"/>
        <v>980000</v>
      </c>
      <c r="G471" s="424"/>
    </row>
    <row r="472" spans="1:7" ht="12.75" customHeight="1">
      <c r="A472" s="63" t="s">
        <v>244</v>
      </c>
      <c r="B472" s="100">
        <f t="shared" si="23"/>
        <v>91000</v>
      </c>
      <c r="C472" s="111">
        <f t="shared" si="7"/>
        <v>68250</v>
      </c>
      <c r="D472" s="120">
        <f t="shared" si="8"/>
        <v>159250</v>
      </c>
      <c r="E472" s="110">
        <v>0.25</v>
      </c>
      <c r="F472" s="119">
        <f t="shared" si="22"/>
        <v>637000</v>
      </c>
      <c r="G472" s="424"/>
    </row>
    <row r="473" spans="1:7" ht="12.75" customHeight="1">
      <c r="A473" s="110" t="s">
        <v>321</v>
      </c>
      <c r="B473" s="100">
        <f t="shared" si="21"/>
        <v>120000</v>
      </c>
      <c r="C473" s="111">
        <f t="shared" si="7"/>
        <v>90000</v>
      </c>
      <c r="D473" s="120">
        <f t="shared" si="8"/>
        <v>210000</v>
      </c>
      <c r="E473" s="110">
        <v>0.25</v>
      </c>
      <c r="F473" s="119">
        <f t="shared" si="22"/>
        <v>840000</v>
      </c>
      <c r="G473" s="424"/>
    </row>
    <row r="474" spans="1:7" ht="12.75" customHeight="1">
      <c r="A474" s="63"/>
      <c r="B474" s="1"/>
      <c r="C474" s="63"/>
      <c r="D474" s="1"/>
      <c r="E474" s="63"/>
      <c r="F474" s="101"/>
      <c r="G474" s="424"/>
    </row>
    <row r="475" spans="1:7" ht="12.75" customHeight="1">
      <c r="A475" s="110"/>
      <c r="B475" s="100"/>
      <c r="C475" s="110"/>
      <c r="D475" s="100"/>
      <c r="E475" s="110"/>
      <c r="F475" s="101"/>
      <c r="G475" s="424"/>
    </row>
    <row r="476" spans="1:7" ht="12.75" customHeight="1">
      <c r="A476" s="116"/>
      <c r="B476" s="103"/>
      <c r="C476" s="116"/>
      <c r="D476" s="103"/>
      <c r="E476" s="116"/>
      <c r="F476" s="101"/>
      <c r="G476" s="425"/>
    </row>
    <row r="477" spans="1:7" ht="12.75" customHeight="1">
      <c r="A477" s="1"/>
      <c r="B477" s="1"/>
      <c r="C477" s="1"/>
      <c r="D477" s="1"/>
      <c r="E477" s="1"/>
      <c r="F477" s="1" t="s">
        <v>189</v>
      </c>
      <c r="G477" s="225">
        <f t="shared" si="10"/>
        <v>2457000</v>
      </c>
    </row>
    <row r="478" spans="1:7" ht="12.75" customHeight="1">
      <c r="A478" s="1"/>
      <c r="B478" s="1"/>
      <c r="C478" s="1"/>
      <c r="D478" s="1"/>
      <c r="E478" s="1"/>
      <c r="F478" s="1"/>
      <c r="G478" s="420"/>
    </row>
    <row r="479" spans="1:7" ht="12.75" customHeight="1">
      <c r="A479" s="103" t="s">
        <v>209</v>
      </c>
      <c r="B479" s="1"/>
      <c r="C479" s="1" t="s">
        <v>210</v>
      </c>
      <c r="D479" s="1" t="s">
        <v>211</v>
      </c>
      <c r="E479" s="1"/>
      <c r="F479" s="1"/>
      <c r="G479" s="225">
        <f t="shared" si="11"/>
        <v>8279850</v>
      </c>
    </row>
    <row r="480" spans="1:7" ht="12.75" customHeight="1">
      <c r="A480" s="1"/>
      <c r="B480" s="1"/>
      <c r="C480" s="1"/>
      <c r="D480" s="1"/>
      <c r="E480" s="1"/>
      <c r="F480" s="1"/>
      <c r="G480" s="420"/>
    </row>
    <row r="481" spans="1:7" ht="12.75" customHeight="1">
      <c r="A481" s="1"/>
      <c r="B481" s="1"/>
      <c r="C481" s="1"/>
      <c r="D481" s="1"/>
      <c r="E481" s="1" t="s">
        <v>212</v>
      </c>
      <c r="F481" s="1"/>
      <c r="G481" s="225">
        <f t="shared" si="12"/>
        <v>2483955</v>
      </c>
    </row>
    <row r="482" spans="1:7" ht="12.75" customHeight="1">
      <c r="A482" s="1"/>
      <c r="B482" s="1"/>
      <c r="C482" s="1"/>
      <c r="D482" s="1"/>
      <c r="E482" s="1"/>
      <c r="F482" s="1"/>
      <c r="G482" s="420"/>
    </row>
    <row r="483" spans="1:7" ht="12.75" customHeight="1">
      <c r="A483" s="103" t="s">
        <v>213</v>
      </c>
      <c r="B483" s="1"/>
      <c r="C483" s="1"/>
      <c r="D483" s="1" t="s">
        <v>214</v>
      </c>
      <c r="E483" s="1"/>
      <c r="F483" s="1"/>
      <c r="G483" s="225">
        <f t="shared" si="13"/>
        <v>10763805</v>
      </c>
    </row>
    <row r="484" spans="1:7" ht="15" customHeight="1">
      <c r="A484" s="468" t="s">
        <v>174</v>
      </c>
      <c r="B484" s="457"/>
      <c r="C484" s="457"/>
      <c r="D484" s="457"/>
      <c r="E484" s="457"/>
      <c r="F484" s="457"/>
      <c r="G484" s="457"/>
    </row>
    <row r="485" spans="1:7" ht="12.75" customHeight="1"/>
    <row r="486" spans="1:7" ht="12.75" customHeight="1">
      <c r="A486" s="1" t="s">
        <v>175</v>
      </c>
      <c r="B486" s="1"/>
      <c r="C486" s="1"/>
      <c r="D486" s="94"/>
      <c r="E486" s="94"/>
      <c r="F486" s="94"/>
      <c r="G486" s="414"/>
    </row>
    <row r="487" spans="1:7" ht="12.75" customHeight="1">
      <c r="A487" s="1" t="s">
        <v>368</v>
      </c>
      <c r="B487" s="1"/>
      <c r="C487" s="1"/>
      <c r="D487" s="1"/>
      <c r="F487" s="95" t="s">
        <v>177</v>
      </c>
      <c r="G487" s="415">
        <f t="shared" ca="1" si="0"/>
        <v>46289</v>
      </c>
    </row>
    <row r="488" spans="1:7" ht="12.75" customHeight="1">
      <c r="A488" s="1"/>
      <c r="B488" s="1"/>
      <c r="C488" s="1"/>
      <c r="D488" s="1"/>
      <c r="E488" s="1"/>
      <c r="F488" s="1"/>
      <c r="G488" s="420"/>
    </row>
    <row r="489" spans="1:7" ht="12.75" customHeight="1">
      <c r="A489" s="99" t="s">
        <v>405</v>
      </c>
      <c r="B489" s="100" t="s">
        <v>406</v>
      </c>
      <c r="C489" s="100"/>
      <c r="D489" s="100"/>
      <c r="E489" s="100"/>
      <c r="F489" s="100"/>
      <c r="G489" s="138"/>
    </row>
    <row r="490" spans="1:7" ht="12.75" customHeight="1">
      <c r="A490" s="102"/>
      <c r="B490" s="103"/>
      <c r="C490" s="103" t="s">
        <v>179</v>
      </c>
      <c r="D490" s="126">
        <v>9</v>
      </c>
      <c r="E490" s="103" t="s">
        <v>180</v>
      </c>
      <c r="F490" s="103" t="s">
        <v>337</v>
      </c>
      <c r="G490" s="419"/>
    </row>
    <row r="491" spans="1:7" ht="12.75" customHeight="1">
      <c r="A491" s="1" t="s">
        <v>182</v>
      </c>
      <c r="B491" s="1"/>
      <c r="C491" s="1"/>
      <c r="D491" s="1"/>
      <c r="E491" s="1"/>
      <c r="F491" s="1"/>
      <c r="G491" s="420"/>
    </row>
    <row r="492" spans="1:7" ht="12.75" customHeight="1">
      <c r="A492" s="106" t="s">
        <v>111</v>
      </c>
      <c r="B492" s="107" t="s">
        <v>183</v>
      </c>
      <c r="C492" s="106" t="s">
        <v>184</v>
      </c>
      <c r="D492" s="107" t="s">
        <v>185</v>
      </c>
      <c r="E492" s="106" t="s">
        <v>186</v>
      </c>
      <c r="F492" s="108"/>
      <c r="G492" s="421"/>
    </row>
    <row r="493" spans="1:7" ht="12.75" customHeight="1">
      <c r="A493" s="110" t="s">
        <v>187</v>
      </c>
      <c r="B493" s="100"/>
      <c r="C493" s="110"/>
      <c r="D493" s="100"/>
      <c r="E493" s="111">
        <f t="shared" si="1"/>
        <v>673.75</v>
      </c>
      <c r="F493" s="112"/>
      <c r="G493" s="422"/>
    </row>
    <row r="494" spans="1:7" ht="12.75" customHeight="1">
      <c r="A494" s="110"/>
      <c r="B494" s="110"/>
      <c r="C494" s="110"/>
      <c r="D494" s="110"/>
      <c r="E494" s="101"/>
      <c r="F494" s="112"/>
      <c r="G494" s="422"/>
    </row>
    <row r="495" spans="1:7" ht="12.75" customHeight="1">
      <c r="A495" s="110"/>
      <c r="B495" s="110"/>
      <c r="C495" s="110"/>
      <c r="D495" s="110"/>
      <c r="E495" s="101"/>
      <c r="F495" s="112"/>
      <c r="G495" s="422"/>
    </row>
    <row r="496" spans="1:7" ht="12.75" customHeight="1">
      <c r="A496" s="110"/>
      <c r="B496" s="110"/>
      <c r="C496" s="110"/>
      <c r="D496" s="110"/>
      <c r="E496" s="101"/>
      <c r="F496" s="102" t="s">
        <v>189</v>
      </c>
      <c r="G496" s="419">
        <f t="shared" si="2"/>
        <v>673.75</v>
      </c>
    </row>
    <row r="497" spans="1:7" ht="12.75" customHeight="1">
      <c r="A497" s="1" t="s">
        <v>191</v>
      </c>
      <c r="B497" s="1"/>
      <c r="C497" s="1"/>
      <c r="D497" s="1"/>
      <c r="E497" s="1"/>
      <c r="F497" s="1"/>
      <c r="G497" s="420"/>
    </row>
    <row r="498" spans="1:7" ht="12.75" customHeight="1">
      <c r="A498" s="115" t="s">
        <v>111</v>
      </c>
      <c r="B498" s="106" t="s">
        <v>193</v>
      </c>
      <c r="C498" s="80" t="s">
        <v>194</v>
      </c>
      <c r="D498" s="106" t="s">
        <v>195</v>
      </c>
      <c r="E498" s="81" t="s">
        <v>186</v>
      </c>
      <c r="F498" s="108"/>
      <c r="G498" s="421"/>
    </row>
    <row r="499" spans="1:7" ht="13.5" customHeight="1">
      <c r="A499" s="110" t="s">
        <v>338</v>
      </c>
      <c r="B499" s="106" t="s">
        <v>35</v>
      </c>
      <c r="C499" s="111">
        <f>1.19*17428</f>
        <v>20739.32</v>
      </c>
      <c r="D499" s="110">
        <v>1.05</v>
      </c>
      <c r="E499" s="119">
        <f t="shared" si="14"/>
        <v>21776.286</v>
      </c>
      <c r="F499" s="112"/>
      <c r="G499" s="422"/>
    </row>
    <row r="500" spans="1:7" ht="15" customHeight="1">
      <c r="A500" s="63" t="s">
        <v>296</v>
      </c>
      <c r="B500" s="123" t="s">
        <v>220</v>
      </c>
      <c r="C500" s="63">
        <v>750</v>
      </c>
      <c r="D500" s="63">
        <v>1</v>
      </c>
      <c r="E500" s="101">
        <f t="shared" si="14"/>
        <v>750</v>
      </c>
      <c r="F500" s="112"/>
      <c r="G500" s="422"/>
    </row>
    <row r="501" spans="1:7" ht="12.75" customHeight="1">
      <c r="A501" s="110"/>
      <c r="B501" s="106"/>
      <c r="C501" s="110"/>
      <c r="D501" s="110"/>
      <c r="E501" s="101"/>
      <c r="F501" s="112"/>
      <c r="G501" s="422"/>
    </row>
    <row r="502" spans="1:7" ht="12.75" customHeight="1">
      <c r="A502" s="63"/>
      <c r="B502" s="63"/>
      <c r="C502" s="63"/>
      <c r="D502" s="63"/>
      <c r="E502" s="101"/>
      <c r="F502" s="112"/>
      <c r="G502" s="422"/>
    </row>
    <row r="503" spans="1:7" ht="12.75" customHeight="1">
      <c r="A503" s="110"/>
      <c r="B503" s="110"/>
      <c r="C503" s="110"/>
      <c r="D503" s="110"/>
      <c r="E503" s="101"/>
      <c r="F503" s="112"/>
      <c r="G503" s="422"/>
    </row>
    <row r="504" spans="1:7" ht="12.75" customHeight="1">
      <c r="A504" s="110"/>
      <c r="B504" s="110"/>
      <c r="C504" s="110"/>
      <c r="D504" s="110"/>
      <c r="E504" s="101"/>
      <c r="F504" s="112"/>
      <c r="G504" s="422"/>
    </row>
    <row r="505" spans="1:7" ht="12.75" customHeight="1">
      <c r="A505" s="116"/>
      <c r="B505" s="116"/>
      <c r="C505" s="116"/>
      <c r="D505" s="116"/>
      <c r="E505" s="101"/>
      <c r="F505" s="102" t="s">
        <v>189</v>
      </c>
      <c r="G505" s="419">
        <f t="shared" si="5"/>
        <v>22526.286</v>
      </c>
    </row>
    <row r="506" spans="1:7" ht="12.75" customHeight="1">
      <c r="A506" s="1" t="s">
        <v>197</v>
      </c>
      <c r="B506" s="1"/>
      <c r="C506" s="1"/>
      <c r="D506" s="1"/>
      <c r="E506" s="1"/>
      <c r="F506" s="1"/>
      <c r="G506" s="420"/>
    </row>
    <row r="507" spans="1:7" ht="12.75" customHeight="1">
      <c r="A507" s="117" t="s">
        <v>198</v>
      </c>
      <c r="B507" s="117" t="s">
        <v>199</v>
      </c>
      <c r="C507" s="117" t="s">
        <v>200</v>
      </c>
      <c r="D507" s="117" t="s">
        <v>201</v>
      </c>
      <c r="E507" s="81" t="s">
        <v>186</v>
      </c>
      <c r="F507" s="108"/>
      <c r="G507" s="421"/>
    </row>
    <row r="508" spans="1:7" ht="12.75" customHeight="1">
      <c r="A508" s="110" t="s">
        <v>243</v>
      </c>
      <c r="B508" s="110"/>
      <c r="C508" s="110"/>
      <c r="D508" s="110"/>
      <c r="E508" s="101">
        <v>10000</v>
      </c>
      <c r="F508" s="112"/>
      <c r="G508" s="422"/>
    </row>
    <row r="509" spans="1:7" ht="12.75" customHeight="1">
      <c r="A509" s="63"/>
      <c r="B509" s="63"/>
      <c r="C509" s="63"/>
      <c r="D509" s="63"/>
      <c r="E509" s="113"/>
      <c r="F509" s="112"/>
      <c r="G509" s="422"/>
    </row>
    <row r="510" spans="1:7" ht="12.75" customHeight="1">
      <c r="A510" s="110"/>
      <c r="B510" s="110"/>
      <c r="C510" s="110"/>
      <c r="D510" s="110"/>
      <c r="E510" s="101"/>
      <c r="F510" s="112"/>
      <c r="G510" s="422"/>
    </row>
    <row r="511" spans="1:7" ht="12.75" customHeight="1">
      <c r="A511" s="110"/>
      <c r="B511" s="110"/>
      <c r="C511" s="110"/>
      <c r="D511" s="110"/>
      <c r="E511" s="101"/>
      <c r="F511" s="112"/>
      <c r="G511" s="422"/>
    </row>
    <row r="512" spans="1:7" ht="12.75" customHeight="1">
      <c r="A512" s="116"/>
      <c r="B512" s="116"/>
      <c r="C512" s="116"/>
      <c r="D512" s="116"/>
      <c r="E512" s="105"/>
      <c r="F512" s="102" t="s">
        <v>189</v>
      </c>
      <c r="G512" s="419">
        <f t="shared" si="6"/>
        <v>10000</v>
      </c>
    </row>
    <row r="513" spans="1:7" ht="12.75" customHeight="1">
      <c r="A513" s="1" t="s">
        <v>202</v>
      </c>
      <c r="B513" s="1"/>
      <c r="C513" s="1"/>
      <c r="D513" s="1"/>
      <c r="E513" s="1"/>
      <c r="F513" s="1"/>
      <c r="G513" s="420"/>
    </row>
    <row r="514" spans="1:7" ht="12.75" customHeight="1">
      <c r="A514" s="117" t="s">
        <v>203</v>
      </c>
      <c r="B514" s="80" t="s">
        <v>204</v>
      </c>
      <c r="C514" s="117" t="s">
        <v>205</v>
      </c>
      <c r="D514" s="80" t="s">
        <v>206</v>
      </c>
      <c r="E514" s="117" t="s">
        <v>207</v>
      </c>
      <c r="F514" s="80" t="s">
        <v>208</v>
      </c>
      <c r="G514" s="423"/>
    </row>
    <row r="515" spans="1:7" ht="12.75" customHeight="1">
      <c r="A515" s="110" t="s">
        <v>188</v>
      </c>
      <c r="B515" s="100">
        <f t="shared" ref="B515:B516" si="24">+B32</f>
        <v>140000</v>
      </c>
      <c r="C515" s="110">
        <f t="shared" si="7"/>
        <v>105000</v>
      </c>
      <c r="D515" s="100">
        <f t="shared" si="8"/>
        <v>245000</v>
      </c>
      <c r="E515" s="110">
        <v>30</v>
      </c>
      <c r="F515" s="119">
        <f t="shared" si="22"/>
        <v>8166.666666666667</v>
      </c>
      <c r="G515" s="424"/>
    </row>
    <row r="516" spans="1:7" ht="12.75" customHeight="1">
      <c r="A516" s="63" t="s">
        <v>307</v>
      </c>
      <c r="B516" s="100">
        <f t="shared" si="24"/>
        <v>91000</v>
      </c>
      <c r="C516" s="111">
        <f t="shared" si="7"/>
        <v>68250</v>
      </c>
      <c r="D516" s="120">
        <f t="shared" si="8"/>
        <v>159250</v>
      </c>
      <c r="E516" s="110">
        <v>30</v>
      </c>
      <c r="F516" s="119">
        <f t="shared" si="22"/>
        <v>5308.333333333333</v>
      </c>
      <c r="G516" s="424"/>
    </row>
    <row r="517" spans="1:7" ht="12.75" customHeight="1">
      <c r="A517" s="110"/>
      <c r="B517" s="100"/>
      <c r="C517" s="110"/>
      <c r="D517" s="100"/>
      <c r="E517" s="110"/>
      <c r="F517" s="101"/>
      <c r="G517" s="424"/>
    </row>
    <row r="518" spans="1:7" ht="12.75" customHeight="1">
      <c r="A518" s="63"/>
      <c r="B518" s="1"/>
      <c r="C518" s="63"/>
      <c r="D518" s="1"/>
      <c r="E518" s="63"/>
      <c r="F518" s="101"/>
      <c r="G518" s="424"/>
    </row>
    <row r="519" spans="1:7" ht="12.75" customHeight="1">
      <c r="A519" s="110"/>
      <c r="B519" s="100"/>
      <c r="C519" s="110"/>
      <c r="D519" s="100"/>
      <c r="E519" s="110"/>
      <c r="F519" s="101"/>
      <c r="G519" s="424"/>
    </row>
    <row r="520" spans="1:7" ht="12.75" customHeight="1">
      <c r="A520" s="116"/>
      <c r="B520" s="103"/>
      <c r="C520" s="116"/>
      <c r="D520" s="103"/>
      <c r="E520" s="116"/>
      <c r="F520" s="101"/>
      <c r="G520" s="425"/>
    </row>
    <row r="521" spans="1:7" ht="12.75" customHeight="1">
      <c r="A521" s="1"/>
      <c r="B521" s="1"/>
      <c r="C521" s="1"/>
      <c r="D521" s="1"/>
      <c r="E521" s="1"/>
      <c r="F521" s="1" t="s">
        <v>189</v>
      </c>
      <c r="G521" s="225">
        <f t="shared" si="10"/>
        <v>13475</v>
      </c>
    </row>
    <row r="522" spans="1:7" ht="12.75" customHeight="1">
      <c r="A522" s="1"/>
      <c r="B522" s="1"/>
      <c r="C522" s="1"/>
      <c r="D522" s="1"/>
      <c r="E522" s="1"/>
      <c r="F522" s="1"/>
      <c r="G522" s="420"/>
    </row>
    <row r="523" spans="1:7" ht="12.75" customHeight="1">
      <c r="A523" s="103" t="s">
        <v>209</v>
      </c>
      <c r="B523" s="1"/>
      <c r="C523" s="1" t="s">
        <v>210</v>
      </c>
      <c r="D523" s="1" t="s">
        <v>211</v>
      </c>
      <c r="E523" s="1"/>
      <c r="F523" s="1"/>
      <c r="G523" s="225">
        <f t="shared" si="11"/>
        <v>46675.036</v>
      </c>
    </row>
    <row r="524" spans="1:7" ht="12.75" customHeight="1">
      <c r="A524" s="1"/>
      <c r="B524" s="1"/>
      <c r="C524" s="1"/>
      <c r="D524" s="1"/>
      <c r="E524" s="1"/>
      <c r="F524" s="1"/>
      <c r="G524" s="420"/>
    </row>
    <row r="525" spans="1:7" ht="12.75" customHeight="1">
      <c r="A525" s="1"/>
      <c r="B525" s="1"/>
      <c r="C525" s="1"/>
      <c r="D525" s="1"/>
      <c r="E525" s="1" t="s">
        <v>212</v>
      </c>
      <c r="F525" s="1"/>
      <c r="G525" s="225">
        <f t="shared" si="12"/>
        <v>14002.5108</v>
      </c>
    </row>
    <row r="526" spans="1:7" ht="12.75" customHeight="1">
      <c r="A526" s="1"/>
      <c r="B526" s="1"/>
      <c r="C526" s="1"/>
      <c r="D526" s="1"/>
      <c r="E526" s="1"/>
      <c r="F526" s="1"/>
      <c r="G526" s="420"/>
    </row>
    <row r="527" spans="1:7" ht="12.75" customHeight="1">
      <c r="A527" s="103" t="s">
        <v>213</v>
      </c>
      <c r="B527" s="1"/>
      <c r="C527" s="1"/>
      <c r="D527" s="1" t="s">
        <v>214</v>
      </c>
      <c r="E527" s="1"/>
      <c r="F527" s="1"/>
      <c r="G527" s="225">
        <f t="shared" si="13"/>
        <v>60677.546799999996</v>
      </c>
    </row>
    <row r="528" spans="1:7" ht="15" customHeight="1">
      <c r="A528" s="468" t="s">
        <v>174</v>
      </c>
      <c r="B528" s="457"/>
      <c r="C528" s="457"/>
      <c r="D528" s="457"/>
      <c r="E528" s="457"/>
      <c r="F528" s="457"/>
      <c r="G528" s="457"/>
    </row>
    <row r="529" spans="1:7" ht="12.75" customHeight="1" thickBot="1"/>
    <row r="530" spans="1:7" ht="12.75" customHeight="1">
      <c r="A530" s="404" t="s">
        <v>175</v>
      </c>
      <c r="B530" s="405"/>
      <c r="C530" s="405"/>
      <c r="D530" s="428"/>
      <c r="E530" s="428"/>
      <c r="F530" s="428"/>
      <c r="G530" s="429"/>
    </row>
    <row r="531" spans="1:7" ht="12.75" customHeight="1">
      <c r="A531" s="406" t="s">
        <v>368</v>
      </c>
      <c r="B531" s="401"/>
      <c r="C531" s="401"/>
      <c r="D531" s="401"/>
      <c r="E531" s="195"/>
      <c r="F531" s="402" t="s">
        <v>177</v>
      </c>
      <c r="G531" s="430">
        <f t="shared" ca="1" si="0"/>
        <v>46289</v>
      </c>
    </row>
    <row r="532" spans="1:7" ht="12.75" customHeight="1">
      <c r="A532" s="406"/>
      <c r="B532" s="401"/>
      <c r="C532" s="401"/>
      <c r="D532" s="401"/>
      <c r="E532" s="401"/>
      <c r="F532" s="401"/>
      <c r="G532" s="417"/>
    </row>
    <row r="533" spans="1:7" ht="12.75" customHeight="1">
      <c r="A533" s="406" t="s">
        <v>407</v>
      </c>
      <c r="B533" s="401" t="s">
        <v>340</v>
      </c>
      <c r="C533" s="401"/>
      <c r="D533" s="401"/>
      <c r="E533" s="401"/>
      <c r="F533" s="401"/>
      <c r="G533" s="417"/>
    </row>
    <row r="534" spans="1:7" ht="12.75" customHeight="1">
      <c r="A534" s="406"/>
      <c r="B534" s="401"/>
      <c r="C534" s="401" t="s">
        <v>179</v>
      </c>
      <c r="D534" s="432">
        <v>54</v>
      </c>
      <c r="E534" s="401" t="s">
        <v>180</v>
      </c>
      <c r="F534" s="401" t="s">
        <v>337</v>
      </c>
      <c r="G534" s="417"/>
    </row>
    <row r="535" spans="1:7" ht="12.75" customHeight="1">
      <c r="A535" s="406" t="s">
        <v>182</v>
      </c>
      <c r="B535" s="401"/>
      <c r="C535" s="401"/>
      <c r="D535" s="401"/>
      <c r="E535" s="401"/>
      <c r="F535" s="401"/>
      <c r="G535" s="417"/>
    </row>
    <row r="536" spans="1:7" ht="12.75" customHeight="1">
      <c r="A536" s="408" t="s">
        <v>111</v>
      </c>
      <c r="B536" s="169" t="s">
        <v>183</v>
      </c>
      <c r="C536" s="169" t="s">
        <v>184</v>
      </c>
      <c r="D536" s="169" t="s">
        <v>185</v>
      </c>
      <c r="E536" s="169" t="s">
        <v>186</v>
      </c>
      <c r="F536" s="401"/>
      <c r="G536" s="417"/>
    </row>
    <row r="537" spans="1:7" ht="12.75" customHeight="1">
      <c r="A537" s="406" t="s">
        <v>187</v>
      </c>
      <c r="B537" s="401"/>
      <c r="C537" s="401"/>
      <c r="D537" s="401"/>
      <c r="E537" s="403">
        <f t="shared" si="1"/>
        <v>600.64780396214906</v>
      </c>
      <c r="F537" s="401"/>
      <c r="G537" s="417"/>
    </row>
    <row r="538" spans="1:7" ht="12.75" customHeight="1">
      <c r="A538" s="406"/>
      <c r="B538" s="401"/>
      <c r="C538" s="401"/>
      <c r="D538" s="401"/>
      <c r="E538" s="401"/>
      <c r="F538" s="401"/>
      <c r="G538" s="417"/>
    </row>
    <row r="539" spans="1:7" ht="12.75" customHeight="1">
      <c r="A539" s="406"/>
      <c r="B539" s="401"/>
      <c r="C539" s="401"/>
      <c r="D539" s="401"/>
      <c r="E539" s="401"/>
      <c r="F539" s="401"/>
      <c r="G539" s="417"/>
    </row>
    <row r="540" spans="1:7" ht="12.75" customHeight="1">
      <c r="A540" s="406"/>
      <c r="B540" s="401"/>
      <c r="C540" s="401"/>
      <c r="D540" s="401"/>
      <c r="E540" s="401"/>
      <c r="F540" s="401" t="s">
        <v>189</v>
      </c>
      <c r="G540" s="417">
        <f t="shared" si="2"/>
        <v>600.64780396214906</v>
      </c>
    </row>
    <row r="541" spans="1:7" ht="12.75" customHeight="1">
      <c r="A541" s="406" t="s">
        <v>191</v>
      </c>
      <c r="B541" s="401"/>
      <c r="C541" s="401"/>
      <c r="D541" s="401"/>
      <c r="E541" s="401"/>
      <c r="F541" s="401"/>
      <c r="G541" s="417"/>
    </row>
    <row r="542" spans="1:7" ht="12.75" customHeight="1">
      <c r="A542" s="408" t="s">
        <v>111</v>
      </c>
      <c r="B542" s="169" t="s">
        <v>193</v>
      </c>
      <c r="C542" s="169" t="s">
        <v>194</v>
      </c>
      <c r="D542" s="169" t="s">
        <v>195</v>
      </c>
      <c r="E542" s="169" t="s">
        <v>186</v>
      </c>
      <c r="F542" s="401"/>
      <c r="G542" s="417"/>
    </row>
    <row r="543" spans="1:7" ht="12.75" customHeight="1">
      <c r="A543" s="406" t="s">
        <v>341</v>
      </c>
      <c r="B543" s="169" t="s">
        <v>35</v>
      </c>
      <c r="C543" s="403">
        <f>21500*1.19</f>
        <v>25585</v>
      </c>
      <c r="D543" s="401">
        <v>1.03</v>
      </c>
      <c r="E543" s="403">
        <f t="shared" si="14"/>
        <v>26352.55</v>
      </c>
      <c r="F543" s="401"/>
      <c r="G543" s="417"/>
    </row>
    <row r="544" spans="1:7" ht="12.75" customHeight="1">
      <c r="A544" s="406" t="s">
        <v>296</v>
      </c>
      <c r="B544" s="169" t="s">
        <v>342</v>
      </c>
      <c r="C544" s="401">
        <v>75000</v>
      </c>
      <c r="D544" s="401">
        <v>0.04</v>
      </c>
      <c r="E544" s="401">
        <f t="shared" si="14"/>
        <v>3000</v>
      </c>
      <c r="F544" s="401"/>
      <c r="G544" s="417"/>
    </row>
    <row r="545" spans="1:7" ht="15" customHeight="1">
      <c r="A545" s="406" t="s">
        <v>343</v>
      </c>
      <c r="B545" s="169" t="s">
        <v>220</v>
      </c>
      <c r="C545" s="401">
        <v>3500</v>
      </c>
      <c r="D545" s="401">
        <v>1</v>
      </c>
      <c r="E545" s="401">
        <f t="shared" si="14"/>
        <v>3500</v>
      </c>
      <c r="F545" s="401"/>
      <c r="G545" s="417"/>
    </row>
    <row r="546" spans="1:7" ht="12.75" customHeight="1">
      <c r="A546" s="406" t="s">
        <v>344</v>
      </c>
      <c r="B546" s="169" t="s">
        <v>342</v>
      </c>
      <c r="C546" s="401">
        <v>36000</v>
      </c>
      <c r="D546" s="401">
        <v>0.04</v>
      </c>
      <c r="E546" s="401">
        <f t="shared" si="14"/>
        <v>1440</v>
      </c>
      <c r="F546" s="401"/>
      <c r="G546" s="417"/>
    </row>
    <row r="547" spans="1:7" ht="12.75" customHeight="1">
      <c r="A547" s="406"/>
      <c r="B547" s="401"/>
      <c r="C547" s="401"/>
      <c r="D547" s="401"/>
      <c r="E547" s="401"/>
      <c r="F547" s="401"/>
      <c r="G547" s="417"/>
    </row>
    <row r="548" spans="1:7" ht="12.75" customHeight="1">
      <c r="A548" s="406"/>
      <c r="B548" s="401"/>
      <c r="C548" s="401"/>
      <c r="D548" s="401"/>
      <c r="E548" s="401"/>
      <c r="F548" s="401"/>
      <c r="G548" s="417"/>
    </row>
    <row r="549" spans="1:7" ht="12.75" customHeight="1">
      <c r="A549" s="406"/>
      <c r="B549" s="401"/>
      <c r="C549" s="401"/>
      <c r="D549" s="401"/>
      <c r="E549" s="401"/>
      <c r="F549" s="401" t="s">
        <v>189</v>
      </c>
      <c r="G549" s="417">
        <f t="shared" si="5"/>
        <v>34292.550000000003</v>
      </c>
    </row>
    <row r="550" spans="1:7" ht="12.75" customHeight="1">
      <c r="A550" s="406" t="s">
        <v>197</v>
      </c>
      <c r="B550" s="401"/>
      <c r="C550" s="401"/>
      <c r="D550" s="401"/>
      <c r="E550" s="401"/>
      <c r="F550" s="401"/>
      <c r="G550" s="417"/>
    </row>
    <row r="551" spans="1:7" ht="12.75" customHeight="1">
      <c r="A551" s="408" t="s">
        <v>198</v>
      </c>
      <c r="B551" s="169" t="s">
        <v>199</v>
      </c>
      <c r="C551" s="169" t="s">
        <v>200</v>
      </c>
      <c r="D551" s="169" t="s">
        <v>201</v>
      </c>
      <c r="E551" s="169" t="s">
        <v>186</v>
      </c>
      <c r="F551" s="401"/>
      <c r="G551" s="417"/>
    </row>
    <row r="552" spans="1:7" ht="12.75" customHeight="1">
      <c r="A552" s="406" t="s">
        <v>243</v>
      </c>
      <c r="B552" s="401"/>
      <c r="C552" s="401"/>
      <c r="D552" s="401"/>
      <c r="E552" s="401"/>
      <c r="F552" s="401"/>
      <c r="G552" s="417"/>
    </row>
    <row r="553" spans="1:7" ht="12.75" customHeight="1">
      <c r="A553" s="406"/>
      <c r="B553" s="401"/>
      <c r="C553" s="401"/>
      <c r="D553" s="401"/>
      <c r="E553" s="401"/>
      <c r="F553" s="401"/>
      <c r="G553" s="417"/>
    </row>
    <row r="554" spans="1:7" ht="12.75" customHeight="1">
      <c r="A554" s="406"/>
      <c r="B554" s="401"/>
      <c r="C554" s="401"/>
      <c r="D554" s="401"/>
      <c r="E554" s="401"/>
      <c r="F554" s="401"/>
      <c r="G554" s="417"/>
    </row>
    <row r="555" spans="1:7" ht="12.75" customHeight="1">
      <c r="A555" s="406"/>
      <c r="B555" s="401"/>
      <c r="C555" s="401"/>
      <c r="D555" s="401"/>
      <c r="E555" s="401"/>
      <c r="F555" s="401"/>
      <c r="G555" s="417"/>
    </row>
    <row r="556" spans="1:7" ht="12.75" customHeight="1">
      <c r="A556" s="406"/>
      <c r="B556" s="401"/>
      <c r="C556" s="401"/>
      <c r="D556" s="401"/>
      <c r="E556" s="401"/>
      <c r="F556" s="401" t="s">
        <v>189</v>
      </c>
      <c r="G556" s="417">
        <f t="shared" si="6"/>
        <v>0</v>
      </c>
    </row>
    <row r="557" spans="1:7" ht="12.75" customHeight="1">
      <c r="A557" s="406" t="s">
        <v>202</v>
      </c>
      <c r="B557" s="401"/>
      <c r="C557" s="401"/>
      <c r="D557" s="401"/>
      <c r="E557" s="401"/>
      <c r="F557" s="401"/>
      <c r="G557" s="417"/>
    </row>
    <row r="558" spans="1:7" ht="12.75" customHeight="1">
      <c r="A558" s="408" t="s">
        <v>203</v>
      </c>
      <c r="B558" s="169" t="s">
        <v>204</v>
      </c>
      <c r="C558" s="169" t="s">
        <v>205</v>
      </c>
      <c r="D558" s="169" t="s">
        <v>206</v>
      </c>
      <c r="E558" s="169" t="s">
        <v>207</v>
      </c>
      <c r="F558" s="169" t="s">
        <v>208</v>
      </c>
      <c r="G558" s="417"/>
    </row>
    <row r="559" spans="1:7" ht="12.75" customHeight="1">
      <c r="A559" s="406" t="s">
        <v>188</v>
      </c>
      <c r="B559" s="401">
        <f t="shared" ref="B559:B560" si="25">+B32</f>
        <v>140000</v>
      </c>
      <c r="C559" s="401">
        <f t="shared" ref="C559:C560" si="26">+B559*0.68</f>
        <v>95200</v>
      </c>
      <c r="D559" s="401">
        <f t="shared" si="8"/>
        <v>235200</v>
      </c>
      <c r="E559" s="403">
        <v>30.76538276506227</v>
      </c>
      <c r="F559" s="403">
        <f t="shared" si="22"/>
        <v>7644.9560792429802</v>
      </c>
      <c r="G559" s="417"/>
    </row>
    <row r="560" spans="1:7" ht="12.75" customHeight="1">
      <c r="A560" s="406" t="s">
        <v>307</v>
      </c>
      <c r="B560" s="401">
        <f t="shared" si="25"/>
        <v>91000</v>
      </c>
      <c r="C560" s="401">
        <f t="shared" si="26"/>
        <v>61880.000000000007</v>
      </c>
      <c r="D560" s="403">
        <f t="shared" si="8"/>
        <v>152880</v>
      </c>
      <c r="E560" s="401">
        <v>35</v>
      </c>
      <c r="F560" s="403">
        <f t="shared" si="22"/>
        <v>4368</v>
      </c>
      <c r="G560" s="417"/>
    </row>
    <row r="561" spans="1:9" ht="12.75" customHeight="1">
      <c r="A561" s="406"/>
      <c r="B561" s="401"/>
      <c r="C561" s="401"/>
      <c r="D561" s="401"/>
      <c r="E561" s="401"/>
      <c r="F561" s="401"/>
      <c r="G561" s="417"/>
    </row>
    <row r="562" spans="1:9" ht="12.75" customHeight="1">
      <c r="A562" s="406"/>
      <c r="B562" s="401"/>
      <c r="C562" s="401"/>
      <c r="D562" s="401"/>
      <c r="E562" s="401"/>
      <c r="F562" s="401"/>
      <c r="G562" s="417"/>
    </row>
    <row r="563" spans="1:9" ht="12.75" customHeight="1">
      <c r="A563" s="406"/>
      <c r="B563" s="401"/>
      <c r="C563" s="401"/>
      <c r="D563" s="401"/>
      <c r="E563" s="401"/>
      <c r="F563" s="401"/>
      <c r="G563" s="417"/>
    </row>
    <row r="564" spans="1:9" ht="12.75" customHeight="1">
      <c r="A564" s="406"/>
      <c r="B564" s="401"/>
      <c r="C564" s="401"/>
      <c r="D564" s="401"/>
      <c r="E564" s="401"/>
      <c r="F564" s="401"/>
      <c r="G564" s="417"/>
    </row>
    <row r="565" spans="1:9" ht="12.75" customHeight="1">
      <c r="A565" s="406"/>
      <c r="B565" s="401"/>
      <c r="C565" s="401"/>
      <c r="D565" s="401"/>
      <c r="E565" s="401"/>
      <c r="F565" s="401" t="s">
        <v>189</v>
      </c>
      <c r="G565" s="417">
        <f t="shared" si="10"/>
        <v>12012.95607924298</v>
      </c>
    </row>
    <row r="566" spans="1:9" ht="12.75" customHeight="1">
      <c r="A566" s="406"/>
      <c r="B566" s="401"/>
      <c r="C566" s="401"/>
      <c r="D566" s="401"/>
      <c r="E566" s="401"/>
      <c r="F566" s="401"/>
      <c r="G566" s="417"/>
    </row>
    <row r="567" spans="1:9" ht="12.75" customHeight="1">
      <c r="A567" s="406" t="s">
        <v>209</v>
      </c>
      <c r="B567" s="401"/>
      <c r="C567" s="401" t="s">
        <v>210</v>
      </c>
      <c r="D567" s="401" t="s">
        <v>211</v>
      </c>
      <c r="E567" s="401"/>
      <c r="F567" s="401"/>
      <c r="G567" s="417">
        <f t="shared" si="11"/>
        <v>46906.15388320513</v>
      </c>
      <c r="I567">
        <v>59301.75</v>
      </c>
    </row>
    <row r="568" spans="1:9" ht="12.75" customHeight="1">
      <c r="A568" s="406"/>
      <c r="B568" s="401"/>
      <c r="C568" s="401"/>
      <c r="D568" s="401"/>
      <c r="E568" s="401"/>
      <c r="F568" s="401"/>
      <c r="G568" s="417"/>
    </row>
    <row r="569" spans="1:9" ht="12.75" customHeight="1">
      <c r="A569" s="406"/>
      <c r="B569" s="401"/>
      <c r="C569" s="401"/>
      <c r="D569" s="401"/>
      <c r="E569" s="401" t="s">
        <v>212</v>
      </c>
      <c r="F569" s="401"/>
      <c r="G569" s="417">
        <f>0.3*G567</f>
        <v>14071.846164961538</v>
      </c>
    </row>
    <row r="570" spans="1:9" ht="12.75" customHeight="1">
      <c r="A570" s="406"/>
      <c r="B570" s="401"/>
      <c r="C570" s="401"/>
      <c r="D570" s="401"/>
      <c r="E570" s="401"/>
      <c r="F570" s="401"/>
      <c r="G570" s="417"/>
    </row>
    <row r="571" spans="1:9" ht="12.75" customHeight="1" thickBot="1">
      <c r="A571" s="411" t="s">
        <v>213</v>
      </c>
      <c r="B571" s="412"/>
      <c r="C571" s="412"/>
      <c r="D571" s="412" t="s">
        <v>214</v>
      </c>
      <c r="E571" s="412"/>
      <c r="F571" s="412"/>
      <c r="G571" s="418">
        <f t="shared" si="13"/>
        <v>60978.000048166665</v>
      </c>
    </row>
    <row r="572" spans="1:9" ht="15" customHeight="1">
      <c r="A572" s="468" t="s">
        <v>174</v>
      </c>
      <c r="B572" s="457"/>
      <c r="C572" s="457"/>
      <c r="D572" s="457"/>
      <c r="E572" s="457"/>
      <c r="F572" s="457"/>
      <c r="G572" s="457"/>
    </row>
    <row r="573" spans="1:9" ht="12.75" customHeight="1"/>
    <row r="574" spans="1:9" ht="12.75" customHeight="1">
      <c r="A574" s="1" t="s">
        <v>175</v>
      </c>
      <c r="B574" s="1"/>
      <c r="C574" s="1"/>
      <c r="D574" s="94"/>
      <c r="E574" s="94"/>
      <c r="F574" s="94"/>
      <c r="G574" s="414"/>
    </row>
    <row r="575" spans="1:9" ht="12.75" customHeight="1">
      <c r="A575" s="1" t="s">
        <v>368</v>
      </c>
      <c r="B575" s="1"/>
      <c r="C575" s="1"/>
      <c r="D575" s="1"/>
      <c r="F575" s="95" t="s">
        <v>177</v>
      </c>
      <c r="G575" s="415">
        <f t="shared" ca="1" si="0"/>
        <v>46289</v>
      </c>
    </row>
    <row r="576" spans="1:9" ht="12.75" customHeight="1">
      <c r="A576" s="1"/>
      <c r="B576" s="1"/>
      <c r="C576" s="1"/>
      <c r="D576" s="1"/>
      <c r="E576" s="1"/>
      <c r="F576" s="1"/>
      <c r="G576" s="420"/>
    </row>
    <row r="577" spans="1:7" ht="13.5" customHeight="1">
      <c r="A577" s="99" t="s">
        <v>408</v>
      </c>
      <c r="B577" s="100" t="s">
        <v>409</v>
      </c>
      <c r="C577" s="100"/>
      <c r="D577" s="100"/>
      <c r="E577" s="100"/>
      <c r="F577" s="100"/>
      <c r="G577" s="138"/>
    </row>
    <row r="578" spans="1:7" ht="12.75" customHeight="1">
      <c r="A578" s="102"/>
      <c r="B578" s="103"/>
      <c r="C578" s="103" t="s">
        <v>179</v>
      </c>
      <c r="D578" s="134">
        <v>36</v>
      </c>
      <c r="E578" s="103" t="s">
        <v>180</v>
      </c>
      <c r="F578" s="103" t="s">
        <v>262</v>
      </c>
      <c r="G578" s="419"/>
    </row>
    <row r="579" spans="1:7" ht="12.75" customHeight="1">
      <c r="A579" s="1" t="s">
        <v>182</v>
      </c>
      <c r="B579" s="1"/>
      <c r="C579" s="1"/>
      <c r="D579" s="1"/>
      <c r="E579" s="1"/>
      <c r="F579" s="1"/>
      <c r="G579" s="420"/>
    </row>
    <row r="580" spans="1:7" ht="12.75" customHeight="1">
      <c r="A580" s="106" t="s">
        <v>111</v>
      </c>
      <c r="B580" s="107" t="s">
        <v>183</v>
      </c>
      <c r="C580" s="106" t="s">
        <v>184</v>
      </c>
      <c r="D580" s="107" t="s">
        <v>185</v>
      </c>
      <c r="E580" s="106" t="s">
        <v>186</v>
      </c>
      <c r="F580" s="108"/>
      <c r="G580" s="421"/>
    </row>
    <row r="581" spans="1:7" ht="12.75" customHeight="1">
      <c r="A581" s="110" t="s">
        <v>187</v>
      </c>
      <c r="B581" s="100"/>
      <c r="C581" s="110"/>
      <c r="D581" s="100"/>
      <c r="E581" s="111">
        <f t="shared" si="1"/>
        <v>1888.541666666667</v>
      </c>
      <c r="F581" s="112"/>
      <c r="G581" s="422"/>
    </row>
    <row r="582" spans="1:7" ht="12.75" customHeight="1">
      <c r="A582" s="110"/>
      <c r="B582" s="110"/>
      <c r="C582" s="110"/>
      <c r="D582" s="110"/>
      <c r="E582" s="101"/>
      <c r="F582" s="112"/>
      <c r="G582" s="422"/>
    </row>
    <row r="583" spans="1:7" ht="12.75" customHeight="1">
      <c r="A583" s="110"/>
      <c r="B583" s="110"/>
      <c r="C583" s="110"/>
      <c r="D583" s="110"/>
      <c r="E583" s="101"/>
      <c r="F583" s="112"/>
      <c r="G583" s="422"/>
    </row>
    <row r="584" spans="1:7" ht="12.75" customHeight="1">
      <c r="A584" s="110"/>
      <c r="B584" s="110"/>
      <c r="C584" s="110"/>
      <c r="D584" s="110"/>
      <c r="E584" s="101"/>
      <c r="F584" s="102" t="s">
        <v>189</v>
      </c>
      <c r="G584" s="419">
        <f t="shared" si="2"/>
        <v>1888.541666666667</v>
      </c>
    </row>
    <row r="585" spans="1:7" ht="12.75" customHeight="1">
      <c r="A585" s="1" t="s">
        <v>191</v>
      </c>
      <c r="B585" s="1"/>
      <c r="C585" s="1"/>
      <c r="D585" s="1"/>
      <c r="E585" s="1"/>
      <c r="F585" s="1"/>
      <c r="G585" s="420"/>
    </row>
    <row r="586" spans="1:7" ht="12.75" customHeight="1">
      <c r="A586" s="115" t="s">
        <v>111</v>
      </c>
      <c r="B586" s="106" t="s">
        <v>193</v>
      </c>
      <c r="C586" s="80" t="s">
        <v>194</v>
      </c>
      <c r="D586" s="106" t="s">
        <v>195</v>
      </c>
      <c r="E586" s="81" t="s">
        <v>186</v>
      </c>
      <c r="F586" s="108"/>
      <c r="G586" s="421"/>
    </row>
    <row r="587" spans="1:7" ht="12.75" customHeight="1">
      <c r="A587" s="110" t="s">
        <v>410</v>
      </c>
      <c r="B587" s="106" t="s">
        <v>193</v>
      </c>
      <c r="C587" s="111">
        <f>1.19*15900</f>
        <v>18921</v>
      </c>
      <c r="D587" s="110">
        <v>1</v>
      </c>
      <c r="E587" s="119">
        <f t="shared" si="14"/>
        <v>18921</v>
      </c>
      <c r="F587" s="112"/>
      <c r="G587" s="422"/>
    </row>
    <row r="588" spans="1:7" ht="12.75" customHeight="1">
      <c r="A588" s="63" t="s">
        <v>349</v>
      </c>
      <c r="B588" s="123" t="s">
        <v>220</v>
      </c>
      <c r="C588" s="63">
        <v>1500</v>
      </c>
      <c r="D588" s="63">
        <v>1</v>
      </c>
      <c r="E588" s="119">
        <f t="shared" si="14"/>
        <v>1500</v>
      </c>
      <c r="F588" s="112"/>
      <c r="G588" s="422"/>
    </row>
    <row r="589" spans="1:7" ht="12.75" customHeight="1">
      <c r="A589" s="110"/>
      <c r="B589" s="106"/>
      <c r="C589" s="110"/>
      <c r="D589" s="110"/>
      <c r="E589" s="101"/>
      <c r="F589" s="112"/>
      <c r="G589" s="422"/>
    </row>
    <row r="590" spans="1:7" ht="12.75" customHeight="1">
      <c r="A590" s="63"/>
      <c r="B590" s="63"/>
      <c r="C590" s="63"/>
      <c r="D590" s="63"/>
      <c r="E590" s="101"/>
      <c r="F590" s="112"/>
      <c r="G590" s="422"/>
    </row>
    <row r="591" spans="1:7" ht="12.75" customHeight="1">
      <c r="A591" s="110"/>
      <c r="B591" s="110"/>
      <c r="C591" s="110"/>
      <c r="D591" s="110"/>
      <c r="E591" s="101"/>
      <c r="F591" s="112"/>
      <c r="G591" s="422"/>
    </row>
    <row r="592" spans="1:7" ht="15" customHeight="1">
      <c r="A592" s="110"/>
      <c r="B592" s="110"/>
      <c r="C592" s="110"/>
      <c r="D592" s="110"/>
      <c r="E592" s="101"/>
      <c r="F592" s="112"/>
      <c r="G592" s="422"/>
    </row>
    <row r="593" spans="1:7" ht="12.75" customHeight="1">
      <c r="A593" s="116"/>
      <c r="B593" s="116"/>
      <c r="C593" s="116"/>
      <c r="D593" s="116"/>
      <c r="E593" s="101"/>
      <c r="F593" s="102" t="s">
        <v>189</v>
      </c>
      <c r="G593" s="419">
        <f t="shared" si="5"/>
        <v>20421</v>
      </c>
    </row>
    <row r="594" spans="1:7" ht="12.75" customHeight="1">
      <c r="A594" s="1" t="s">
        <v>197</v>
      </c>
      <c r="B594" s="1"/>
      <c r="C594" s="1"/>
      <c r="D594" s="1"/>
      <c r="E594" s="1"/>
      <c r="F594" s="1"/>
      <c r="G594" s="420"/>
    </row>
    <row r="595" spans="1:7" ht="12.75" customHeight="1">
      <c r="A595" s="117" t="s">
        <v>198</v>
      </c>
      <c r="B595" s="117" t="s">
        <v>199</v>
      </c>
      <c r="C595" s="117" t="s">
        <v>200</v>
      </c>
      <c r="D595" s="117" t="s">
        <v>201</v>
      </c>
      <c r="E595" s="81" t="s">
        <v>186</v>
      </c>
      <c r="F595" s="108"/>
      <c r="G595" s="421"/>
    </row>
    <row r="596" spans="1:7" ht="12.75" customHeight="1">
      <c r="A596" s="110" t="s">
        <v>243</v>
      </c>
      <c r="B596" s="110"/>
      <c r="C596" s="110"/>
      <c r="D596" s="110"/>
      <c r="E596" s="101">
        <v>4000</v>
      </c>
      <c r="F596" s="112"/>
      <c r="G596" s="422"/>
    </row>
    <row r="597" spans="1:7" ht="12.75" customHeight="1">
      <c r="A597" s="63"/>
      <c r="B597" s="63"/>
      <c r="C597" s="63"/>
      <c r="D597" s="63"/>
      <c r="E597" s="113"/>
      <c r="F597" s="112"/>
      <c r="G597" s="422"/>
    </row>
    <row r="598" spans="1:7" ht="12.75" customHeight="1">
      <c r="A598" s="110"/>
      <c r="B598" s="110"/>
      <c r="C598" s="110"/>
      <c r="D598" s="110"/>
      <c r="E598" s="101"/>
      <c r="F598" s="112"/>
      <c r="G598" s="422"/>
    </row>
    <row r="599" spans="1:7" ht="12.75" customHeight="1">
      <c r="A599" s="110"/>
      <c r="B599" s="110"/>
      <c r="C599" s="110"/>
      <c r="D599" s="110"/>
      <c r="E599" s="101"/>
      <c r="F599" s="112"/>
      <c r="G599" s="422"/>
    </row>
    <row r="600" spans="1:7" ht="12.75" customHeight="1">
      <c r="A600" s="116"/>
      <c r="B600" s="116"/>
      <c r="C600" s="116"/>
      <c r="D600" s="116"/>
      <c r="E600" s="105"/>
      <c r="F600" s="102" t="s">
        <v>189</v>
      </c>
      <c r="G600" s="419">
        <f t="shared" si="6"/>
        <v>4000</v>
      </c>
    </row>
    <row r="601" spans="1:7" ht="12.75" customHeight="1">
      <c r="A601" s="1" t="s">
        <v>202</v>
      </c>
      <c r="B601" s="1"/>
      <c r="C601" s="1"/>
      <c r="D601" s="1"/>
      <c r="E601" s="1"/>
      <c r="F601" s="1"/>
      <c r="G601" s="420"/>
    </row>
    <row r="602" spans="1:7" ht="12.75" customHeight="1">
      <c r="A602" s="117" t="s">
        <v>203</v>
      </c>
      <c r="B602" s="80" t="s">
        <v>204</v>
      </c>
      <c r="C602" s="117" t="s">
        <v>205</v>
      </c>
      <c r="D602" s="80" t="s">
        <v>206</v>
      </c>
      <c r="E602" s="117" t="s">
        <v>207</v>
      </c>
      <c r="F602" s="80" t="s">
        <v>208</v>
      </c>
      <c r="G602" s="423"/>
    </row>
    <row r="603" spans="1:7" ht="12.75" customHeight="1">
      <c r="A603" s="110" t="s">
        <v>188</v>
      </c>
      <c r="B603" s="100">
        <f t="shared" ref="B603:B604" si="27">+B32</f>
        <v>140000</v>
      </c>
      <c r="C603" s="110">
        <f t="shared" si="7"/>
        <v>105000</v>
      </c>
      <c r="D603" s="100">
        <f t="shared" si="8"/>
        <v>245000</v>
      </c>
      <c r="E603" s="110">
        <v>10</v>
      </c>
      <c r="F603" s="119">
        <f t="shared" si="22"/>
        <v>24500</v>
      </c>
      <c r="G603" s="424"/>
    </row>
    <row r="604" spans="1:7" ht="12.75" customHeight="1">
      <c r="A604" s="63" t="s">
        <v>190</v>
      </c>
      <c r="B604" s="100">
        <f t="shared" si="27"/>
        <v>91000</v>
      </c>
      <c r="C604" s="111">
        <f t="shared" si="7"/>
        <v>68250</v>
      </c>
      <c r="D604" s="120">
        <f t="shared" si="8"/>
        <v>159250</v>
      </c>
      <c r="E604" s="110">
        <v>12</v>
      </c>
      <c r="F604" s="119">
        <f t="shared" si="22"/>
        <v>13270.833333333334</v>
      </c>
      <c r="G604" s="424"/>
    </row>
    <row r="605" spans="1:7" ht="12.75" customHeight="1">
      <c r="A605" s="110"/>
      <c r="B605" s="100"/>
      <c r="C605" s="110"/>
      <c r="D605" s="100"/>
      <c r="E605" s="110"/>
      <c r="F605" s="101"/>
      <c r="G605" s="424"/>
    </row>
    <row r="606" spans="1:7" ht="12.75" customHeight="1">
      <c r="A606" s="63"/>
      <c r="B606" s="1"/>
      <c r="C606" s="63"/>
      <c r="D606" s="1"/>
      <c r="E606" s="63"/>
      <c r="F606" s="101"/>
      <c r="G606" s="424"/>
    </row>
    <row r="607" spans="1:7" ht="12.75" customHeight="1">
      <c r="A607" s="110"/>
      <c r="B607" s="100"/>
      <c r="C607" s="110"/>
      <c r="D607" s="100"/>
      <c r="E607" s="110"/>
      <c r="F607" s="101"/>
      <c r="G607" s="424"/>
    </row>
    <row r="608" spans="1:7" ht="12.75" customHeight="1">
      <c r="A608" s="116"/>
      <c r="B608" s="103"/>
      <c r="C608" s="116"/>
      <c r="D608" s="103"/>
      <c r="E608" s="116"/>
      <c r="F608" s="101"/>
      <c r="G608" s="425"/>
    </row>
    <row r="609" spans="1:7" ht="12.75" customHeight="1">
      <c r="A609" s="1"/>
      <c r="B609" s="1"/>
      <c r="C609" s="1"/>
      <c r="D609" s="1"/>
      <c r="E609" s="1"/>
      <c r="F609" s="1" t="s">
        <v>189</v>
      </c>
      <c r="G609" s="225">
        <f t="shared" si="10"/>
        <v>37770.833333333336</v>
      </c>
    </row>
    <row r="610" spans="1:7" ht="12.75" customHeight="1">
      <c r="A610" s="1"/>
      <c r="B610" s="1"/>
      <c r="C610" s="1"/>
      <c r="D610" s="1"/>
      <c r="E610" s="1"/>
      <c r="F610" s="1"/>
      <c r="G610" s="420"/>
    </row>
    <row r="611" spans="1:7" ht="12.75" customHeight="1">
      <c r="A611" s="103" t="s">
        <v>209</v>
      </c>
      <c r="B611" s="1"/>
      <c r="C611" s="1" t="s">
        <v>210</v>
      </c>
      <c r="D611" s="1" t="s">
        <v>211</v>
      </c>
      <c r="E611" s="1"/>
      <c r="F611" s="1"/>
      <c r="G611" s="225">
        <f t="shared" si="11"/>
        <v>64080.375</v>
      </c>
    </row>
    <row r="612" spans="1:7" ht="12.75" customHeight="1">
      <c r="A612" s="1"/>
      <c r="B612" s="1"/>
      <c r="C612" s="1"/>
      <c r="D612" s="1"/>
      <c r="E612" s="1"/>
      <c r="F612" s="1"/>
      <c r="G612" s="420"/>
    </row>
    <row r="613" spans="1:7" ht="12.75" customHeight="1">
      <c r="A613" s="1"/>
      <c r="B613" s="1"/>
      <c r="C613" s="1"/>
      <c r="D613" s="1"/>
      <c r="E613" s="1" t="s">
        <v>212</v>
      </c>
      <c r="F613" s="1"/>
      <c r="G613" s="225">
        <f t="shared" si="12"/>
        <v>19224.112499999999</v>
      </c>
    </row>
    <row r="614" spans="1:7" ht="12.75" customHeight="1">
      <c r="A614" s="1"/>
      <c r="B614" s="1"/>
      <c r="C614" s="1"/>
      <c r="D614" s="1"/>
      <c r="E614" s="1"/>
      <c r="F614" s="1"/>
      <c r="G614" s="420"/>
    </row>
    <row r="615" spans="1:7" ht="12.75" customHeight="1">
      <c r="A615" s="103" t="s">
        <v>213</v>
      </c>
      <c r="B615" s="1"/>
      <c r="C615" s="1"/>
      <c r="D615" s="1" t="s">
        <v>214</v>
      </c>
      <c r="E615" s="1"/>
      <c r="F615" s="1"/>
      <c r="G615" s="225">
        <f t="shared" si="13"/>
        <v>83304.487500000003</v>
      </c>
    </row>
    <row r="616" spans="1:7" ht="15" customHeight="1">
      <c r="A616" s="468" t="s">
        <v>174</v>
      </c>
      <c r="B616" s="457"/>
      <c r="C616" s="457"/>
      <c r="D616" s="457"/>
      <c r="E616" s="457"/>
      <c r="F616" s="457"/>
      <c r="G616" s="457"/>
    </row>
    <row r="617" spans="1:7" ht="12.75" customHeight="1" thickBot="1"/>
    <row r="618" spans="1:7" ht="12.75" customHeight="1">
      <c r="A618" s="404" t="s">
        <v>175</v>
      </c>
      <c r="B618" s="405"/>
      <c r="C618" s="405"/>
      <c r="D618" s="428"/>
      <c r="E618" s="428"/>
      <c r="F618" s="428"/>
      <c r="G618" s="429"/>
    </row>
    <row r="619" spans="1:7" ht="12.75" customHeight="1">
      <c r="A619" s="406" t="s">
        <v>368</v>
      </c>
      <c r="B619" s="401"/>
      <c r="C619" s="401"/>
      <c r="D619" s="401"/>
      <c r="E619" s="195"/>
      <c r="F619" s="402" t="s">
        <v>177</v>
      </c>
      <c r="G619" s="430">
        <f t="shared" ca="1" si="0"/>
        <v>46289</v>
      </c>
    </row>
    <row r="620" spans="1:7" ht="12.75" customHeight="1">
      <c r="A620" s="406"/>
      <c r="B620" s="401"/>
      <c r="C620" s="401"/>
      <c r="D620" s="401"/>
      <c r="E620" s="401"/>
      <c r="F620" s="401"/>
      <c r="G620" s="417"/>
    </row>
    <row r="621" spans="1:7" ht="12.75" customHeight="1">
      <c r="A621" s="406" t="s">
        <v>411</v>
      </c>
      <c r="B621" s="401" t="s">
        <v>357</v>
      </c>
      <c r="C621" s="401"/>
      <c r="D621" s="401"/>
      <c r="E621" s="401"/>
      <c r="F621" s="401"/>
      <c r="G621" s="417"/>
    </row>
    <row r="622" spans="1:7" ht="12.75" customHeight="1">
      <c r="A622" s="406"/>
      <c r="B622" s="401"/>
      <c r="C622" s="401" t="s">
        <v>179</v>
      </c>
      <c r="D622" s="439">
        <v>36</v>
      </c>
      <c r="E622" s="401" t="s">
        <v>180</v>
      </c>
      <c r="F622" s="401" t="s">
        <v>262</v>
      </c>
      <c r="G622" s="417"/>
    </row>
    <row r="623" spans="1:7" ht="12.75" customHeight="1">
      <c r="A623" s="406" t="s">
        <v>182</v>
      </c>
      <c r="B623" s="401"/>
      <c r="C623" s="401"/>
      <c r="D623" s="401"/>
      <c r="E623" s="401"/>
      <c r="F623" s="401"/>
      <c r="G623" s="417"/>
    </row>
    <row r="624" spans="1:7" ht="12.75" customHeight="1">
      <c r="A624" s="408" t="s">
        <v>111</v>
      </c>
      <c r="B624" s="169" t="s">
        <v>183</v>
      </c>
      <c r="C624" s="169" t="s">
        <v>184</v>
      </c>
      <c r="D624" s="169" t="s">
        <v>185</v>
      </c>
      <c r="E624" s="169" t="s">
        <v>186</v>
      </c>
      <c r="F624" s="401"/>
      <c r="G624" s="417"/>
    </row>
    <row r="625" spans="1:7" ht="12.75" customHeight="1">
      <c r="A625" s="406" t="s">
        <v>187</v>
      </c>
      <c r="B625" s="401"/>
      <c r="C625" s="401"/>
      <c r="D625" s="401"/>
      <c r="E625" s="403">
        <f t="shared" si="1"/>
        <v>1483.4597069587228</v>
      </c>
      <c r="F625" s="401"/>
      <c r="G625" s="417"/>
    </row>
    <row r="626" spans="1:7" ht="12.75" customHeight="1">
      <c r="A626" s="406"/>
      <c r="B626" s="401"/>
      <c r="C626" s="401"/>
      <c r="D626" s="401"/>
      <c r="E626" s="401"/>
      <c r="F626" s="401"/>
      <c r="G626" s="417"/>
    </row>
    <row r="627" spans="1:7" ht="12.75" customHeight="1">
      <c r="A627" s="406"/>
      <c r="B627" s="401"/>
      <c r="C627" s="401"/>
      <c r="D627" s="401"/>
      <c r="E627" s="401"/>
      <c r="F627" s="401"/>
      <c r="G627" s="417"/>
    </row>
    <row r="628" spans="1:7" ht="12.75" customHeight="1">
      <c r="A628" s="406"/>
      <c r="B628" s="401"/>
      <c r="C628" s="401"/>
      <c r="D628" s="401"/>
      <c r="E628" s="401"/>
      <c r="F628" s="401" t="s">
        <v>189</v>
      </c>
      <c r="G628" s="417">
        <f t="shared" si="2"/>
        <v>1483.4597069587228</v>
      </c>
    </row>
    <row r="629" spans="1:7" ht="12.75" customHeight="1">
      <c r="A629" s="406" t="s">
        <v>191</v>
      </c>
      <c r="B629" s="401"/>
      <c r="C629" s="401"/>
      <c r="D629" s="401"/>
      <c r="E629" s="401"/>
      <c r="F629" s="401"/>
      <c r="G629" s="417"/>
    </row>
    <row r="630" spans="1:7" ht="12.75" customHeight="1">
      <c r="A630" s="408" t="s">
        <v>111</v>
      </c>
      <c r="B630" s="169" t="s">
        <v>193</v>
      </c>
      <c r="C630" s="169" t="s">
        <v>194</v>
      </c>
      <c r="D630" s="169" t="s">
        <v>195</v>
      </c>
      <c r="E630" s="169" t="s">
        <v>186</v>
      </c>
      <c r="F630" s="401"/>
      <c r="G630" s="417"/>
    </row>
    <row r="631" spans="1:7" ht="12.75" customHeight="1">
      <c r="A631" s="406" t="s">
        <v>410</v>
      </c>
      <c r="B631" s="169" t="s">
        <v>193</v>
      </c>
      <c r="C631" s="403">
        <f>(15400*1.19)</f>
        <v>18326</v>
      </c>
      <c r="D631" s="401">
        <v>1</v>
      </c>
      <c r="E631" s="403">
        <f t="shared" si="14"/>
        <v>18326</v>
      </c>
      <c r="F631" s="401"/>
      <c r="G631" s="417"/>
    </row>
    <row r="632" spans="1:7" ht="12.75" customHeight="1">
      <c r="A632" s="406" t="s">
        <v>349</v>
      </c>
      <c r="B632" s="169" t="s">
        <v>220</v>
      </c>
      <c r="C632" s="401">
        <v>1500</v>
      </c>
      <c r="D632" s="401">
        <v>1</v>
      </c>
      <c r="E632" s="403">
        <f t="shared" si="14"/>
        <v>1500</v>
      </c>
      <c r="F632" s="401"/>
      <c r="G632" s="417"/>
    </row>
    <row r="633" spans="1:7" ht="12.75" customHeight="1">
      <c r="A633" s="406"/>
      <c r="B633" s="169"/>
      <c r="C633" s="401"/>
      <c r="D633" s="401"/>
      <c r="E633" s="401"/>
      <c r="F633" s="401"/>
      <c r="G633" s="417"/>
    </row>
    <row r="634" spans="1:7" ht="12.75" customHeight="1">
      <c r="A634" s="406"/>
      <c r="B634" s="401"/>
      <c r="C634" s="401"/>
      <c r="D634" s="401"/>
      <c r="E634" s="401"/>
      <c r="F634" s="401"/>
      <c r="G634" s="417"/>
    </row>
    <row r="635" spans="1:7" ht="12.75" customHeight="1">
      <c r="A635" s="406"/>
      <c r="B635" s="401"/>
      <c r="C635" s="401"/>
      <c r="D635" s="401"/>
      <c r="E635" s="401"/>
      <c r="F635" s="401"/>
      <c r="G635" s="417"/>
    </row>
    <row r="636" spans="1:7" ht="15" customHeight="1">
      <c r="A636" s="406"/>
      <c r="B636" s="401"/>
      <c r="C636" s="401"/>
      <c r="D636" s="401"/>
      <c r="E636" s="401"/>
      <c r="F636" s="401"/>
      <c r="G636" s="417"/>
    </row>
    <row r="637" spans="1:7" ht="12.75" customHeight="1">
      <c r="A637" s="406"/>
      <c r="B637" s="401"/>
      <c r="C637" s="401"/>
      <c r="D637" s="401"/>
      <c r="E637" s="401"/>
      <c r="F637" s="401" t="s">
        <v>189</v>
      </c>
      <c r="G637" s="417">
        <f t="shared" si="5"/>
        <v>19826</v>
      </c>
    </row>
    <row r="638" spans="1:7" ht="12.75" customHeight="1">
      <c r="A638" s="406" t="s">
        <v>197</v>
      </c>
      <c r="B638" s="401"/>
      <c r="C638" s="401"/>
      <c r="D638" s="401"/>
      <c r="E638" s="401"/>
      <c r="F638" s="401"/>
      <c r="G638" s="417"/>
    </row>
    <row r="639" spans="1:7" ht="12.75" customHeight="1">
      <c r="A639" s="408" t="s">
        <v>198</v>
      </c>
      <c r="B639" s="169" t="s">
        <v>199</v>
      </c>
      <c r="C639" s="169" t="s">
        <v>200</v>
      </c>
      <c r="D639" s="169" t="s">
        <v>201</v>
      </c>
      <c r="E639" s="169" t="s">
        <v>186</v>
      </c>
      <c r="F639" s="401"/>
      <c r="G639" s="417"/>
    </row>
    <row r="640" spans="1:7" ht="12.75" customHeight="1">
      <c r="A640" s="406" t="s">
        <v>243</v>
      </c>
      <c r="B640" s="401"/>
      <c r="C640" s="401"/>
      <c r="D640" s="401"/>
      <c r="E640" s="403">
        <v>2685.9615384822214</v>
      </c>
      <c r="F640" s="401"/>
      <c r="G640" s="417"/>
    </row>
    <row r="641" spans="1:9" ht="12.75" customHeight="1">
      <c r="A641" s="406"/>
      <c r="B641" s="401"/>
      <c r="C641" s="401"/>
      <c r="D641" s="401"/>
      <c r="E641" s="401"/>
      <c r="F641" s="401"/>
      <c r="G641" s="417"/>
    </row>
    <row r="642" spans="1:9" ht="12.75" customHeight="1">
      <c r="A642" s="406"/>
      <c r="B642" s="401"/>
      <c r="C642" s="401"/>
      <c r="D642" s="401"/>
      <c r="E642" s="401"/>
      <c r="F642" s="401"/>
      <c r="G642" s="417"/>
    </row>
    <row r="643" spans="1:9" ht="12.75" customHeight="1">
      <c r="A643" s="406"/>
      <c r="B643" s="401"/>
      <c r="C643" s="401"/>
      <c r="D643" s="401"/>
      <c r="E643" s="401"/>
      <c r="F643" s="401"/>
      <c r="G643" s="417"/>
    </row>
    <row r="644" spans="1:9" ht="12.75" customHeight="1">
      <c r="A644" s="406"/>
      <c r="B644" s="401"/>
      <c r="C644" s="401"/>
      <c r="D644" s="401"/>
      <c r="E644" s="401"/>
      <c r="F644" s="401" t="s">
        <v>189</v>
      </c>
      <c r="G644" s="417">
        <f t="shared" si="6"/>
        <v>2685.9615384822214</v>
      </c>
    </row>
    <row r="645" spans="1:9" ht="12.75" customHeight="1">
      <c r="A645" s="406" t="s">
        <v>202</v>
      </c>
      <c r="B645" s="401"/>
      <c r="C645" s="401"/>
      <c r="D645" s="401"/>
      <c r="E645" s="401"/>
      <c r="F645" s="401"/>
      <c r="G645" s="417"/>
    </row>
    <row r="646" spans="1:9" ht="12.75" customHeight="1">
      <c r="A646" s="408" t="s">
        <v>203</v>
      </c>
      <c r="B646" s="169" t="s">
        <v>204</v>
      </c>
      <c r="C646" s="169" t="s">
        <v>205</v>
      </c>
      <c r="D646" s="169" t="s">
        <v>206</v>
      </c>
      <c r="E646" s="169" t="s">
        <v>207</v>
      </c>
      <c r="F646" s="169" t="s">
        <v>208</v>
      </c>
      <c r="G646" s="417"/>
    </row>
    <row r="647" spans="1:9" ht="12.75" customHeight="1">
      <c r="A647" s="406" t="s">
        <v>188</v>
      </c>
      <c r="B647" s="401">
        <f t="shared" ref="B647:B648" si="28">+B32</f>
        <v>140000</v>
      </c>
      <c r="C647" s="401">
        <f t="shared" si="7"/>
        <v>105000</v>
      </c>
      <c r="D647" s="401">
        <f t="shared" si="8"/>
        <v>245000</v>
      </c>
      <c r="E647" s="401">
        <v>14</v>
      </c>
      <c r="F647" s="403">
        <f t="shared" si="22"/>
        <v>17500</v>
      </c>
      <c r="G647" s="417"/>
    </row>
    <row r="648" spans="1:9" ht="12.75" customHeight="1">
      <c r="A648" s="406" t="s">
        <v>190</v>
      </c>
      <c r="B648" s="401">
        <f t="shared" si="28"/>
        <v>91000</v>
      </c>
      <c r="C648" s="403">
        <f t="shared" si="7"/>
        <v>68250</v>
      </c>
      <c r="D648" s="403">
        <f t="shared" si="8"/>
        <v>159250</v>
      </c>
      <c r="E648" s="403">
        <v>13.086322576393981</v>
      </c>
      <c r="F648" s="403">
        <f t="shared" si="22"/>
        <v>12169.194139174457</v>
      </c>
      <c r="G648" s="417"/>
    </row>
    <row r="649" spans="1:9" ht="12.75" customHeight="1">
      <c r="A649" s="406"/>
      <c r="B649" s="401"/>
      <c r="C649" s="401"/>
      <c r="D649" s="401"/>
      <c r="E649" s="401"/>
      <c r="F649" s="401"/>
      <c r="G649" s="417"/>
    </row>
    <row r="650" spans="1:9" ht="12.75" customHeight="1">
      <c r="A650" s="406"/>
      <c r="B650" s="401"/>
      <c r="C650" s="401"/>
      <c r="D650" s="401"/>
      <c r="E650" s="401"/>
      <c r="F650" s="401"/>
      <c r="G650" s="417"/>
    </row>
    <row r="651" spans="1:9" ht="12.75" customHeight="1">
      <c r="A651" s="406"/>
      <c r="B651" s="401"/>
      <c r="C651" s="401"/>
      <c r="D651" s="401"/>
      <c r="E651" s="401"/>
      <c r="F651" s="401"/>
      <c r="G651" s="417"/>
    </row>
    <row r="652" spans="1:9" ht="12.75" customHeight="1">
      <c r="A652" s="406"/>
      <c r="B652" s="401"/>
      <c r="C652" s="401"/>
      <c r="D652" s="401"/>
      <c r="E652" s="401"/>
      <c r="F652" s="401"/>
      <c r="G652" s="417"/>
    </row>
    <row r="653" spans="1:9" ht="12.75" customHeight="1">
      <c r="A653" s="406"/>
      <c r="B653" s="401"/>
      <c r="C653" s="401"/>
      <c r="D653" s="401"/>
      <c r="E653" s="401"/>
      <c r="F653" s="401" t="s">
        <v>189</v>
      </c>
      <c r="G653" s="417">
        <f t="shared" si="10"/>
        <v>29669.194139174455</v>
      </c>
    </row>
    <row r="654" spans="1:9" ht="12.75" customHeight="1">
      <c r="A654" s="406"/>
      <c r="B654" s="401"/>
      <c r="C654" s="401"/>
      <c r="D654" s="401"/>
      <c r="E654" s="401"/>
      <c r="F654" s="401"/>
      <c r="G654" s="417"/>
    </row>
    <row r="655" spans="1:9" ht="12.75" customHeight="1">
      <c r="A655" s="406" t="s">
        <v>209</v>
      </c>
      <c r="B655" s="401"/>
      <c r="C655" s="401" t="s">
        <v>210</v>
      </c>
      <c r="D655" s="401" t="s">
        <v>211</v>
      </c>
      <c r="E655" s="401"/>
      <c r="F655" s="401"/>
      <c r="G655" s="417">
        <f t="shared" si="11"/>
        <v>53664.615384615397</v>
      </c>
      <c r="I655">
        <v>66272.25</v>
      </c>
    </row>
    <row r="656" spans="1:9" ht="12.75" customHeight="1">
      <c r="A656" s="406"/>
      <c r="B656" s="401"/>
      <c r="C656" s="401"/>
      <c r="D656" s="401"/>
      <c r="E656" s="401"/>
      <c r="F656" s="401"/>
      <c r="G656" s="417"/>
    </row>
    <row r="657" spans="1:7" ht="12.75" customHeight="1">
      <c r="A657" s="406"/>
      <c r="B657" s="401"/>
      <c r="C657" s="401"/>
      <c r="D657" s="401"/>
      <c r="E657" s="401" t="s">
        <v>212</v>
      </c>
      <c r="F657" s="401"/>
      <c r="G657" s="417">
        <f t="shared" si="12"/>
        <v>16099.384615384619</v>
      </c>
    </row>
    <row r="658" spans="1:7" ht="12.75" customHeight="1">
      <c r="A658" s="406"/>
      <c r="B658" s="401"/>
      <c r="C658" s="401"/>
      <c r="D658" s="401"/>
      <c r="E658" s="401"/>
      <c r="F658" s="401"/>
      <c r="G658" s="417"/>
    </row>
    <row r="659" spans="1:7" ht="12.75" customHeight="1" thickBot="1">
      <c r="A659" s="411" t="s">
        <v>213</v>
      </c>
      <c r="B659" s="412"/>
      <c r="C659" s="412"/>
      <c r="D659" s="412" t="s">
        <v>214</v>
      </c>
      <c r="E659" s="412"/>
      <c r="F659" s="412"/>
      <c r="G659" s="418">
        <f t="shared" si="13"/>
        <v>69764.000000000015</v>
      </c>
    </row>
    <row r="660" spans="1:7" ht="15" customHeight="1">
      <c r="A660" s="468" t="s">
        <v>174</v>
      </c>
      <c r="B660" s="457"/>
      <c r="C660" s="457"/>
      <c r="D660" s="457"/>
      <c r="E660" s="457"/>
      <c r="F660" s="457"/>
      <c r="G660" s="457"/>
    </row>
    <row r="661" spans="1:7" ht="12.75" customHeight="1"/>
    <row r="662" spans="1:7" ht="12.75" customHeight="1">
      <c r="A662" s="1" t="s">
        <v>175</v>
      </c>
      <c r="B662" s="1"/>
      <c r="C662" s="1"/>
      <c r="D662" s="94"/>
      <c r="E662" s="94"/>
      <c r="F662" s="94"/>
      <c r="G662" s="414"/>
    </row>
    <row r="663" spans="1:7" ht="12.75" customHeight="1">
      <c r="A663" s="1" t="s">
        <v>368</v>
      </c>
      <c r="B663" s="1"/>
      <c r="C663" s="1"/>
      <c r="D663" s="1"/>
      <c r="F663" s="95" t="s">
        <v>177</v>
      </c>
      <c r="G663" s="415">
        <f t="shared" ca="1" si="0"/>
        <v>46289</v>
      </c>
    </row>
    <row r="664" spans="1:7" ht="12.75" customHeight="1">
      <c r="A664" s="1"/>
      <c r="B664" s="1"/>
      <c r="C664" s="1"/>
      <c r="D664" s="1"/>
      <c r="E664" s="1"/>
      <c r="F664" s="1"/>
      <c r="G664" s="420"/>
    </row>
    <row r="665" spans="1:7" ht="12.75" customHeight="1">
      <c r="A665" s="99" t="s">
        <v>363</v>
      </c>
      <c r="B665" s="100" t="s">
        <v>412</v>
      </c>
      <c r="C665" s="100"/>
      <c r="D665" s="100"/>
      <c r="E665" s="100"/>
      <c r="F665" s="100"/>
      <c r="G665" s="138"/>
    </row>
    <row r="666" spans="1:7" ht="12.75" customHeight="1">
      <c r="A666" s="102"/>
      <c r="B666" s="103"/>
      <c r="C666" s="103" t="s">
        <v>179</v>
      </c>
      <c r="D666" s="134">
        <v>5</v>
      </c>
      <c r="E666" s="103" t="s">
        <v>180</v>
      </c>
      <c r="F666" s="103" t="s">
        <v>262</v>
      </c>
      <c r="G666" s="419"/>
    </row>
    <row r="667" spans="1:7" ht="12.75" customHeight="1">
      <c r="A667" s="1" t="s">
        <v>182</v>
      </c>
      <c r="B667" s="1"/>
      <c r="C667" s="1"/>
      <c r="D667" s="1"/>
      <c r="E667" s="1"/>
      <c r="F667" s="1"/>
      <c r="G667" s="420"/>
    </row>
    <row r="668" spans="1:7" ht="12.75" customHeight="1">
      <c r="A668" s="106" t="s">
        <v>111</v>
      </c>
      <c r="B668" s="107" t="s">
        <v>183</v>
      </c>
      <c r="C668" s="106" t="s">
        <v>184</v>
      </c>
      <c r="D668" s="107" t="s">
        <v>185</v>
      </c>
      <c r="E668" s="106" t="s">
        <v>186</v>
      </c>
      <c r="F668" s="108"/>
      <c r="G668" s="421"/>
    </row>
    <row r="669" spans="1:7" ht="12.75" customHeight="1">
      <c r="A669" s="110" t="s">
        <v>187</v>
      </c>
      <c r="B669" s="100"/>
      <c r="C669" s="110"/>
      <c r="D669" s="100"/>
      <c r="E669" s="111">
        <f t="shared" si="1"/>
        <v>2021.25</v>
      </c>
      <c r="F669" s="112"/>
      <c r="G669" s="422"/>
    </row>
    <row r="670" spans="1:7" ht="12.75" customHeight="1">
      <c r="A670" s="110"/>
      <c r="B670" s="110"/>
      <c r="C670" s="110"/>
      <c r="D670" s="110"/>
      <c r="E670" s="101"/>
      <c r="F670" s="112"/>
      <c r="G670" s="422"/>
    </row>
    <row r="671" spans="1:7" ht="12.75" customHeight="1">
      <c r="A671" s="110"/>
      <c r="B671" s="110"/>
      <c r="C671" s="110"/>
      <c r="D671" s="110"/>
      <c r="E671" s="101"/>
      <c r="F671" s="112"/>
      <c r="G671" s="422"/>
    </row>
    <row r="672" spans="1:7" ht="12.75" customHeight="1">
      <c r="A672" s="110"/>
      <c r="B672" s="110"/>
      <c r="C672" s="110"/>
      <c r="D672" s="110"/>
      <c r="E672" s="101"/>
      <c r="F672" s="102" t="s">
        <v>189</v>
      </c>
      <c r="G672" s="419">
        <f t="shared" si="2"/>
        <v>2021.25</v>
      </c>
    </row>
    <row r="673" spans="1:7" ht="12.75" customHeight="1">
      <c r="A673" s="1" t="s">
        <v>191</v>
      </c>
      <c r="B673" s="1"/>
      <c r="C673" s="1"/>
      <c r="D673" s="1"/>
      <c r="E673" s="1"/>
      <c r="F673" s="1"/>
      <c r="G673" s="420"/>
    </row>
    <row r="674" spans="1:7" ht="12.75" customHeight="1">
      <c r="A674" s="115" t="s">
        <v>111</v>
      </c>
      <c r="B674" s="106" t="s">
        <v>193</v>
      </c>
      <c r="C674" s="80" t="s">
        <v>194</v>
      </c>
      <c r="D674" s="106" t="s">
        <v>195</v>
      </c>
      <c r="E674" s="81" t="s">
        <v>186</v>
      </c>
      <c r="F674" s="108"/>
      <c r="G674" s="421"/>
    </row>
    <row r="675" spans="1:7" ht="12.75" customHeight="1">
      <c r="A675" s="110" t="s">
        <v>413</v>
      </c>
      <c r="B675" s="106" t="s">
        <v>193</v>
      </c>
      <c r="C675" s="111">
        <f>(15150*1.19)</f>
        <v>18028.5</v>
      </c>
      <c r="D675" s="110">
        <v>1</v>
      </c>
      <c r="E675" s="119">
        <f t="shared" si="14"/>
        <v>18028.5</v>
      </c>
      <c r="F675" s="112"/>
      <c r="G675" s="422"/>
    </row>
    <row r="676" spans="1:7" ht="12.75" customHeight="1">
      <c r="A676" s="63" t="s">
        <v>349</v>
      </c>
      <c r="B676" s="123" t="s">
        <v>220</v>
      </c>
      <c r="C676" s="63">
        <v>1500</v>
      </c>
      <c r="D676" s="63">
        <v>1</v>
      </c>
      <c r="E676" s="119">
        <f t="shared" si="14"/>
        <v>1500</v>
      </c>
      <c r="F676" s="112"/>
      <c r="G676" s="422"/>
    </row>
    <row r="677" spans="1:7" ht="12.75" customHeight="1">
      <c r="A677" s="110"/>
      <c r="B677" s="106"/>
      <c r="C677" s="110"/>
      <c r="D677" s="110"/>
      <c r="E677" s="101"/>
      <c r="F677" s="112"/>
      <c r="G677" s="422"/>
    </row>
    <row r="678" spans="1:7" ht="12.75" customHeight="1">
      <c r="A678" s="63"/>
      <c r="B678" s="63"/>
      <c r="C678" s="63"/>
      <c r="D678" s="63"/>
      <c r="E678" s="101"/>
      <c r="F678" s="112"/>
      <c r="G678" s="422"/>
    </row>
    <row r="679" spans="1:7" ht="12.75" customHeight="1">
      <c r="A679" s="110"/>
      <c r="B679" s="110"/>
      <c r="C679" s="110"/>
      <c r="D679" s="110"/>
      <c r="E679" s="101"/>
      <c r="F679" s="112"/>
      <c r="G679" s="422"/>
    </row>
    <row r="680" spans="1:7" ht="12.75" customHeight="1">
      <c r="A680" s="110"/>
      <c r="B680" s="110"/>
      <c r="C680" s="110"/>
      <c r="D680" s="110"/>
      <c r="E680" s="101"/>
      <c r="F680" s="112"/>
      <c r="G680" s="422"/>
    </row>
    <row r="681" spans="1:7" ht="12.75" customHeight="1">
      <c r="A681" s="116"/>
      <c r="B681" s="116"/>
      <c r="C681" s="116"/>
      <c r="D681" s="116"/>
      <c r="E681" s="101"/>
      <c r="F681" s="102" t="s">
        <v>189</v>
      </c>
      <c r="G681" s="419">
        <f t="shared" si="5"/>
        <v>19528.5</v>
      </c>
    </row>
    <row r="682" spans="1:7" ht="12.75" customHeight="1">
      <c r="A682" s="1" t="s">
        <v>197</v>
      </c>
      <c r="B682" s="1"/>
      <c r="C682" s="1"/>
      <c r="D682" s="1"/>
      <c r="E682" s="1"/>
      <c r="F682" s="1"/>
      <c r="G682" s="420"/>
    </row>
    <row r="683" spans="1:7" ht="12.75" customHeight="1">
      <c r="A683" s="117" t="s">
        <v>198</v>
      </c>
      <c r="B683" s="117" t="s">
        <v>199</v>
      </c>
      <c r="C683" s="117" t="s">
        <v>200</v>
      </c>
      <c r="D683" s="117" t="s">
        <v>201</v>
      </c>
      <c r="E683" s="81" t="s">
        <v>186</v>
      </c>
      <c r="F683" s="108"/>
      <c r="G683" s="421"/>
    </row>
    <row r="684" spans="1:7" ht="12.75" customHeight="1">
      <c r="A684" s="110" t="s">
        <v>243</v>
      </c>
      <c r="B684" s="110"/>
      <c r="C684" s="110"/>
      <c r="D684" s="110"/>
      <c r="E684" s="101">
        <v>4000</v>
      </c>
      <c r="F684" s="112"/>
      <c r="G684" s="422"/>
    </row>
    <row r="685" spans="1:7" ht="12.75" customHeight="1">
      <c r="A685" s="63"/>
      <c r="B685" s="63"/>
      <c r="C685" s="63"/>
      <c r="D685" s="63"/>
      <c r="E685" s="113"/>
      <c r="F685" s="112"/>
      <c r="G685" s="422"/>
    </row>
    <row r="686" spans="1:7" ht="12.75" customHeight="1">
      <c r="A686" s="110"/>
      <c r="B686" s="110"/>
      <c r="C686" s="110"/>
      <c r="D686" s="110"/>
      <c r="E686" s="101"/>
      <c r="F686" s="112"/>
      <c r="G686" s="422"/>
    </row>
    <row r="687" spans="1:7" ht="12.75" customHeight="1">
      <c r="A687" s="110"/>
      <c r="B687" s="110"/>
      <c r="C687" s="110"/>
      <c r="D687" s="110"/>
      <c r="E687" s="101"/>
      <c r="F687" s="112"/>
      <c r="G687" s="422"/>
    </row>
    <row r="688" spans="1:7" ht="12.75" customHeight="1">
      <c r="A688" s="116"/>
      <c r="B688" s="116"/>
      <c r="C688" s="116"/>
      <c r="D688" s="116"/>
      <c r="E688" s="105"/>
      <c r="F688" s="102" t="s">
        <v>189</v>
      </c>
      <c r="G688" s="419">
        <f t="shared" si="6"/>
        <v>4000</v>
      </c>
    </row>
    <row r="689" spans="1:7" ht="12.75" customHeight="1">
      <c r="A689" s="1" t="s">
        <v>202</v>
      </c>
      <c r="B689" s="1"/>
      <c r="C689" s="1"/>
      <c r="D689" s="1"/>
      <c r="E689" s="1"/>
      <c r="F689" s="1"/>
      <c r="G689" s="420"/>
    </row>
    <row r="690" spans="1:7" ht="12.75" customHeight="1">
      <c r="A690" s="117" t="s">
        <v>203</v>
      </c>
      <c r="B690" s="80" t="s">
        <v>204</v>
      </c>
      <c r="C690" s="117" t="s">
        <v>205</v>
      </c>
      <c r="D690" s="80" t="s">
        <v>206</v>
      </c>
      <c r="E690" s="117" t="s">
        <v>207</v>
      </c>
      <c r="F690" s="80" t="s">
        <v>208</v>
      </c>
      <c r="G690" s="423"/>
    </row>
    <row r="691" spans="1:7" ht="12.75" customHeight="1">
      <c r="A691" s="110" t="s">
        <v>188</v>
      </c>
      <c r="B691" s="100">
        <f t="shared" ref="B691:B692" si="29">+B32</f>
        <v>140000</v>
      </c>
      <c r="C691" s="110">
        <f t="shared" si="7"/>
        <v>105000</v>
      </c>
      <c r="D691" s="100">
        <f t="shared" si="8"/>
        <v>245000</v>
      </c>
      <c r="E691" s="110">
        <v>10</v>
      </c>
      <c r="F691" s="119">
        <f t="shared" si="22"/>
        <v>24500</v>
      </c>
      <c r="G691" s="424"/>
    </row>
    <row r="692" spans="1:7" ht="12.75" customHeight="1">
      <c r="A692" s="63" t="s">
        <v>190</v>
      </c>
      <c r="B692" s="100">
        <f t="shared" si="29"/>
        <v>91000</v>
      </c>
      <c r="C692" s="111">
        <f t="shared" si="7"/>
        <v>68250</v>
      </c>
      <c r="D692" s="120">
        <f t="shared" si="8"/>
        <v>159250</v>
      </c>
      <c r="E692" s="110">
        <v>10</v>
      </c>
      <c r="F692" s="119">
        <f t="shared" si="22"/>
        <v>15925</v>
      </c>
      <c r="G692" s="424"/>
    </row>
    <row r="693" spans="1:7" ht="12.75" customHeight="1">
      <c r="A693" s="110"/>
      <c r="B693" s="100"/>
      <c r="C693" s="110"/>
      <c r="D693" s="100"/>
      <c r="E693" s="110"/>
      <c r="F693" s="101"/>
      <c r="G693" s="424"/>
    </row>
    <row r="694" spans="1:7" ht="12.75" customHeight="1">
      <c r="A694" s="63"/>
      <c r="B694" s="1"/>
      <c r="C694" s="63"/>
      <c r="D694" s="1"/>
      <c r="E694" s="63"/>
      <c r="F694" s="101"/>
      <c r="G694" s="424"/>
    </row>
    <row r="695" spans="1:7" ht="12.75" customHeight="1">
      <c r="A695" s="110"/>
      <c r="B695" s="100"/>
      <c r="C695" s="110"/>
      <c r="D695" s="100"/>
      <c r="E695" s="110"/>
      <c r="F695" s="101"/>
      <c r="G695" s="424"/>
    </row>
    <row r="696" spans="1:7" ht="12.75" customHeight="1">
      <c r="A696" s="116"/>
      <c r="B696" s="103"/>
      <c r="C696" s="116"/>
      <c r="D696" s="103"/>
      <c r="E696" s="116"/>
      <c r="F696" s="101"/>
      <c r="G696" s="425"/>
    </row>
    <row r="697" spans="1:7" ht="12.75" customHeight="1">
      <c r="A697" s="1"/>
      <c r="B697" s="1"/>
      <c r="C697" s="1"/>
      <c r="D697" s="1"/>
      <c r="E697" s="1"/>
      <c r="F697" s="1" t="s">
        <v>189</v>
      </c>
      <c r="G697" s="225">
        <f t="shared" si="10"/>
        <v>40425</v>
      </c>
    </row>
    <row r="698" spans="1:7" ht="12.75" customHeight="1">
      <c r="A698" s="1"/>
      <c r="B698" s="1"/>
      <c r="C698" s="1"/>
      <c r="D698" s="1"/>
      <c r="E698" s="1"/>
      <c r="F698" s="1"/>
      <c r="G698" s="420"/>
    </row>
    <row r="699" spans="1:7" ht="12.75" customHeight="1">
      <c r="A699" s="103" t="s">
        <v>209</v>
      </c>
      <c r="B699" s="1"/>
      <c r="C699" s="1" t="s">
        <v>210</v>
      </c>
      <c r="D699" s="1" t="s">
        <v>211</v>
      </c>
      <c r="E699" s="1"/>
      <c r="F699" s="1"/>
      <c r="G699" s="225">
        <f t="shared" si="11"/>
        <v>65974.75</v>
      </c>
    </row>
    <row r="700" spans="1:7" ht="12.75" customHeight="1">
      <c r="A700" s="1"/>
      <c r="B700" s="1"/>
      <c r="C700" s="1"/>
      <c r="D700" s="1"/>
      <c r="E700" s="1"/>
      <c r="F700" s="1"/>
      <c r="G700" s="420"/>
    </row>
    <row r="701" spans="1:7" ht="12.75" customHeight="1">
      <c r="A701" s="1"/>
      <c r="B701" s="1"/>
      <c r="C701" s="1"/>
      <c r="D701" s="1"/>
      <c r="E701" s="1" t="s">
        <v>212</v>
      </c>
      <c r="F701" s="1"/>
      <c r="G701" s="225">
        <f t="shared" si="12"/>
        <v>19792.424999999999</v>
      </c>
    </row>
    <row r="702" spans="1:7" ht="12.75" customHeight="1">
      <c r="A702" s="1"/>
      <c r="B702" s="1"/>
      <c r="C702" s="1"/>
      <c r="D702" s="1"/>
      <c r="E702" s="1"/>
      <c r="F702" s="1"/>
      <c r="G702" s="420"/>
    </row>
    <row r="703" spans="1:7" ht="12.75" customHeight="1">
      <c r="A703" s="103" t="s">
        <v>213</v>
      </c>
      <c r="B703" s="1"/>
      <c r="C703" s="1"/>
      <c r="D703" s="1" t="s">
        <v>214</v>
      </c>
      <c r="E703" s="1"/>
      <c r="F703" s="1"/>
      <c r="G703" s="225">
        <f t="shared" si="13"/>
        <v>85767.175000000003</v>
      </c>
    </row>
    <row r="704" spans="1:7" ht="15" customHeight="1">
      <c r="A704" s="468" t="s">
        <v>174</v>
      </c>
      <c r="B704" s="457"/>
      <c r="C704" s="457"/>
      <c r="D704" s="457"/>
      <c r="E704" s="457"/>
      <c r="F704" s="457"/>
      <c r="G704" s="457"/>
    </row>
    <row r="705" spans="1:7" ht="12.75" customHeight="1"/>
    <row r="706" spans="1:7" ht="12.75" customHeight="1">
      <c r="A706" s="1" t="s">
        <v>175</v>
      </c>
      <c r="B706" s="1"/>
      <c r="C706" s="1"/>
      <c r="D706" s="94"/>
      <c r="E706" s="94"/>
      <c r="F706" s="94"/>
      <c r="G706" s="414"/>
    </row>
    <row r="707" spans="1:7" ht="12.75" customHeight="1">
      <c r="A707" s="1" t="s">
        <v>368</v>
      </c>
      <c r="B707" s="1"/>
      <c r="C707" s="1"/>
      <c r="D707" s="1"/>
      <c r="F707" s="95" t="s">
        <v>177</v>
      </c>
      <c r="G707" s="415">
        <f t="shared" ca="1" si="0"/>
        <v>46289</v>
      </c>
    </row>
    <row r="708" spans="1:7" ht="12.75" customHeight="1">
      <c r="A708" s="1"/>
      <c r="B708" s="1"/>
      <c r="C708" s="1"/>
      <c r="D708" s="1"/>
      <c r="E708" s="1"/>
      <c r="F708" s="1"/>
      <c r="G708" s="420"/>
    </row>
    <row r="709" spans="1:7" ht="12.75" customHeight="1">
      <c r="A709" s="99" t="s">
        <v>366</v>
      </c>
      <c r="B709" s="100" t="s">
        <v>351</v>
      </c>
      <c r="C709" s="100"/>
      <c r="D709" s="100"/>
      <c r="E709" s="100"/>
      <c r="F709" s="100"/>
      <c r="G709" s="138"/>
    </row>
    <row r="710" spans="1:7" ht="12.75" customHeight="1">
      <c r="A710" s="102"/>
      <c r="B710" s="103"/>
      <c r="C710" s="103" t="s">
        <v>179</v>
      </c>
      <c r="D710" s="134">
        <v>7</v>
      </c>
      <c r="E710" s="103" t="s">
        <v>180</v>
      </c>
      <c r="F710" s="103" t="s">
        <v>262</v>
      </c>
      <c r="G710" s="419"/>
    </row>
    <row r="711" spans="1:7" ht="12.75" customHeight="1">
      <c r="A711" s="1" t="s">
        <v>182</v>
      </c>
      <c r="B711" s="1"/>
      <c r="C711" s="1"/>
      <c r="D711" s="1"/>
      <c r="E711" s="1"/>
      <c r="F711" s="1"/>
      <c r="G711" s="420"/>
    </row>
    <row r="712" spans="1:7" ht="12.75" customHeight="1">
      <c r="A712" s="106" t="s">
        <v>111</v>
      </c>
      <c r="B712" s="107" t="s">
        <v>183</v>
      </c>
      <c r="C712" s="106" t="s">
        <v>184</v>
      </c>
      <c r="D712" s="107" t="s">
        <v>185</v>
      </c>
      <c r="E712" s="106" t="s">
        <v>186</v>
      </c>
      <c r="F712" s="108"/>
      <c r="G712" s="421"/>
    </row>
    <row r="713" spans="1:7" ht="12.75" customHeight="1">
      <c r="A713" s="110" t="s">
        <v>187</v>
      </c>
      <c r="B713" s="100"/>
      <c r="C713" s="110"/>
      <c r="D713" s="100"/>
      <c r="E713" s="111">
        <f t="shared" si="1"/>
        <v>2526.5625</v>
      </c>
      <c r="F713" s="112"/>
      <c r="G713" s="422"/>
    </row>
    <row r="714" spans="1:7" ht="12.75" customHeight="1">
      <c r="A714" s="110"/>
      <c r="B714" s="110"/>
      <c r="C714" s="110"/>
      <c r="D714" s="110"/>
      <c r="E714" s="101"/>
      <c r="F714" s="112"/>
      <c r="G714" s="422"/>
    </row>
    <row r="715" spans="1:7" ht="12.75" customHeight="1">
      <c r="A715" s="110"/>
      <c r="B715" s="110"/>
      <c r="C715" s="110"/>
      <c r="D715" s="110"/>
      <c r="E715" s="101"/>
      <c r="F715" s="112"/>
      <c r="G715" s="422"/>
    </row>
    <row r="716" spans="1:7" ht="12.75" customHeight="1">
      <c r="A716" s="110"/>
      <c r="B716" s="110"/>
      <c r="C716" s="110"/>
      <c r="D716" s="110"/>
      <c r="E716" s="101"/>
      <c r="F716" s="102" t="s">
        <v>189</v>
      </c>
      <c r="G716" s="419">
        <f t="shared" si="2"/>
        <v>2526.5625</v>
      </c>
    </row>
    <row r="717" spans="1:7" ht="12.75" customHeight="1">
      <c r="A717" s="1" t="s">
        <v>191</v>
      </c>
      <c r="B717" s="1"/>
      <c r="C717" s="1"/>
      <c r="D717" s="1"/>
      <c r="E717" s="1"/>
      <c r="F717" s="1"/>
      <c r="G717" s="420"/>
    </row>
    <row r="718" spans="1:7" ht="12.75" customHeight="1">
      <c r="A718" s="115" t="s">
        <v>111</v>
      </c>
      <c r="B718" s="106" t="s">
        <v>193</v>
      </c>
      <c r="C718" s="80" t="s">
        <v>194</v>
      </c>
      <c r="D718" s="106" t="s">
        <v>195</v>
      </c>
      <c r="E718" s="81" t="s">
        <v>186</v>
      </c>
      <c r="F718" s="108"/>
      <c r="G718" s="421"/>
    </row>
    <row r="719" spans="1:7" ht="12.75" customHeight="1">
      <c r="A719" s="110" t="s">
        <v>414</v>
      </c>
      <c r="B719" s="106" t="s">
        <v>193</v>
      </c>
      <c r="C719" s="111">
        <f>(18950*1.19)</f>
        <v>22550.5</v>
      </c>
      <c r="D719" s="110">
        <v>1</v>
      </c>
      <c r="E719" s="119">
        <f t="shared" si="14"/>
        <v>22550.5</v>
      </c>
      <c r="F719" s="112"/>
      <c r="G719" s="422"/>
    </row>
    <row r="720" spans="1:7" ht="12.75" customHeight="1">
      <c r="A720" s="63" t="s">
        <v>349</v>
      </c>
      <c r="B720" s="123" t="s">
        <v>220</v>
      </c>
      <c r="C720" s="63">
        <v>1500</v>
      </c>
      <c r="D720" s="63">
        <v>1</v>
      </c>
      <c r="E720" s="119">
        <f t="shared" si="14"/>
        <v>1500</v>
      </c>
      <c r="F720" s="112"/>
      <c r="G720" s="422"/>
    </row>
    <row r="721" spans="1:7" ht="12.75" customHeight="1">
      <c r="A721" s="110"/>
      <c r="B721" s="106"/>
      <c r="C721" s="110"/>
      <c r="D721" s="110"/>
      <c r="E721" s="101"/>
      <c r="F721" s="112"/>
      <c r="G721" s="422"/>
    </row>
    <row r="722" spans="1:7" ht="12.75" customHeight="1">
      <c r="A722" s="63"/>
      <c r="B722" s="63"/>
      <c r="C722" s="63"/>
      <c r="D722" s="63"/>
      <c r="E722" s="101"/>
      <c r="F722" s="112"/>
      <c r="G722" s="422"/>
    </row>
    <row r="723" spans="1:7" ht="12.75" customHeight="1">
      <c r="A723" s="110"/>
      <c r="B723" s="110"/>
      <c r="C723" s="110"/>
      <c r="D723" s="110"/>
      <c r="E723" s="101"/>
      <c r="F723" s="112"/>
      <c r="G723" s="422"/>
    </row>
    <row r="724" spans="1:7" ht="12.75" customHeight="1">
      <c r="A724" s="110"/>
      <c r="B724" s="110"/>
      <c r="C724" s="110"/>
      <c r="D724" s="110"/>
      <c r="E724" s="101"/>
      <c r="F724" s="112"/>
      <c r="G724" s="422"/>
    </row>
    <row r="725" spans="1:7" ht="12.75" customHeight="1">
      <c r="A725" s="116"/>
      <c r="B725" s="116"/>
      <c r="C725" s="116"/>
      <c r="D725" s="116"/>
      <c r="E725" s="101"/>
      <c r="F725" s="102" t="s">
        <v>189</v>
      </c>
      <c r="G725" s="419">
        <f t="shared" si="5"/>
        <v>24050.5</v>
      </c>
    </row>
    <row r="726" spans="1:7" ht="12.75" customHeight="1">
      <c r="A726" s="1" t="s">
        <v>197</v>
      </c>
      <c r="B726" s="1"/>
      <c r="C726" s="1"/>
      <c r="D726" s="1"/>
      <c r="E726" s="1"/>
      <c r="F726" s="1"/>
      <c r="G726" s="420"/>
    </row>
    <row r="727" spans="1:7" ht="12.75" customHeight="1">
      <c r="A727" s="117" t="s">
        <v>198</v>
      </c>
      <c r="B727" s="117" t="s">
        <v>199</v>
      </c>
      <c r="C727" s="117" t="s">
        <v>200</v>
      </c>
      <c r="D727" s="117" t="s">
        <v>201</v>
      </c>
      <c r="E727" s="81" t="s">
        <v>186</v>
      </c>
      <c r="F727" s="108"/>
      <c r="G727" s="421"/>
    </row>
    <row r="728" spans="1:7" ht="12.75" customHeight="1">
      <c r="A728" s="110" t="s">
        <v>243</v>
      </c>
      <c r="B728" s="110"/>
      <c r="C728" s="110"/>
      <c r="D728" s="110"/>
      <c r="E728" s="101">
        <v>4000</v>
      </c>
      <c r="F728" s="112"/>
      <c r="G728" s="422"/>
    </row>
    <row r="729" spans="1:7" ht="12.75" customHeight="1">
      <c r="A729" s="63"/>
      <c r="B729" s="63"/>
      <c r="C729" s="63"/>
      <c r="D729" s="63"/>
      <c r="E729" s="113"/>
      <c r="F729" s="112"/>
      <c r="G729" s="422"/>
    </row>
    <row r="730" spans="1:7" ht="12.75" customHeight="1">
      <c r="A730" s="110"/>
      <c r="B730" s="110"/>
      <c r="C730" s="110"/>
      <c r="D730" s="110"/>
      <c r="E730" s="101"/>
      <c r="F730" s="112"/>
      <c r="G730" s="422"/>
    </row>
    <row r="731" spans="1:7" ht="12.75" customHeight="1">
      <c r="A731" s="110"/>
      <c r="B731" s="110"/>
      <c r="C731" s="110"/>
      <c r="D731" s="110"/>
      <c r="E731" s="101"/>
      <c r="F731" s="112"/>
      <c r="G731" s="422"/>
    </row>
    <row r="732" spans="1:7" ht="12.75" customHeight="1">
      <c r="A732" s="116"/>
      <c r="B732" s="116"/>
      <c r="C732" s="116"/>
      <c r="D732" s="116"/>
      <c r="E732" s="105"/>
      <c r="F732" s="102" t="s">
        <v>189</v>
      </c>
      <c r="G732" s="419">
        <f t="shared" si="6"/>
        <v>4000</v>
      </c>
    </row>
    <row r="733" spans="1:7" ht="12.75" customHeight="1">
      <c r="A733" s="1" t="s">
        <v>202</v>
      </c>
      <c r="B733" s="1"/>
      <c r="C733" s="1"/>
      <c r="D733" s="1"/>
      <c r="E733" s="1"/>
      <c r="F733" s="1"/>
      <c r="G733" s="420"/>
    </row>
    <row r="734" spans="1:7" ht="12.75" customHeight="1">
      <c r="A734" s="117" t="s">
        <v>203</v>
      </c>
      <c r="B734" s="80" t="s">
        <v>204</v>
      </c>
      <c r="C734" s="117" t="s">
        <v>205</v>
      </c>
      <c r="D734" s="80" t="s">
        <v>206</v>
      </c>
      <c r="E734" s="117" t="s">
        <v>207</v>
      </c>
      <c r="F734" s="80" t="s">
        <v>208</v>
      </c>
      <c r="G734" s="423"/>
    </row>
    <row r="735" spans="1:7" ht="12.75" customHeight="1">
      <c r="A735" s="110" t="s">
        <v>188</v>
      </c>
      <c r="B735" s="100">
        <f t="shared" ref="B735:B736" si="30">+B32</f>
        <v>140000</v>
      </c>
      <c r="C735" s="110">
        <f t="shared" si="7"/>
        <v>105000</v>
      </c>
      <c r="D735" s="100">
        <f t="shared" si="8"/>
        <v>245000</v>
      </c>
      <c r="E735" s="110">
        <v>8</v>
      </c>
      <c r="F735" s="119">
        <f t="shared" si="22"/>
        <v>30625</v>
      </c>
      <c r="G735" s="424"/>
    </row>
    <row r="736" spans="1:7" ht="12.75" customHeight="1">
      <c r="A736" s="63" t="s">
        <v>307</v>
      </c>
      <c r="B736" s="100">
        <f t="shared" si="30"/>
        <v>91000</v>
      </c>
      <c r="C736" s="111">
        <f t="shared" si="7"/>
        <v>68250</v>
      </c>
      <c r="D736" s="120">
        <f t="shared" si="8"/>
        <v>159250</v>
      </c>
      <c r="E736" s="110">
        <v>8</v>
      </c>
      <c r="F736" s="119">
        <f t="shared" si="22"/>
        <v>19906.25</v>
      </c>
      <c r="G736" s="424"/>
    </row>
    <row r="737" spans="1:7" ht="12.75" customHeight="1">
      <c r="A737" s="110"/>
      <c r="B737" s="100"/>
      <c r="C737" s="110"/>
      <c r="D737" s="100"/>
      <c r="E737" s="110"/>
      <c r="F737" s="101"/>
      <c r="G737" s="424"/>
    </row>
    <row r="738" spans="1:7" ht="12.75" customHeight="1">
      <c r="A738" s="63"/>
      <c r="B738" s="1"/>
      <c r="C738" s="63"/>
      <c r="D738" s="1"/>
      <c r="E738" s="63"/>
      <c r="F738" s="101"/>
      <c r="G738" s="424"/>
    </row>
    <row r="739" spans="1:7" ht="12.75" customHeight="1">
      <c r="A739" s="110"/>
      <c r="B739" s="100"/>
      <c r="C739" s="110"/>
      <c r="D739" s="100"/>
      <c r="E739" s="110"/>
      <c r="F739" s="101"/>
      <c r="G739" s="424"/>
    </row>
    <row r="740" spans="1:7" ht="12.75" customHeight="1">
      <c r="A740" s="116"/>
      <c r="B740" s="103"/>
      <c r="C740" s="116"/>
      <c r="D740" s="103"/>
      <c r="E740" s="116"/>
      <c r="F740" s="101"/>
      <c r="G740" s="425"/>
    </row>
    <row r="741" spans="1:7" ht="12.75" customHeight="1">
      <c r="A741" s="1"/>
      <c r="B741" s="1"/>
      <c r="C741" s="1"/>
      <c r="D741" s="1"/>
      <c r="E741" s="1"/>
      <c r="F741" s="1" t="s">
        <v>189</v>
      </c>
      <c r="G741" s="225">
        <f t="shared" si="10"/>
        <v>50531.25</v>
      </c>
    </row>
    <row r="742" spans="1:7" ht="12.75" customHeight="1">
      <c r="A742" s="1"/>
      <c r="B742" s="1"/>
      <c r="C742" s="1"/>
      <c r="D742" s="1"/>
      <c r="E742" s="1"/>
      <c r="F742" s="1"/>
      <c r="G742" s="420"/>
    </row>
    <row r="743" spans="1:7" ht="12.75" customHeight="1">
      <c r="A743" s="103" t="s">
        <v>209</v>
      </c>
      <c r="B743" s="1"/>
      <c r="C743" s="1" t="s">
        <v>210</v>
      </c>
      <c r="D743" s="1" t="s">
        <v>211</v>
      </c>
      <c r="E743" s="1"/>
      <c r="F743" s="1"/>
      <c r="G743" s="225">
        <f t="shared" si="11"/>
        <v>81108.3125</v>
      </c>
    </row>
    <row r="744" spans="1:7" ht="12.75" customHeight="1">
      <c r="A744" s="1"/>
      <c r="B744" s="1"/>
      <c r="C744" s="1"/>
      <c r="D744" s="1"/>
      <c r="E744" s="1"/>
      <c r="F744" s="1"/>
      <c r="G744" s="420"/>
    </row>
    <row r="745" spans="1:7" ht="12.75" customHeight="1">
      <c r="A745" s="1"/>
      <c r="B745" s="1"/>
      <c r="C745" s="1"/>
      <c r="D745" s="1"/>
      <c r="E745" s="1" t="s">
        <v>212</v>
      </c>
      <c r="F745" s="1"/>
      <c r="G745" s="225">
        <f t="shared" si="12"/>
        <v>24332.493749999998</v>
      </c>
    </row>
    <row r="746" spans="1:7" ht="12.75" customHeight="1">
      <c r="A746" s="1"/>
      <c r="B746" s="1"/>
      <c r="C746" s="1"/>
      <c r="D746" s="1"/>
      <c r="E746" s="1"/>
      <c r="F746" s="1"/>
      <c r="G746" s="420"/>
    </row>
    <row r="747" spans="1:7" ht="12.75" customHeight="1">
      <c r="A747" s="103" t="s">
        <v>213</v>
      </c>
      <c r="B747" s="1"/>
      <c r="C747" s="1"/>
      <c r="D747" s="1" t="s">
        <v>214</v>
      </c>
      <c r="E747" s="1"/>
      <c r="F747" s="1"/>
      <c r="G747" s="225">
        <f t="shared" si="13"/>
        <v>105440.80624999999</v>
      </c>
    </row>
    <row r="748" spans="1:7" ht="15" customHeight="1">
      <c r="A748" s="468" t="s">
        <v>174</v>
      </c>
      <c r="B748" s="457"/>
      <c r="C748" s="457"/>
      <c r="D748" s="457"/>
      <c r="E748" s="457"/>
      <c r="F748" s="457"/>
      <c r="G748" s="457"/>
    </row>
    <row r="749" spans="1:7" ht="12.75" customHeight="1">
      <c r="A749" s="77"/>
      <c r="B749" s="77"/>
      <c r="C749" s="77"/>
      <c r="D749" s="77"/>
      <c r="E749" s="77"/>
      <c r="F749" s="77"/>
      <c r="G749" s="420"/>
    </row>
    <row r="750" spans="1:7" ht="12.75" customHeight="1">
      <c r="A750" s="1"/>
      <c r="B750" s="1"/>
      <c r="C750" s="1"/>
      <c r="D750" s="1"/>
      <c r="E750" s="1"/>
      <c r="F750" s="1"/>
      <c r="G750" s="420"/>
    </row>
    <row r="751" spans="1:7" ht="12.75" customHeight="1">
      <c r="A751" s="1" t="s">
        <v>175</v>
      </c>
      <c r="B751" s="1"/>
      <c r="C751" s="1"/>
      <c r="D751" s="94"/>
      <c r="E751" s="94"/>
      <c r="F751" s="94"/>
      <c r="G751" s="414"/>
    </row>
    <row r="752" spans="1:7" ht="12.75" customHeight="1">
      <c r="A752" s="1" t="s">
        <v>368</v>
      </c>
      <c r="B752" s="1"/>
      <c r="C752" s="1"/>
      <c r="D752" s="1"/>
      <c r="F752" s="95" t="s">
        <v>177</v>
      </c>
      <c r="G752" s="415">
        <f t="shared" ca="1" si="0"/>
        <v>46289</v>
      </c>
    </row>
    <row r="753" spans="1:7" ht="12.75" customHeight="1">
      <c r="A753" s="1"/>
      <c r="B753" s="1"/>
      <c r="C753" s="1"/>
      <c r="D753" s="1"/>
      <c r="E753" s="1"/>
      <c r="F753" s="1"/>
      <c r="G753" s="420"/>
    </row>
    <row r="754" spans="1:7" ht="12.75" customHeight="1">
      <c r="A754" s="99" t="s">
        <v>415</v>
      </c>
      <c r="B754" s="100" t="s">
        <v>323</v>
      </c>
      <c r="C754" s="100"/>
      <c r="D754" s="100"/>
      <c r="E754" s="100"/>
      <c r="F754" s="100"/>
      <c r="G754" s="138"/>
    </row>
    <row r="755" spans="1:7" ht="12.75" customHeight="1">
      <c r="A755" s="102"/>
      <c r="B755" s="103"/>
      <c r="C755" s="103" t="s">
        <v>179</v>
      </c>
      <c r="D755" s="126">
        <v>1</v>
      </c>
      <c r="E755" s="103" t="s">
        <v>180</v>
      </c>
      <c r="F755" s="103" t="s">
        <v>262</v>
      </c>
      <c r="G755" s="419"/>
    </row>
    <row r="756" spans="1:7" ht="12.75" customHeight="1">
      <c r="A756" s="1"/>
      <c r="B756" s="1"/>
      <c r="C756" s="1"/>
      <c r="D756" s="1"/>
      <c r="E756" s="1"/>
      <c r="F756" s="1"/>
      <c r="G756" s="420"/>
    </row>
    <row r="757" spans="1:7" ht="12.75" customHeight="1">
      <c r="A757" s="1" t="s">
        <v>182</v>
      </c>
      <c r="B757" s="1"/>
      <c r="C757" s="1"/>
      <c r="D757" s="1"/>
      <c r="E757" s="1"/>
      <c r="F757" s="1"/>
      <c r="G757" s="420"/>
    </row>
    <row r="758" spans="1:7" ht="12.75" customHeight="1">
      <c r="A758" s="106" t="s">
        <v>111</v>
      </c>
      <c r="B758" s="107" t="s">
        <v>183</v>
      </c>
      <c r="C758" s="106" t="s">
        <v>184</v>
      </c>
      <c r="D758" s="107" t="s">
        <v>185</v>
      </c>
      <c r="E758" s="106" t="s">
        <v>186</v>
      </c>
      <c r="F758" s="108"/>
      <c r="G758" s="421"/>
    </row>
    <row r="759" spans="1:7" ht="12.75" customHeight="1">
      <c r="A759" s="110" t="s">
        <v>187</v>
      </c>
      <c r="B759" s="100"/>
      <c r="C759" s="110"/>
      <c r="D759" s="100"/>
      <c r="E759" s="111">
        <f t="shared" si="1"/>
        <v>6737.5</v>
      </c>
      <c r="F759" s="112"/>
      <c r="G759" s="422"/>
    </row>
    <row r="760" spans="1:7" ht="12.75" customHeight="1">
      <c r="A760" s="110"/>
      <c r="B760" s="110"/>
      <c r="C760" s="110"/>
      <c r="D760" s="110"/>
      <c r="E760" s="101"/>
      <c r="F760" s="112"/>
      <c r="G760" s="422"/>
    </row>
    <row r="761" spans="1:7" ht="12.75" customHeight="1">
      <c r="A761" s="110"/>
      <c r="B761" s="110"/>
      <c r="C761" s="110"/>
      <c r="D761" s="110"/>
      <c r="E761" s="101"/>
      <c r="F761" s="112"/>
      <c r="G761" s="422"/>
    </row>
    <row r="762" spans="1:7" ht="12.75" customHeight="1">
      <c r="A762" s="110"/>
      <c r="B762" s="110"/>
      <c r="C762" s="110"/>
      <c r="D762" s="110"/>
      <c r="E762" s="101"/>
      <c r="F762" s="102" t="s">
        <v>189</v>
      </c>
      <c r="G762" s="419">
        <f t="shared" si="20"/>
        <v>6737.5</v>
      </c>
    </row>
    <row r="763" spans="1:7" ht="12.75" customHeight="1">
      <c r="A763" s="1"/>
      <c r="B763" s="1"/>
      <c r="C763" s="1"/>
      <c r="D763" s="1"/>
      <c r="E763" s="1"/>
      <c r="F763" s="1"/>
      <c r="G763" s="420"/>
    </row>
    <row r="764" spans="1:7" ht="12.75" customHeight="1">
      <c r="A764" s="1" t="s">
        <v>191</v>
      </c>
      <c r="B764" s="1"/>
      <c r="C764" s="1"/>
      <c r="D764" s="1"/>
      <c r="E764" s="1"/>
      <c r="F764" s="1"/>
      <c r="G764" s="420"/>
    </row>
    <row r="765" spans="1:7" ht="12.75" customHeight="1">
      <c r="A765" s="115" t="s">
        <v>111</v>
      </c>
      <c r="B765" s="106" t="s">
        <v>193</v>
      </c>
      <c r="C765" s="80" t="s">
        <v>194</v>
      </c>
      <c r="D765" s="106" t="s">
        <v>195</v>
      </c>
      <c r="E765" s="81" t="s">
        <v>186</v>
      </c>
      <c r="F765" s="108"/>
      <c r="G765" s="421"/>
    </row>
    <row r="766" spans="1:7" ht="12.75" customHeight="1">
      <c r="A766" s="110" t="s">
        <v>324</v>
      </c>
      <c r="B766" s="106" t="s">
        <v>193</v>
      </c>
      <c r="C766" s="111">
        <f>(505000*1.19)</f>
        <v>600950</v>
      </c>
      <c r="D766" s="110">
        <v>1</v>
      </c>
      <c r="E766" s="119">
        <f t="shared" si="14"/>
        <v>600950</v>
      </c>
      <c r="F766" s="112"/>
      <c r="G766" s="422"/>
    </row>
    <row r="767" spans="1:7" ht="12.75" customHeight="1">
      <c r="A767" s="63" t="s">
        <v>325</v>
      </c>
      <c r="B767" s="123" t="s">
        <v>193</v>
      </c>
      <c r="C767" s="125">
        <v>750</v>
      </c>
      <c r="D767" s="63">
        <v>1</v>
      </c>
      <c r="E767" s="119">
        <f t="shared" si="14"/>
        <v>750</v>
      </c>
      <c r="F767" s="112"/>
      <c r="G767" s="422"/>
    </row>
    <row r="768" spans="1:7" ht="12.75" customHeight="1">
      <c r="A768" s="110"/>
      <c r="B768" s="110"/>
      <c r="C768" s="110"/>
      <c r="D768" s="110"/>
      <c r="E768" s="101"/>
      <c r="F768" s="112"/>
      <c r="G768" s="422"/>
    </row>
    <row r="769" spans="1:7" ht="12.75" customHeight="1">
      <c r="A769" s="116"/>
      <c r="B769" s="116"/>
      <c r="C769" s="116"/>
      <c r="D769" s="116"/>
      <c r="E769" s="101"/>
      <c r="F769" s="102" t="s">
        <v>189</v>
      </c>
      <c r="G769" s="419">
        <f>+E766+E767</f>
        <v>601700</v>
      </c>
    </row>
    <row r="770" spans="1:7" ht="12.75" customHeight="1">
      <c r="A770" s="1"/>
      <c r="B770" s="1"/>
      <c r="C770" s="1"/>
      <c r="D770" s="1"/>
      <c r="E770" s="1"/>
      <c r="F770" s="1"/>
      <c r="G770" s="420"/>
    </row>
    <row r="771" spans="1:7" ht="12.75" customHeight="1">
      <c r="A771" s="1" t="s">
        <v>197</v>
      </c>
      <c r="B771" s="1"/>
      <c r="C771" s="1"/>
      <c r="D771" s="1"/>
      <c r="E771" s="1"/>
      <c r="F771" s="1"/>
      <c r="G771" s="420"/>
    </row>
    <row r="772" spans="1:7" ht="12.75" customHeight="1">
      <c r="A772" s="117" t="s">
        <v>198</v>
      </c>
      <c r="B772" s="117" t="s">
        <v>199</v>
      </c>
      <c r="C772" s="117" t="s">
        <v>200</v>
      </c>
      <c r="D772" s="117" t="s">
        <v>201</v>
      </c>
      <c r="E772" s="81" t="s">
        <v>186</v>
      </c>
      <c r="F772" s="108"/>
      <c r="G772" s="421"/>
    </row>
    <row r="773" spans="1:7" ht="12.75" customHeight="1">
      <c r="A773" s="110" t="s">
        <v>243</v>
      </c>
      <c r="B773" s="110"/>
      <c r="C773" s="110"/>
      <c r="D773" s="110"/>
      <c r="E773" s="101">
        <v>60000</v>
      </c>
      <c r="F773" s="112"/>
      <c r="G773" s="422"/>
    </row>
    <row r="774" spans="1:7" ht="12.75" customHeight="1">
      <c r="A774" s="63"/>
      <c r="B774" s="63"/>
      <c r="C774" s="63"/>
      <c r="D774" s="63"/>
      <c r="E774" s="113"/>
      <c r="F774" s="112"/>
      <c r="G774" s="422"/>
    </row>
    <row r="775" spans="1:7" ht="12.75" customHeight="1">
      <c r="A775" s="110"/>
      <c r="B775" s="110"/>
      <c r="C775" s="110"/>
      <c r="D775" s="110"/>
      <c r="E775" s="101"/>
      <c r="F775" s="112"/>
      <c r="G775" s="422"/>
    </row>
    <row r="776" spans="1:7" ht="12.75" customHeight="1">
      <c r="A776" s="116"/>
      <c r="B776" s="116"/>
      <c r="C776" s="116"/>
      <c r="D776" s="116"/>
      <c r="E776" s="105"/>
      <c r="F776" s="102" t="s">
        <v>189</v>
      </c>
      <c r="G776" s="419">
        <f t="shared" si="20"/>
        <v>60000</v>
      </c>
    </row>
    <row r="777" spans="1:7" ht="12.75" customHeight="1">
      <c r="A777" s="1"/>
      <c r="B777" s="1"/>
      <c r="C777" s="1"/>
      <c r="D777" s="1"/>
      <c r="E777" s="1"/>
      <c r="F777" s="1"/>
      <c r="G777" s="420"/>
    </row>
    <row r="778" spans="1:7" ht="12.75" customHeight="1">
      <c r="A778" s="1" t="s">
        <v>202</v>
      </c>
      <c r="B778" s="1"/>
      <c r="C778" s="1"/>
      <c r="D778" s="1"/>
      <c r="E778" s="1"/>
      <c r="F778" s="1"/>
      <c r="G778" s="420"/>
    </row>
    <row r="779" spans="1:7" ht="12.75" customHeight="1">
      <c r="A779" s="117" t="s">
        <v>203</v>
      </c>
      <c r="B779" s="80" t="s">
        <v>204</v>
      </c>
      <c r="C779" s="117" t="s">
        <v>205</v>
      </c>
      <c r="D779" s="80" t="s">
        <v>206</v>
      </c>
      <c r="E779" s="117" t="s">
        <v>207</v>
      </c>
      <c r="F779" s="80" t="s">
        <v>208</v>
      </c>
      <c r="G779" s="423"/>
    </row>
    <row r="780" spans="1:7" ht="12.75" customHeight="1">
      <c r="A780" s="110" t="s">
        <v>188</v>
      </c>
      <c r="B780" s="100">
        <f t="shared" ref="B780:B781" si="31">+B32</f>
        <v>140000</v>
      </c>
      <c r="C780" s="110">
        <f t="shared" si="7"/>
        <v>105000</v>
      </c>
      <c r="D780" s="100">
        <f t="shared" si="8"/>
        <v>245000</v>
      </c>
      <c r="E780" s="110">
        <v>3</v>
      </c>
      <c r="F780" s="119">
        <f t="shared" si="22"/>
        <v>81666.666666666672</v>
      </c>
      <c r="G780" s="424"/>
    </row>
    <row r="781" spans="1:7" ht="12.75" customHeight="1">
      <c r="A781" s="63" t="s">
        <v>190</v>
      </c>
      <c r="B781" s="100">
        <f t="shared" si="31"/>
        <v>91000</v>
      </c>
      <c r="C781" s="111">
        <f t="shared" si="7"/>
        <v>68250</v>
      </c>
      <c r="D781" s="120">
        <f t="shared" si="8"/>
        <v>159250</v>
      </c>
      <c r="E781" s="110">
        <v>3</v>
      </c>
      <c r="F781" s="119">
        <f t="shared" si="22"/>
        <v>53083.333333333336</v>
      </c>
      <c r="G781" s="424"/>
    </row>
    <row r="782" spans="1:7" ht="12.75" customHeight="1">
      <c r="A782" s="110"/>
      <c r="B782" s="100"/>
      <c r="C782" s="110"/>
      <c r="D782" s="100"/>
      <c r="E782" s="110"/>
      <c r="F782" s="101"/>
      <c r="G782" s="424"/>
    </row>
    <row r="783" spans="1:7" ht="12.75" customHeight="1">
      <c r="A783" s="63"/>
      <c r="B783" s="1"/>
      <c r="C783" s="63"/>
      <c r="D783" s="1"/>
      <c r="E783" s="63"/>
      <c r="F783" s="101"/>
      <c r="G783" s="424"/>
    </row>
    <row r="784" spans="1:7" ht="12.75" customHeight="1">
      <c r="A784" s="110"/>
      <c r="B784" s="100"/>
      <c r="C784" s="110"/>
      <c r="D784" s="100"/>
      <c r="E784" s="110"/>
      <c r="F784" s="101"/>
      <c r="G784" s="424"/>
    </row>
    <row r="785" spans="1:7" ht="12.75" customHeight="1">
      <c r="A785" s="116"/>
      <c r="B785" s="103"/>
      <c r="C785" s="116"/>
      <c r="D785" s="103"/>
      <c r="E785" s="116"/>
      <c r="F785" s="101"/>
      <c r="G785" s="425"/>
    </row>
    <row r="786" spans="1:7" ht="12.75" customHeight="1">
      <c r="A786" s="1"/>
      <c r="B786" s="1"/>
      <c r="C786" s="1"/>
      <c r="D786" s="1"/>
      <c r="E786" s="1"/>
      <c r="F786" s="1"/>
      <c r="G786" s="420"/>
    </row>
    <row r="787" spans="1:7" ht="12.75" customHeight="1">
      <c r="A787" s="1"/>
      <c r="B787" s="1"/>
      <c r="C787" s="1"/>
      <c r="D787" s="1"/>
      <c r="E787" s="1"/>
      <c r="F787" s="1" t="s">
        <v>189</v>
      </c>
      <c r="G787" s="225">
        <f>+F780+F781</f>
        <v>134750</v>
      </c>
    </row>
    <row r="788" spans="1:7" ht="12.75" customHeight="1">
      <c r="A788" s="1"/>
      <c r="B788" s="1"/>
      <c r="C788" s="1"/>
      <c r="D788" s="1"/>
      <c r="E788" s="1"/>
      <c r="F788" s="1"/>
      <c r="G788" s="420"/>
    </row>
    <row r="789" spans="1:7" ht="12.75" customHeight="1">
      <c r="A789" s="103" t="s">
        <v>209</v>
      </c>
      <c r="B789" s="1"/>
      <c r="C789" s="1" t="s">
        <v>210</v>
      </c>
      <c r="D789" s="473" t="s">
        <v>211</v>
      </c>
      <c r="E789" s="457"/>
      <c r="F789" s="457"/>
      <c r="G789" s="225">
        <f>G762+G769+G776+G787</f>
        <v>803187.5</v>
      </c>
    </row>
    <row r="790" spans="1:7" ht="12.75" customHeight="1">
      <c r="A790" s="1"/>
      <c r="B790" s="1"/>
      <c r="C790" s="1"/>
      <c r="D790" s="1"/>
      <c r="E790" s="1" t="s">
        <v>212</v>
      </c>
      <c r="F790" s="1"/>
      <c r="G790" s="225">
        <f>0.3*G789</f>
        <v>240956.25</v>
      </c>
    </row>
    <row r="791" spans="1:7" ht="12.75" customHeight="1">
      <c r="A791" s="103" t="s">
        <v>213</v>
      </c>
      <c r="B791" s="1"/>
      <c r="C791" s="1"/>
      <c r="D791" s="473" t="s">
        <v>214</v>
      </c>
      <c r="E791" s="457"/>
      <c r="F791" s="457"/>
      <c r="G791" s="225">
        <f>G789+G790</f>
        <v>1044143.75</v>
      </c>
    </row>
    <row r="792" spans="1:7" ht="15" customHeight="1">
      <c r="A792" s="468" t="s">
        <v>174</v>
      </c>
      <c r="B792" s="457"/>
      <c r="C792" s="457"/>
      <c r="D792" s="457"/>
      <c r="E792" s="457"/>
      <c r="F792" s="457"/>
      <c r="G792" s="457"/>
    </row>
    <row r="793" spans="1:7" ht="12.75" customHeight="1"/>
    <row r="794" spans="1:7" ht="12.75" customHeight="1">
      <c r="A794" s="1" t="s">
        <v>175</v>
      </c>
      <c r="B794" s="1"/>
      <c r="C794" s="1"/>
      <c r="D794" s="94"/>
      <c r="E794" s="94"/>
      <c r="F794" s="94"/>
      <c r="G794" s="414"/>
    </row>
    <row r="795" spans="1:7" ht="12.75" customHeight="1">
      <c r="A795" s="1" t="s">
        <v>368</v>
      </c>
      <c r="B795" s="1"/>
      <c r="C795" s="1"/>
      <c r="D795" s="1"/>
      <c r="F795" s="95" t="s">
        <v>177</v>
      </c>
      <c r="G795" s="415">
        <f t="shared" ca="1" si="0"/>
        <v>46289</v>
      </c>
    </row>
    <row r="796" spans="1:7" ht="12.75" customHeight="1">
      <c r="A796" s="1"/>
      <c r="B796" s="1"/>
      <c r="C796" s="1"/>
      <c r="D796" s="1"/>
      <c r="E796" s="1"/>
      <c r="F796" s="1"/>
      <c r="G796" s="420"/>
    </row>
    <row r="797" spans="1:7" ht="13.5" customHeight="1">
      <c r="A797" s="99" t="s">
        <v>416</v>
      </c>
      <c r="B797" s="100" t="s">
        <v>417</v>
      </c>
      <c r="C797" s="100"/>
      <c r="D797" s="100"/>
      <c r="E797" s="100"/>
      <c r="F797" s="100"/>
      <c r="G797" s="138"/>
    </row>
    <row r="798" spans="1:7" ht="12.75" customHeight="1">
      <c r="A798" s="102"/>
      <c r="B798" s="103"/>
      <c r="C798" s="103" t="s">
        <v>179</v>
      </c>
      <c r="D798" s="126">
        <v>14</v>
      </c>
      <c r="E798" s="103" t="s">
        <v>180</v>
      </c>
      <c r="F798" s="103" t="s">
        <v>262</v>
      </c>
      <c r="G798" s="419"/>
    </row>
    <row r="799" spans="1:7" ht="12.75" customHeight="1">
      <c r="A799" s="1" t="s">
        <v>182</v>
      </c>
      <c r="B799" s="1"/>
      <c r="C799" s="1"/>
      <c r="D799" s="1"/>
      <c r="E799" s="1"/>
      <c r="F799" s="1"/>
      <c r="G799" s="420"/>
    </row>
    <row r="800" spans="1:7" ht="12.75" customHeight="1">
      <c r="A800" s="106" t="s">
        <v>111</v>
      </c>
      <c r="B800" s="107" t="s">
        <v>183</v>
      </c>
      <c r="C800" s="106" t="s">
        <v>184</v>
      </c>
      <c r="D800" s="107" t="s">
        <v>185</v>
      </c>
      <c r="E800" s="106" t="s">
        <v>186</v>
      </c>
      <c r="F800" s="108"/>
      <c r="G800" s="421"/>
    </row>
    <row r="801" spans="1:7" ht="12.75" customHeight="1">
      <c r="A801" s="110" t="s">
        <v>187</v>
      </c>
      <c r="B801" s="100"/>
      <c r="C801" s="110"/>
      <c r="D801" s="100"/>
      <c r="E801" s="111">
        <f t="shared" si="1"/>
        <v>5053.125</v>
      </c>
      <c r="F801" s="112"/>
      <c r="G801" s="422"/>
    </row>
    <row r="802" spans="1:7" ht="12.75" customHeight="1">
      <c r="A802" s="110"/>
      <c r="B802" s="110"/>
      <c r="C802" s="110"/>
      <c r="D802" s="110"/>
      <c r="E802" s="101"/>
      <c r="F802" s="112"/>
      <c r="G802" s="422"/>
    </row>
    <row r="803" spans="1:7" ht="12.75" customHeight="1">
      <c r="A803" s="110"/>
      <c r="B803" s="110"/>
      <c r="C803" s="110"/>
      <c r="D803" s="110"/>
      <c r="E803" s="101"/>
      <c r="F803" s="112"/>
      <c r="G803" s="422"/>
    </row>
    <row r="804" spans="1:7" ht="12.75" customHeight="1">
      <c r="A804" s="110"/>
      <c r="B804" s="110"/>
      <c r="C804" s="110"/>
      <c r="D804" s="110"/>
      <c r="E804" s="101"/>
      <c r="F804" s="102" t="s">
        <v>189</v>
      </c>
      <c r="G804" s="419">
        <f t="shared" si="2"/>
        <v>5053.125</v>
      </c>
    </row>
    <row r="805" spans="1:7" ht="12.75" customHeight="1">
      <c r="A805" s="1" t="s">
        <v>191</v>
      </c>
      <c r="B805" s="1"/>
      <c r="C805" s="1"/>
      <c r="D805" s="1"/>
      <c r="E805" s="1"/>
      <c r="F805" s="1"/>
      <c r="G805" s="420"/>
    </row>
    <row r="806" spans="1:7" ht="12.75" customHeight="1">
      <c r="A806" s="115" t="s">
        <v>111</v>
      </c>
      <c r="B806" s="106" t="s">
        <v>193</v>
      </c>
      <c r="C806" s="80" t="s">
        <v>194</v>
      </c>
      <c r="D806" s="106" t="s">
        <v>195</v>
      </c>
      <c r="E806" s="81" t="s">
        <v>186</v>
      </c>
      <c r="F806" s="108"/>
      <c r="G806" s="421"/>
    </row>
    <row r="807" spans="1:7" ht="12.75" customHeight="1">
      <c r="A807" s="110" t="s">
        <v>333</v>
      </c>
      <c r="B807" s="106" t="s">
        <v>193</v>
      </c>
      <c r="C807" s="133">
        <f>1.19*210212.87</f>
        <v>250153.31529999999</v>
      </c>
      <c r="D807" s="110">
        <v>1</v>
      </c>
      <c r="E807" s="119">
        <f t="shared" ref="E807:E808" si="32">+D807*C807</f>
        <v>250153.31529999999</v>
      </c>
      <c r="F807" s="112"/>
      <c r="G807" s="422"/>
    </row>
    <row r="808" spans="1:7" ht="12.75" customHeight="1">
      <c r="A808" s="110" t="s">
        <v>334</v>
      </c>
      <c r="B808" s="123" t="s">
        <v>193</v>
      </c>
      <c r="C808" s="133">
        <f>7200*1.19</f>
        <v>8568</v>
      </c>
      <c r="D808" s="63">
        <v>2</v>
      </c>
      <c r="E808" s="101">
        <f t="shared" si="32"/>
        <v>17136</v>
      </c>
      <c r="F808" s="112"/>
      <c r="G808" s="422"/>
    </row>
    <row r="809" spans="1:7" ht="12.75" customHeight="1">
      <c r="A809" s="110" t="s">
        <v>330</v>
      </c>
      <c r="B809" s="106" t="s">
        <v>220</v>
      </c>
      <c r="C809" s="110">
        <v>700</v>
      </c>
      <c r="D809" s="110">
        <v>1</v>
      </c>
      <c r="E809" s="119">
        <f t="shared" si="14"/>
        <v>700</v>
      </c>
      <c r="F809" s="112"/>
      <c r="G809" s="422"/>
    </row>
    <row r="810" spans="1:7" ht="12.75" customHeight="1">
      <c r="A810" s="63"/>
      <c r="B810" s="63"/>
      <c r="C810" s="63"/>
      <c r="D810" s="63"/>
      <c r="E810" s="101"/>
      <c r="F810" s="112"/>
      <c r="G810" s="422"/>
    </row>
    <row r="811" spans="1:7" ht="12.75" customHeight="1">
      <c r="A811" s="110"/>
      <c r="B811" s="110"/>
      <c r="C811" s="110"/>
      <c r="D811" s="110"/>
      <c r="E811" s="101"/>
      <c r="F811" s="112"/>
      <c r="G811" s="422"/>
    </row>
    <row r="812" spans="1:7" ht="12.75" customHeight="1">
      <c r="A812" s="110"/>
      <c r="B812" s="110"/>
      <c r="C812" s="110"/>
      <c r="D812" s="110"/>
      <c r="E812" s="101"/>
      <c r="F812" s="112"/>
      <c r="G812" s="422"/>
    </row>
    <row r="813" spans="1:7" ht="12.75" customHeight="1">
      <c r="A813" s="116"/>
      <c r="B813" s="116"/>
      <c r="C813" s="116"/>
      <c r="D813" s="116"/>
      <c r="E813" s="101"/>
      <c r="F813" s="102" t="s">
        <v>189</v>
      </c>
      <c r="G813" s="419">
        <f t="shared" si="5"/>
        <v>267989.31530000002</v>
      </c>
    </row>
    <row r="814" spans="1:7" ht="12.75" customHeight="1">
      <c r="A814" s="1" t="s">
        <v>197</v>
      </c>
      <c r="B814" s="1"/>
      <c r="C814" s="1"/>
      <c r="D814" s="1"/>
      <c r="E814" s="1"/>
      <c r="F814" s="1"/>
      <c r="G814" s="420"/>
    </row>
    <row r="815" spans="1:7" ht="12.75" customHeight="1">
      <c r="A815" s="117" t="s">
        <v>198</v>
      </c>
      <c r="B815" s="117" t="s">
        <v>199</v>
      </c>
      <c r="C815" s="117" t="s">
        <v>200</v>
      </c>
      <c r="D815" s="117" t="s">
        <v>201</v>
      </c>
      <c r="E815" s="81" t="s">
        <v>186</v>
      </c>
      <c r="F815" s="108"/>
      <c r="G815" s="421"/>
    </row>
    <row r="816" spans="1:7" ht="12.75" customHeight="1">
      <c r="A816" s="110" t="s">
        <v>243</v>
      </c>
      <c r="B816" s="110"/>
      <c r="C816" s="110"/>
      <c r="D816" s="110"/>
      <c r="E816" s="101">
        <v>15000</v>
      </c>
      <c r="F816" s="112"/>
      <c r="G816" s="422"/>
    </row>
    <row r="817" spans="1:7" ht="12.75" customHeight="1">
      <c r="A817" s="63"/>
      <c r="B817" s="63"/>
      <c r="C817" s="63"/>
      <c r="D817" s="63"/>
      <c r="E817" s="113"/>
      <c r="F817" s="112"/>
      <c r="G817" s="422"/>
    </row>
    <row r="818" spans="1:7" ht="12.75" customHeight="1">
      <c r="A818" s="110"/>
      <c r="B818" s="110"/>
      <c r="C818" s="110"/>
      <c r="D818" s="110"/>
      <c r="E818" s="101"/>
      <c r="F818" s="112"/>
      <c r="G818" s="422"/>
    </row>
    <row r="819" spans="1:7" ht="12.75" customHeight="1">
      <c r="A819" s="110"/>
      <c r="B819" s="110"/>
      <c r="C819" s="110"/>
      <c r="D819" s="110"/>
      <c r="E819" s="101"/>
      <c r="F819" s="112"/>
      <c r="G819" s="422"/>
    </row>
    <row r="820" spans="1:7" ht="12.75" customHeight="1">
      <c r="A820" s="116"/>
      <c r="B820" s="116"/>
      <c r="C820" s="116"/>
      <c r="D820" s="116"/>
      <c r="E820" s="105"/>
      <c r="F820" s="102" t="s">
        <v>189</v>
      </c>
      <c r="G820" s="419">
        <f t="shared" si="6"/>
        <v>15000</v>
      </c>
    </row>
    <row r="821" spans="1:7" ht="12.75" customHeight="1">
      <c r="A821" s="1" t="s">
        <v>202</v>
      </c>
      <c r="B821" s="1"/>
      <c r="C821" s="1"/>
      <c r="D821" s="1"/>
      <c r="E821" s="1"/>
      <c r="F821" s="1"/>
      <c r="G821" s="420"/>
    </row>
    <row r="822" spans="1:7" ht="12.75" customHeight="1">
      <c r="A822" s="117" t="s">
        <v>203</v>
      </c>
      <c r="B822" s="80" t="s">
        <v>204</v>
      </c>
      <c r="C822" s="117" t="s">
        <v>205</v>
      </c>
      <c r="D822" s="80" t="s">
        <v>206</v>
      </c>
      <c r="E822" s="117" t="s">
        <v>207</v>
      </c>
      <c r="F822" s="80" t="s">
        <v>208</v>
      </c>
      <c r="G822" s="423"/>
    </row>
    <row r="823" spans="1:7" ht="12.75" customHeight="1">
      <c r="A823" s="110" t="s">
        <v>188</v>
      </c>
      <c r="B823" s="100">
        <f t="shared" ref="B823:B824" si="33">+B32</f>
        <v>140000</v>
      </c>
      <c r="C823" s="110">
        <f t="shared" si="7"/>
        <v>105000</v>
      </c>
      <c r="D823" s="100">
        <f t="shared" si="8"/>
        <v>245000</v>
      </c>
      <c r="E823" s="110">
        <v>4</v>
      </c>
      <c r="F823" s="119">
        <f t="shared" si="22"/>
        <v>61250</v>
      </c>
      <c r="G823" s="424"/>
    </row>
    <row r="824" spans="1:7" ht="12.75" customHeight="1">
      <c r="A824" s="63" t="s">
        <v>190</v>
      </c>
      <c r="B824" s="100">
        <f t="shared" si="33"/>
        <v>91000</v>
      </c>
      <c r="C824" s="111">
        <f t="shared" si="7"/>
        <v>68250</v>
      </c>
      <c r="D824" s="120">
        <f t="shared" si="8"/>
        <v>159250</v>
      </c>
      <c r="E824" s="110">
        <v>4</v>
      </c>
      <c r="F824" s="119">
        <f t="shared" si="22"/>
        <v>39812.5</v>
      </c>
      <c r="G824" s="424"/>
    </row>
    <row r="825" spans="1:7" ht="12.75" customHeight="1">
      <c r="A825" s="110"/>
      <c r="B825" s="100"/>
      <c r="C825" s="110"/>
      <c r="D825" s="100"/>
      <c r="E825" s="110"/>
      <c r="F825" s="101"/>
      <c r="G825" s="424"/>
    </row>
    <row r="826" spans="1:7" ht="12.75" customHeight="1">
      <c r="A826" s="63"/>
      <c r="B826" s="1"/>
      <c r="C826" s="63"/>
      <c r="D826" s="1"/>
      <c r="E826" s="63"/>
      <c r="F826" s="101"/>
      <c r="G826" s="424"/>
    </row>
    <row r="827" spans="1:7" ht="12.75" customHeight="1">
      <c r="A827" s="110"/>
      <c r="B827" s="100"/>
      <c r="C827" s="110"/>
      <c r="D827" s="100"/>
      <c r="E827" s="110"/>
      <c r="F827" s="101"/>
      <c r="G827" s="424"/>
    </row>
    <row r="828" spans="1:7" ht="12.75" customHeight="1">
      <c r="A828" s="116"/>
      <c r="B828" s="103"/>
      <c r="C828" s="116"/>
      <c r="D828" s="103"/>
      <c r="E828" s="116"/>
      <c r="F828" s="101"/>
      <c r="G828" s="425"/>
    </row>
    <row r="829" spans="1:7" ht="12.75" customHeight="1">
      <c r="A829" s="1"/>
      <c r="B829" s="1"/>
      <c r="C829" s="1"/>
      <c r="D829" s="1"/>
      <c r="E829" s="1"/>
      <c r="F829" s="1" t="s">
        <v>189</v>
      </c>
      <c r="G829" s="225">
        <f t="shared" si="10"/>
        <v>101062.5</v>
      </c>
    </row>
    <row r="830" spans="1:7" ht="12.75" customHeight="1">
      <c r="A830" s="1"/>
      <c r="B830" s="1"/>
      <c r="C830" s="1"/>
      <c r="D830" s="1"/>
      <c r="E830" s="1"/>
      <c r="F830" s="1"/>
      <c r="G830" s="420"/>
    </row>
    <row r="831" spans="1:7" ht="12.75" customHeight="1">
      <c r="A831" s="103" t="s">
        <v>209</v>
      </c>
      <c r="B831" s="1"/>
      <c r="C831" s="1" t="s">
        <v>210</v>
      </c>
      <c r="D831" s="1" t="s">
        <v>211</v>
      </c>
      <c r="E831" s="1"/>
      <c r="F831" s="1"/>
      <c r="G831" s="225">
        <f t="shared" si="11"/>
        <v>389104.94030000002</v>
      </c>
    </row>
    <row r="832" spans="1:7" ht="12.75" customHeight="1">
      <c r="A832" s="1"/>
      <c r="B832" s="1"/>
      <c r="C832" s="1"/>
      <c r="D832" s="1"/>
      <c r="E832" s="1"/>
      <c r="F832" s="1"/>
      <c r="G832" s="420"/>
    </row>
    <row r="833" spans="1:7" ht="12.75" customHeight="1">
      <c r="A833" s="1"/>
      <c r="B833" s="1"/>
      <c r="C833" s="1"/>
      <c r="D833" s="1"/>
      <c r="E833" s="1" t="s">
        <v>212</v>
      </c>
      <c r="F833" s="1"/>
      <c r="G833" s="225">
        <f t="shared" si="12"/>
        <v>116731.48209</v>
      </c>
    </row>
    <row r="834" spans="1:7" ht="12.75" customHeight="1">
      <c r="A834" s="1"/>
      <c r="B834" s="1"/>
      <c r="C834" s="1"/>
      <c r="D834" s="1"/>
      <c r="E834" s="1"/>
      <c r="F834" s="1"/>
      <c r="G834" s="420"/>
    </row>
    <row r="835" spans="1:7" ht="12.75" customHeight="1">
      <c r="A835" s="103" t="s">
        <v>213</v>
      </c>
      <c r="B835" s="1"/>
      <c r="C835" s="1"/>
      <c r="D835" s="1" t="s">
        <v>214</v>
      </c>
      <c r="E835" s="1"/>
      <c r="F835" s="1"/>
      <c r="G835" s="225">
        <f t="shared" si="13"/>
        <v>505836.42239000002</v>
      </c>
    </row>
    <row r="836" spans="1:7" ht="15" customHeight="1">
      <c r="A836" s="468" t="s">
        <v>174</v>
      </c>
      <c r="B836" s="457"/>
      <c r="C836" s="457"/>
      <c r="D836" s="457"/>
      <c r="E836" s="457"/>
      <c r="F836" s="457"/>
      <c r="G836" s="457"/>
    </row>
    <row r="837" spans="1:7" ht="12.75" customHeight="1" thickBot="1"/>
    <row r="838" spans="1:7" ht="12.75" customHeight="1">
      <c r="A838" s="404" t="s">
        <v>175</v>
      </c>
      <c r="B838" s="405"/>
      <c r="C838" s="405"/>
      <c r="D838" s="428"/>
      <c r="E838" s="428"/>
      <c r="F838" s="428"/>
      <c r="G838" s="429"/>
    </row>
    <row r="839" spans="1:7" ht="12.75" customHeight="1">
      <c r="A839" s="406" t="s">
        <v>368</v>
      </c>
      <c r="B839" s="401"/>
      <c r="C839" s="401"/>
      <c r="D839" s="401"/>
      <c r="E839" s="195"/>
      <c r="F839" s="402" t="s">
        <v>177</v>
      </c>
      <c r="G839" s="430">
        <f t="shared" ca="1" si="0"/>
        <v>46289</v>
      </c>
    </row>
    <row r="840" spans="1:7" ht="12.75" customHeight="1">
      <c r="A840" s="406"/>
      <c r="B840" s="401"/>
      <c r="C840" s="401"/>
      <c r="D840" s="401"/>
      <c r="E840" s="401"/>
      <c r="F840" s="401"/>
      <c r="G840" s="417"/>
    </row>
    <row r="841" spans="1:7" ht="13.5" customHeight="1">
      <c r="A841" s="445" t="s">
        <v>416</v>
      </c>
      <c r="B841" s="401" t="str">
        <f>+Presupuesto!B76</f>
        <v>S.T. I Válvula de Bola / Compuerta   Ø1 " PVC Presión , incluye accesorios.</v>
      </c>
      <c r="C841" s="401"/>
      <c r="D841" s="401"/>
      <c r="E841" s="401"/>
      <c r="F841" s="401"/>
      <c r="G841" s="417"/>
    </row>
    <row r="842" spans="1:7" ht="12.75" customHeight="1">
      <c r="A842" s="406"/>
      <c r="B842" s="401"/>
      <c r="C842" s="401" t="s">
        <v>179</v>
      </c>
      <c r="D842" s="432">
        <f>+Presupuesto!D76</f>
        <v>8</v>
      </c>
      <c r="E842" s="401" t="s">
        <v>180</v>
      </c>
      <c r="F842" s="401" t="s">
        <v>262</v>
      </c>
      <c r="G842" s="417"/>
    </row>
    <row r="843" spans="1:7" ht="12.75" customHeight="1">
      <c r="A843" s="406" t="s">
        <v>182</v>
      </c>
      <c r="B843" s="401"/>
      <c r="C843" s="401"/>
      <c r="D843" s="401"/>
      <c r="E843" s="401"/>
      <c r="F843" s="401"/>
      <c r="G843" s="417"/>
    </row>
    <row r="844" spans="1:7" ht="12.75" customHeight="1">
      <c r="A844" s="408" t="s">
        <v>111</v>
      </c>
      <c r="B844" s="169" t="s">
        <v>183</v>
      </c>
      <c r="C844" s="169" t="s">
        <v>184</v>
      </c>
      <c r="D844" s="169" t="s">
        <v>185</v>
      </c>
      <c r="E844" s="169" t="s">
        <v>186</v>
      </c>
      <c r="F844" s="401"/>
      <c r="G844" s="417"/>
    </row>
    <row r="845" spans="1:7" ht="12.75" customHeight="1">
      <c r="A845" s="406" t="s">
        <v>187</v>
      </c>
      <c r="B845" s="401"/>
      <c r="C845" s="401"/>
      <c r="D845" s="401"/>
      <c r="E845" s="403">
        <f t="shared" ref="E845" si="34">G873*0.05</f>
        <v>412.95238095695214</v>
      </c>
      <c r="F845" s="401"/>
      <c r="G845" s="417"/>
    </row>
    <row r="846" spans="1:7" ht="12.75" customHeight="1">
      <c r="A846" s="406"/>
      <c r="B846" s="401"/>
      <c r="C846" s="401"/>
      <c r="D846" s="401"/>
      <c r="E846" s="401"/>
      <c r="F846" s="401"/>
      <c r="G846" s="417"/>
    </row>
    <row r="847" spans="1:7" ht="12.75" customHeight="1">
      <c r="A847" s="406"/>
      <c r="B847" s="401"/>
      <c r="C847" s="401"/>
      <c r="D847" s="401"/>
      <c r="E847" s="401"/>
      <c r="F847" s="401"/>
      <c r="G847" s="417"/>
    </row>
    <row r="848" spans="1:7" ht="12.75" customHeight="1">
      <c r="A848" s="406"/>
      <c r="B848" s="401"/>
      <c r="C848" s="401"/>
      <c r="D848" s="401"/>
      <c r="E848" s="401"/>
      <c r="F848" s="401" t="s">
        <v>189</v>
      </c>
      <c r="G848" s="417">
        <f>E845+E846+E847+E848</f>
        <v>412.95238095695214</v>
      </c>
    </row>
    <row r="849" spans="1:7" ht="12.75" customHeight="1">
      <c r="A849" s="406" t="s">
        <v>191</v>
      </c>
      <c r="B849" s="401"/>
      <c r="C849" s="401"/>
      <c r="D849" s="401"/>
      <c r="E849" s="401"/>
      <c r="F849" s="401"/>
      <c r="G849" s="417"/>
    </row>
    <row r="850" spans="1:7" ht="12.75" customHeight="1">
      <c r="A850" s="408" t="s">
        <v>111</v>
      </c>
      <c r="B850" s="169" t="s">
        <v>193</v>
      </c>
      <c r="C850" s="169" t="s">
        <v>194</v>
      </c>
      <c r="D850" s="169" t="s">
        <v>195</v>
      </c>
      <c r="E850" s="169" t="s">
        <v>186</v>
      </c>
      <c r="F850" s="401"/>
      <c r="G850" s="417"/>
    </row>
    <row r="851" spans="1:7" ht="54" customHeight="1">
      <c r="A851" s="446" t="s">
        <v>812</v>
      </c>
      <c r="B851" s="441" t="s">
        <v>193</v>
      </c>
      <c r="C851" s="442">
        <f>1.19*47900</f>
        <v>57001</v>
      </c>
      <c r="D851" s="441">
        <v>1</v>
      </c>
      <c r="E851" s="443">
        <f t="shared" ref="E851:E852" si="35">+D851*C851</f>
        <v>57001</v>
      </c>
      <c r="F851" s="401"/>
      <c r="G851" s="417"/>
    </row>
    <row r="852" spans="1:7" ht="12.75" customHeight="1">
      <c r="A852" s="406" t="s">
        <v>544</v>
      </c>
      <c r="B852" s="169" t="s">
        <v>193</v>
      </c>
      <c r="C852" s="444">
        <f>2400*1.19</f>
        <v>2856</v>
      </c>
      <c r="D852" s="401">
        <v>2</v>
      </c>
      <c r="E852" s="401">
        <f t="shared" si="35"/>
        <v>5712</v>
      </c>
      <c r="F852" s="401"/>
      <c r="G852" s="417"/>
    </row>
    <row r="853" spans="1:7" ht="12.75" customHeight="1">
      <c r="A853" s="406" t="s">
        <v>330</v>
      </c>
      <c r="B853" s="169" t="s">
        <v>220</v>
      </c>
      <c r="C853" s="401">
        <v>700</v>
      </c>
      <c r="D853" s="401">
        <v>1</v>
      </c>
      <c r="E853" s="403">
        <f t="shared" ref="E853" si="36">C853*D853</f>
        <v>700</v>
      </c>
      <c r="F853" s="401"/>
      <c r="G853" s="417"/>
    </row>
    <row r="854" spans="1:7" ht="12.75" customHeight="1">
      <c r="A854" s="406"/>
      <c r="B854" s="401"/>
      <c r="C854" s="401"/>
      <c r="D854" s="401"/>
      <c r="E854" s="401"/>
      <c r="F854" s="401"/>
      <c r="G854" s="417"/>
    </row>
    <row r="855" spans="1:7" ht="12.75" customHeight="1">
      <c r="A855" s="406"/>
      <c r="B855" s="401"/>
      <c r="C855" s="401"/>
      <c r="D855" s="401"/>
      <c r="E855" s="401"/>
      <c r="F855" s="401"/>
      <c r="G855" s="417"/>
    </row>
    <row r="856" spans="1:7" ht="12.75" customHeight="1">
      <c r="A856" s="406"/>
      <c r="B856" s="401"/>
      <c r="C856" s="401"/>
      <c r="D856" s="401"/>
      <c r="E856" s="401"/>
      <c r="F856" s="401"/>
      <c r="G856" s="417"/>
    </row>
    <row r="857" spans="1:7" ht="12.75" customHeight="1">
      <c r="A857" s="406"/>
      <c r="B857" s="401"/>
      <c r="C857" s="401"/>
      <c r="D857" s="401"/>
      <c r="E857" s="401"/>
      <c r="F857" s="401" t="s">
        <v>189</v>
      </c>
      <c r="G857" s="417">
        <f t="shared" ref="G857" si="37">E851+E852+E853+E854+E855+E856+E857</f>
        <v>63413</v>
      </c>
    </row>
    <row r="858" spans="1:7" ht="12.75" customHeight="1">
      <c r="A858" s="406" t="s">
        <v>197</v>
      </c>
      <c r="B858" s="401"/>
      <c r="C858" s="401"/>
      <c r="D858" s="401"/>
      <c r="E858" s="401"/>
      <c r="F858" s="401"/>
      <c r="G858" s="417"/>
    </row>
    <row r="859" spans="1:7" ht="12.75" customHeight="1">
      <c r="A859" s="408" t="s">
        <v>198</v>
      </c>
      <c r="B859" s="169" t="s">
        <v>199</v>
      </c>
      <c r="C859" s="169" t="s">
        <v>200</v>
      </c>
      <c r="D859" s="169" t="s">
        <v>201</v>
      </c>
      <c r="E859" s="169" t="s">
        <v>186</v>
      </c>
      <c r="F859" s="401"/>
      <c r="G859" s="417"/>
    </row>
    <row r="860" spans="1:7" ht="12.75" customHeight="1">
      <c r="A860" s="406" t="s">
        <v>243</v>
      </c>
      <c r="B860" s="401"/>
      <c r="C860" s="401"/>
      <c r="D860" s="401"/>
      <c r="E860" s="403">
        <v>11790.384615288618</v>
      </c>
      <c r="F860" s="401"/>
      <c r="G860" s="417"/>
    </row>
    <row r="861" spans="1:7" ht="12.75" customHeight="1">
      <c r="A861" s="406"/>
      <c r="B861" s="401"/>
      <c r="C861" s="401"/>
      <c r="D861" s="401"/>
      <c r="E861" s="401"/>
      <c r="F861" s="401"/>
      <c r="G861" s="417"/>
    </row>
    <row r="862" spans="1:7" ht="12.75" customHeight="1">
      <c r="A862" s="406"/>
      <c r="B862" s="401"/>
      <c r="C862" s="401"/>
      <c r="D862" s="401"/>
      <c r="E862" s="401"/>
      <c r="F862" s="401"/>
      <c r="G862" s="417"/>
    </row>
    <row r="863" spans="1:7" ht="12.75" customHeight="1">
      <c r="A863" s="406"/>
      <c r="B863" s="401"/>
      <c r="C863" s="401"/>
      <c r="D863" s="401"/>
      <c r="E863" s="401"/>
      <c r="F863" s="401"/>
      <c r="G863" s="417"/>
    </row>
    <row r="864" spans="1:7" ht="12.75" customHeight="1">
      <c r="A864" s="406"/>
      <c r="B864" s="401"/>
      <c r="C864" s="401"/>
      <c r="D864" s="401"/>
      <c r="E864" s="401"/>
      <c r="F864" s="401" t="s">
        <v>189</v>
      </c>
      <c r="G864" s="417">
        <f t="shared" ref="G864" si="38">E860+E861+E862+E863+E864</f>
        <v>11790.384615288618</v>
      </c>
    </row>
    <row r="865" spans="1:9" ht="12.75" customHeight="1">
      <c r="A865" s="406" t="s">
        <v>202</v>
      </c>
      <c r="B865" s="401"/>
      <c r="C865" s="401"/>
      <c r="D865" s="401"/>
      <c r="E865" s="401"/>
      <c r="F865" s="401"/>
      <c r="G865" s="417"/>
    </row>
    <row r="866" spans="1:9" ht="12.75" customHeight="1">
      <c r="A866" s="408" t="s">
        <v>203</v>
      </c>
      <c r="B866" s="169" t="s">
        <v>204</v>
      </c>
      <c r="C866" s="169" t="s">
        <v>205</v>
      </c>
      <c r="D866" s="169" t="s">
        <v>206</v>
      </c>
      <c r="E866" s="169" t="s">
        <v>207</v>
      </c>
      <c r="F866" s="169" t="s">
        <v>208</v>
      </c>
      <c r="G866" s="417"/>
    </row>
    <row r="867" spans="1:9" ht="12.75" customHeight="1">
      <c r="A867" s="406" t="s">
        <v>188</v>
      </c>
      <c r="B867" s="401">
        <f>+B823</f>
        <v>140000</v>
      </c>
      <c r="C867" s="401">
        <f t="shared" ref="C867:C868" si="39">0.75*B867</f>
        <v>105000</v>
      </c>
      <c r="D867" s="401">
        <f t="shared" ref="D867:D868" si="40">B867+C867</f>
        <v>245000</v>
      </c>
      <c r="E867" s="401">
        <v>50</v>
      </c>
      <c r="F867" s="403">
        <f t="shared" ref="F867:F868" si="41">D867/E867</f>
        <v>4900</v>
      </c>
      <c r="G867" s="417"/>
    </row>
    <row r="868" spans="1:9" ht="12.75" customHeight="1">
      <c r="A868" s="406" t="s">
        <v>190</v>
      </c>
      <c r="B868" s="401">
        <f>+B824</f>
        <v>91000</v>
      </c>
      <c r="C868" s="403">
        <f t="shared" si="39"/>
        <v>68250</v>
      </c>
      <c r="D868" s="403">
        <f t="shared" si="40"/>
        <v>159250</v>
      </c>
      <c r="E868" s="403">
        <v>47.409271334122195</v>
      </c>
      <c r="F868" s="403">
        <f t="shared" si="41"/>
        <v>3359.0476191390421</v>
      </c>
      <c r="G868" s="417"/>
    </row>
    <row r="869" spans="1:9" ht="12.75" customHeight="1">
      <c r="A869" s="406"/>
      <c r="B869" s="401"/>
      <c r="C869" s="401"/>
      <c r="D869" s="401"/>
      <c r="E869" s="401"/>
      <c r="F869" s="401"/>
      <c r="G869" s="417"/>
    </row>
    <row r="870" spans="1:9" ht="12.75" customHeight="1">
      <c r="A870" s="406"/>
      <c r="B870" s="401"/>
      <c r="C870" s="401"/>
      <c r="D870" s="401"/>
      <c r="E870" s="401"/>
      <c r="F870" s="401"/>
      <c r="G870" s="417"/>
    </row>
    <row r="871" spans="1:9" ht="12.75" customHeight="1">
      <c r="A871" s="406"/>
      <c r="B871" s="401"/>
      <c r="C871" s="401"/>
      <c r="D871" s="401"/>
      <c r="E871" s="401"/>
      <c r="F871" s="401"/>
      <c r="G871" s="417"/>
    </row>
    <row r="872" spans="1:9" ht="12.75" customHeight="1">
      <c r="A872" s="406"/>
      <c r="B872" s="401"/>
      <c r="C872" s="401"/>
      <c r="D872" s="401"/>
      <c r="E872" s="401"/>
      <c r="F872" s="401"/>
      <c r="G872" s="417"/>
    </row>
    <row r="873" spans="1:9" ht="12.75" customHeight="1">
      <c r="A873" s="406"/>
      <c r="B873" s="401"/>
      <c r="C873" s="401"/>
      <c r="D873" s="401"/>
      <c r="E873" s="401"/>
      <c r="F873" s="401" t="s">
        <v>189</v>
      </c>
      <c r="G873" s="417">
        <f t="shared" ref="G873" si="42">F867+F868+F869+F870+F871+F872</f>
        <v>8259.0476191390426</v>
      </c>
    </row>
    <row r="874" spans="1:9" ht="12.75" customHeight="1">
      <c r="A874" s="406"/>
      <c r="B874" s="401"/>
      <c r="C874" s="401"/>
      <c r="D874" s="401"/>
      <c r="E874" s="401"/>
      <c r="F874" s="401"/>
      <c r="G874" s="417"/>
    </row>
    <row r="875" spans="1:9" ht="12.75" customHeight="1">
      <c r="A875" s="406" t="s">
        <v>209</v>
      </c>
      <c r="B875" s="401"/>
      <c r="C875" s="401" t="s">
        <v>210</v>
      </c>
      <c r="D875" s="401" t="s">
        <v>211</v>
      </c>
      <c r="E875" s="401"/>
      <c r="F875" s="401"/>
      <c r="G875" s="417">
        <f t="shared" si="11"/>
        <v>83875.384615384624</v>
      </c>
      <c r="I875">
        <v>106710.5</v>
      </c>
    </row>
    <row r="876" spans="1:9" ht="12.75" customHeight="1">
      <c r="A876" s="406"/>
      <c r="B876" s="401"/>
      <c r="C876" s="401"/>
      <c r="D876" s="401"/>
      <c r="E876" s="401"/>
      <c r="F876" s="401"/>
      <c r="G876" s="417"/>
    </row>
    <row r="877" spans="1:9" ht="12.75" customHeight="1">
      <c r="A877" s="406"/>
      <c r="B877" s="401"/>
      <c r="C877" s="401"/>
      <c r="D877" s="401"/>
      <c r="E877" s="401" t="s">
        <v>212</v>
      </c>
      <c r="F877" s="401"/>
      <c r="G877" s="417">
        <f t="shared" si="12"/>
        <v>25162.615384615387</v>
      </c>
    </row>
    <row r="878" spans="1:9" ht="12.75" customHeight="1">
      <c r="A878" s="406"/>
      <c r="B878" s="401"/>
      <c r="C878" s="401"/>
      <c r="D878" s="401"/>
      <c r="E878" s="401"/>
      <c r="F878" s="401"/>
      <c r="G878" s="417"/>
    </row>
    <row r="879" spans="1:9" ht="12.75" customHeight="1" thickBot="1">
      <c r="A879" s="411" t="s">
        <v>213</v>
      </c>
      <c r="B879" s="412"/>
      <c r="C879" s="412"/>
      <c r="D879" s="412" t="s">
        <v>214</v>
      </c>
      <c r="E879" s="412"/>
      <c r="F879" s="412"/>
      <c r="G879" s="418">
        <f t="shared" si="13"/>
        <v>109038.00000000001</v>
      </c>
    </row>
    <row r="880" spans="1:9" ht="15" customHeight="1">
      <c r="A880" s="468" t="s">
        <v>174</v>
      </c>
      <c r="B880" s="457"/>
      <c r="C880" s="457"/>
      <c r="D880" s="457"/>
      <c r="E880" s="457"/>
      <c r="F880" s="457"/>
      <c r="G880" s="457"/>
    </row>
    <row r="881" spans="1:7" ht="15" customHeight="1">
      <c r="A881" s="73"/>
      <c r="B881" s="73"/>
      <c r="C881" s="73"/>
      <c r="D881" s="73"/>
      <c r="E881" s="73"/>
      <c r="F881" s="73"/>
      <c r="G881" s="440"/>
    </row>
    <row r="882" spans="1:7" ht="12.75" customHeight="1">
      <c r="A882" s="1" t="s">
        <v>175</v>
      </c>
      <c r="B882" s="1"/>
      <c r="C882" s="1"/>
      <c r="D882" s="94"/>
      <c r="E882" s="94"/>
      <c r="F882" s="94"/>
      <c r="G882" s="414"/>
    </row>
    <row r="883" spans="1:7" ht="12.75" customHeight="1">
      <c r="A883" s="1">
        <f>+A356</f>
        <v>0</v>
      </c>
      <c r="B883" s="1"/>
      <c r="C883" s="1"/>
      <c r="D883" s="1"/>
      <c r="F883" s="95" t="s">
        <v>177</v>
      </c>
      <c r="G883" s="415">
        <f t="shared" ref="G883" ca="1" si="43">+TODAY()</f>
        <v>46289</v>
      </c>
    </row>
    <row r="884" spans="1:7" ht="12.75" customHeight="1">
      <c r="A884" s="1"/>
      <c r="B884" s="94"/>
      <c r="C884" s="94"/>
      <c r="D884" s="94"/>
      <c r="E884" s="94"/>
      <c r="F884" s="94"/>
      <c r="G884" s="414"/>
    </row>
    <row r="885" spans="1:7" ht="12.75" customHeight="1" thickBot="1">
      <c r="A885" s="1"/>
      <c r="B885" s="94"/>
      <c r="C885" s="94"/>
      <c r="D885" s="94"/>
      <c r="E885" s="94"/>
      <c r="F885" s="94"/>
      <c r="G885" s="414"/>
    </row>
    <row r="886" spans="1:7" ht="12.75" customHeight="1">
      <c r="A886" s="404" t="s">
        <v>528</v>
      </c>
      <c r="B886" s="405" t="s">
        <v>823</v>
      </c>
      <c r="C886" s="405"/>
      <c r="D886" s="405"/>
      <c r="E886" s="405"/>
      <c r="F886" s="405"/>
      <c r="G886" s="416"/>
    </row>
    <row r="887" spans="1:7" ht="12.75" customHeight="1">
      <c r="A887" s="406"/>
      <c r="B887" s="401"/>
      <c r="C887" s="401" t="s">
        <v>179</v>
      </c>
      <c r="D887" s="169">
        <v>10</v>
      </c>
      <c r="E887" s="401" t="s">
        <v>180</v>
      </c>
      <c r="F887" s="401" t="s">
        <v>262</v>
      </c>
      <c r="G887" s="417"/>
    </row>
    <row r="888" spans="1:7" ht="12.75" customHeight="1">
      <c r="A888" s="406" t="s">
        <v>182</v>
      </c>
      <c r="B888" s="401"/>
      <c r="C888" s="401"/>
      <c r="D888" s="401"/>
      <c r="E888" s="401"/>
      <c r="F888" s="401"/>
      <c r="G888" s="417"/>
    </row>
    <row r="889" spans="1:7" ht="12.75" customHeight="1">
      <c r="A889" s="408" t="s">
        <v>111</v>
      </c>
      <c r="B889" s="169" t="s">
        <v>183</v>
      </c>
      <c r="C889" s="169" t="s">
        <v>184</v>
      </c>
      <c r="D889" s="169" t="s">
        <v>185</v>
      </c>
      <c r="E889" s="169" t="s">
        <v>186</v>
      </c>
      <c r="F889" s="401"/>
      <c r="G889" s="417"/>
    </row>
    <row r="890" spans="1:7" ht="12.75" customHeight="1">
      <c r="A890" s="406" t="s">
        <v>187</v>
      </c>
      <c r="B890" s="401"/>
      <c r="C890" s="401"/>
      <c r="D890" s="401"/>
      <c r="E890" s="403">
        <f t="shared" ref="E890" si="44">G917*0.05</f>
        <v>240.39633712554743</v>
      </c>
      <c r="F890" s="401"/>
      <c r="G890" s="417"/>
    </row>
    <row r="891" spans="1:7" ht="12.75" customHeight="1">
      <c r="A891" s="406"/>
      <c r="B891" s="401"/>
      <c r="C891" s="401"/>
      <c r="D891" s="401"/>
      <c r="E891" s="401"/>
      <c r="F891" s="401"/>
      <c r="G891" s="417"/>
    </row>
    <row r="892" spans="1:7" ht="12.75" customHeight="1">
      <c r="A892" s="406"/>
      <c r="B892" s="401"/>
      <c r="C892" s="401"/>
      <c r="D892" s="401"/>
      <c r="E892" s="401"/>
      <c r="F892" s="401"/>
      <c r="G892" s="417"/>
    </row>
    <row r="893" spans="1:7" ht="12.75" customHeight="1">
      <c r="A893" s="406"/>
      <c r="B893" s="401"/>
      <c r="C893" s="401"/>
      <c r="D893" s="401"/>
      <c r="E893" s="401"/>
      <c r="F893" s="401" t="s">
        <v>189</v>
      </c>
      <c r="G893" s="417">
        <f t="shared" ref="G893" si="45">E890+E891+E892+E893</f>
        <v>240.39633712554743</v>
      </c>
    </row>
    <row r="894" spans="1:7" ht="12.75" customHeight="1">
      <c r="A894" s="406" t="s">
        <v>191</v>
      </c>
      <c r="B894" s="401"/>
      <c r="C894" s="401"/>
      <c r="D894" s="401"/>
      <c r="E894" s="401"/>
      <c r="F894" s="401"/>
      <c r="G894" s="417"/>
    </row>
    <row r="895" spans="1:7" ht="12.75" customHeight="1">
      <c r="A895" s="408" t="s">
        <v>111</v>
      </c>
      <c r="B895" s="169" t="s">
        <v>193</v>
      </c>
      <c r="C895" s="169" t="s">
        <v>194</v>
      </c>
      <c r="D895" s="169" t="s">
        <v>195</v>
      </c>
      <c r="E895" s="169" t="s">
        <v>186</v>
      </c>
      <c r="F895" s="401"/>
      <c r="G895" s="417"/>
    </row>
    <row r="896" spans="1:7" ht="12.75" customHeight="1">
      <c r="A896" s="406" t="s">
        <v>823</v>
      </c>
      <c r="B896" s="169" t="s">
        <v>193</v>
      </c>
      <c r="C896" s="403">
        <f>8400*1.19</f>
        <v>9996</v>
      </c>
      <c r="D896" s="401">
        <v>1.05</v>
      </c>
      <c r="E896" s="403">
        <f t="shared" ref="E896:E897" si="46">C896*D896</f>
        <v>10495.800000000001</v>
      </c>
      <c r="F896" s="401"/>
      <c r="G896" s="417"/>
    </row>
    <row r="897" spans="1:7" ht="12.75" customHeight="1">
      <c r="A897" s="406" t="s">
        <v>285</v>
      </c>
      <c r="B897" s="169" t="s">
        <v>256</v>
      </c>
      <c r="C897" s="403">
        <v>1000</v>
      </c>
      <c r="D897" s="401">
        <v>1</v>
      </c>
      <c r="E897" s="403">
        <f t="shared" si="46"/>
        <v>1000</v>
      </c>
      <c r="F897" s="401"/>
      <c r="G897" s="417"/>
    </row>
    <row r="898" spans="1:7" ht="12.75" customHeight="1">
      <c r="A898" s="406"/>
      <c r="B898" s="401"/>
      <c r="C898" s="401"/>
      <c r="D898" s="401"/>
      <c r="E898" s="401"/>
      <c r="F898" s="401"/>
      <c r="G898" s="417"/>
    </row>
    <row r="899" spans="1:7" ht="12.75" customHeight="1">
      <c r="A899" s="406"/>
      <c r="B899" s="401"/>
      <c r="C899" s="401"/>
      <c r="D899" s="401"/>
      <c r="E899" s="401"/>
      <c r="F899" s="401"/>
      <c r="G899" s="417"/>
    </row>
    <row r="900" spans="1:7" ht="12.75" customHeight="1">
      <c r="A900" s="406"/>
      <c r="B900" s="401"/>
      <c r="C900" s="401"/>
      <c r="D900" s="401"/>
      <c r="E900" s="401"/>
      <c r="F900" s="401"/>
      <c r="G900" s="417"/>
    </row>
    <row r="901" spans="1:7" ht="12.75" customHeight="1">
      <c r="A901" s="406"/>
      <c r="B901" s="401"/>
      <c r="C901" s="401"/>
      <c r="D901" s="401"/>
      <c r="E901" s="401"/>
      <c r="F901" s="401" t="s">
        <v>189</v>
      </c>
      <c r="G901" s="417">
        <f t="shared" ref="G901" si="47">E896+E897+E898+E899+E900+E901</f>
        <v>11495.800000000001</v>
      </c>
    </row>
    <row r="902" spans="1:7" ht="12.75" customHeight="1">
      <c r="A902" s="406" t="s">
        <v>197</v>
      </c>
      <c r="B902" s="401"/>
      <c r="C902" s="401"/>
      <c r="D902" s="401"/>
      <c r="E902" s="401"/>
      <c r="F902" s="401"/>
      <c r="G902" s="417"/>
    </row>
    <row r="903" spans="1:7" ht="12.75" customHeight="1">
      <c r="A903" s="408" t="s">
        <v>198</v>
      </c>
      <c r="B903" s="169" t="s">
        <v>199</v>
      </c>
      <c r="C903" s="169" t="s">
        <v>200</v>
      </c>
      <c r="D903" s="169" t="s">
        <v>201</v>
      </c>
      <c r="E903" s="169" t="s">
        <v>186</v>
      </c>
      <c r="F903" s="401"/>
      <c r="G903" s="417"/>
    </row>
    <row r="904" spans="1:7" ht="12.75" customHeight="1">
      <c r="A904" s="406" t="s">
        <v>232</v>
      </c>
      <c r="B904" s="401"/>
      <c r="C904" s="401"/>
      <c r="D904" s="401"/>
      <c r="E904" s="403">
        <v>2671.2615357481181</v>
      </c>
      <c r="F904" s="401"/>
      <c r="G904" s="417"/>
    </row>
    <row r="905" spans="1:7" ht="12.75" customHeight="1">
      <c r="A905" s="406"/>
      <c r="B905" s="401"/>
      <c r="C905" s="401"/>
      <c r="D905" s="401"/>
      <c r="E905" s="401"/>
      <c r="F905" s="401"/>
      <c r="G905" s="417"/>
    </row>
    <row r="906" spans="1:7" ht="12.75" customHeight="1">
      <c r="A906" s="406"/>
      <c r="B906" s="401"/>
      <c r="C906" s="401"/>
      <c r="D906" s="401"/>
      <c r="E906" s="401"/>
      <c r="F906" s="401"/>
      <c r="G906" s="417"/>
    </row>
    <row r="907" spans="1:7" ht="12.75" customHeight="1">
      <c r="A907" s="406"/>
      <c r="B907" s="401"/>
      <c r="C907" s="401"/>
      <c r="D907" s="401"/>
      <c r="E907" s="401"/>
      <c r="F907" s="401"/>
      <c r="G907" s="417"/>
    </row>
    <row r="908" spans="1:7" ht="12.75" customHeight="1">
      <c r="A908" s="406"/>
      <c r="B908" s="401"/>
      <c r="C908" s="401"/>
      <c r="D908" s="401"/>
      <c r="E908" s="401"/>
      <c r="F908" s="401" t="s">
        <v>189</v>
      </c>
      <c r="G908" s="417">
        <f t="shared" ref="G908" si="48">E904+E905+E906+E907+E908</f>
        <v>2671.2615357481181</v>
      </c>
    </row>
    <row r="909" spans="1:7" ht="12.75" customHeight="1">
      <c r="A909" s="406" t="s">
        <v>202</v>
      </c>
      <c r="B909" s="401"/>
      <c r="C909" s="401"/>
      <c r="D909" s="401"/>
      <c r="E909" s="401"/>
      <c r="F909" s="401"/>
      <c r="G909" s="417"/>
    </row>
    <row r="910" spans="1:7" ht="12.75" customHeight="1">
      <c r="A910" s="408" t="s">
        <v>203</v>
      </c>
      <c r="B910" s="169" t="s">
        <v>204</v>
      </c>
      <c r="C910" s="169" t="s">
        <v>205</v>
      </c>
      <c r="D910" s="169" t="s">
        <v>206</v>
      </c>
      <c r="E910" s="169" t="s">
        <v>207</v>
      </c>
      <c r="F910" s="169" t="s">
        <v>208</v>
      </c>
      <c r="G910" s="417"/>
    </row>
    <row r="911" spans="1:7" ht="12.75" customHeight="1">
      <c r="A911" s="406" t="s">
        <v>188</v>
      </c>
      <c r="B911" s="401">
        <f>+B867</f>
        <v>140000</v>
      </c>
      <c r="C911" s="401">
        <f t="shared" ref="C911:C912" si="49">0.75*B911</f>
        <v>105000</v>
      </c>
      <c r="D911" s="401">
        <f t="shared" ref="D911:D912" si="50">B911+C911</f>
        <v>245000</v>
      </c>
      <c r="E911" s="403">
        <v>86.962640991958963</v>
      </c>
      <c r="F911" s="403">
        <f t="shared" ref="F911:F912" si="51">D911/E911</f>
        <v>2817.3017425109483</v>
      </c>
      <c r="G911" s="417"/>
    </row>
    <row r="912" spans="1:7" ht="12.75" customHeight="1">
      <c r="A912" s="406" t="s">
        <v>190</v>
      </c>
      <c r="B912" s="401">
        <f>+B868</f>
        <v>91000</v>
      </c>
      <c r="C912" s="403">
        <f t="shared" si="49"/>
        <v>68250</v>
      </c>
      <c r="D912" s="403">
        <f t="shared" si="50"/>
        <v>159250</v>
      </c>
      <c r="E912" s="401">
        <v>80</v>
      </c>
      <c r="F912" s="403">
        <f t="shared" si="51"/>
        <v>1990.625</v>
      </c>
      <c r="G912" s="417"/>
    </row>
    <row r="913" spans="1:9" ht="12.75" customHeight="1">
      <c r="A913" s="406"/>
      <c r="B913" s="401"/>
      <c r="C913" s="401"/>
      <c r="D913" s="401"/>
      <c r="E913" s="401"/>
      <c r="F913" s="401"/>
      <c r="G913" s="417"/>
    </row>
    <row r="914" spans="1:9" ht="12.75" customHeight="1">
      <c r="A914" s="406"/>
      <c r="B914" s="401"/>
      <c r="C914" s="401"/>
      <c r="D914" s="401"/>
      <c r="E914" s="401"/>
      <c r="F914" s="401"/>
      <c r="G914" s="417"/>
    </row>
    <row r="915" spans="1:9" ht="12.75" customHeight="1">
      <c r="A915" s="406"/>
      <c r="B915" s="401"/>
      <c r="C915" s="401"/>
      <c r="D915" s="401"/>
      <c r="E915" s="401"/>
      <c r="F915" s="401"/>
      <c r="G915" s="417"/>
    </row>
    <row r="916" spans="1:9" ht="12.75" customHeight="1">
      <c r="A916" s="406"/>
      <c r="B916" s="401"/>
      <c r="C916" s="401"/>
      <c r="D916" s="401"/>
      <c r="E916" s="401"/>
      <c r="F916" s="401"/>
      <c r="G916" s="417"/>
    </row>
    <row r="917" spans="1:9" ht="12.75" customHeight="1">
      <c r="A917" s="406"/>
      <c r="B917" s="401"/>
      <c r="C917" s="401"/>
      <c r="D917" s="401"/>
      <c r="E917" s="401"/>
      <c r="F917" s="401" t="s">
        <v>189</v>
      </c>
      <c r="G917" s="417">
        <f t="shared" ref="G917" si="52">F911+F912+F913+F914+F915+F916</f>
        <v>4807.9267425109483</v>
      </c>
    </row>
    <row r="918" spans="1:9" ht="12.75" customHeight="1">
      <c r="A918" s="406"/>
      <c r="B918" s="401"/>
      <c r="C918" s="401"/>
      <c r="D918" s="401"/>
      <c r="E918" s="401"/>
      <c r="F918" s="401"/>
      <c r="G918" s="417"/>
    </row>
    <row r="919" spans="1:9" ht="12.75" customHeight="1">
      <c r="A919" s="406" t="s">
        <v>209</v>
      </c>
      <c r="B919" s="401"/>
      <c r="C919" s="401" t="s">
        <v>210</v>
      </c>
      <c r="D919" s="471" t="s">
        <v>211</v>
      </c>
      <c r="E919" s="472"/>
      <c r="F919" s="472"/>
      <c r="G919" s="417">
        <f t="shared" ref="G919" si="53">G893+G901+G908+G917</f>
        <v>19215.384615384617</v>
      </c>
      <c r="I919">
        <v>24107.360000000001</v>
      </c>
    </row>
    <row r="920" spans="1:9" ht="12.75" customHeight="1">
      <c r="A920" s="406"/>
      <c r="B920" s="401"/>
      <c r="C920" s="401"/>
      <c r="D920" s="401"/>
      <c r="E920" s="401"/>
      <c r="F920" s="401"/>
      <c r="G920" s="417"/>
    </row>
    <row r="921" spans="1:9" ht="12.75" customHeight="1">
      <c r="A921" s="406"/>
      <c r="B921" s="401"/>
      <c r="C921" s="401"/>
      <c r="D921" s="401"/>
      <c r="E921" s="401" t="s">
        <v>212</v>
      </c>
      <c r="F921" s="401"/>
      <c r="G921" s="417">
        <f t="shared" ref="G921" si="54">0.3*G919</f>
        <v>5764.6153846153848</v>
      </c>
    </row>
    <row r="922" spans="1:9" ht="12.75" customHeight="1">
      <c r="A922" s="406"/>
      <c r="B922" s="401"/>
      <c r="C922" s="401"/>
      <c r="D922" s="401"/>
      <c r="E922" s="401"/>
      <c r="F922" s="401"/>
      <c r="G922" s="417"/>
    </row>
    <row r="923" spans="1:9" ht="12.75" customHeight="1" thickBot="1">
      <c r="A923" s="411" t="s">
        <v>213</v>
      </c>
      <c r="B923" s="412"/>
      <c r="C923" s="412"/>
      <c r="D923" s="469" t="s">
        <v>214</v>
      </c>
      <c r="E923" s="470"/>
      <c r="F923" s="470"/>
      <c r="G923" s="418">
        <f t="shared" ref="G923" si="55">G919+G921</f>
        <v>24980</v>
      </c>
    </row>
    <row r="924" spans="1:9" ht="15" customHeight="1">
      <c r="A924" s="468" t="s">
        <v>174</v>
      </c>
      <c r="B924" s="457"/>
      <c r="C924" s="457"/>
      <c r="D924" s="457"/>
      <c r="E924" s="457"/>
      <c r="F924" s="457"/>
      <c r="G924" s="457"/>
    </row>
    <row r="925" spans="1:9" ht="15" customHeight="1">
      <c r="A925" s="73"/>
      <c r="B925" s="73"/>
      <c r="C925" s="73"/>
      <c r="D925" s="73"/>
      <c r="E925" s="73"/>
      <c r="F925" s="73"/>
      <c r="G925" s="440"/>
    </row>
    <row r="926" spans="1:9" ht="12.75" customHeight="1">
      <c r="A926" s="1" t="s">
        <v>175</v>
      </c>
      <c r="B926" s="1"/>
      <c r="C926" s="1"/>
      <c r="D926" s="94"/>
      <c r="E926" s="94"/>
      <c r="F926" s="94"/>
      <c r="G926" s="414"/>
    </row>
    <row r="927" spans="1:9" ht="12.75" customHeight="1">
      <c r="A927" s="1">
        <f>+A400</f>
        <v>0</v>
      </c>
      <c r="B927" s="1"/>
      <c r="C927" s="1"/>
      <c r="D927" s="1"/>
      <c r="F927" s="95" t="s">
        <v>177</v>
      </c>
      <c r="G927" s="415">
        <f t="shared" ref="G927" ca="1" si="56">+TODAY()</f>
        <v>46289</v>
      </c>
    </row>
    <row r="928" spans="1:9" ht="12.75" customHeight="1">
      <c r="A928" s="1"/>
      <c r="B928" s="94"/>
      <c r="C928" s="94"/>
      <c r="D928" s="94"/>
      <c r="E928" s="94"/>
      <c r="F928" s="94"/>
      <c r="G928" s="414"/>
    </row>
    <row r="929" spans="1:7" ht="12.75" customHeight="1" thickBot="1">
      <c r="A929" s="1"/>
      <c r="B929" s="94"/>
      <c r="C929" s="94"/>
      <c r="D929" s="94"/>
      <c r="E929" s="94"/>
      <c r="F929" s="94"/>
      <c r="G929" s="414"/>
    </row>
    <row r="930" spans="1:7" ht="12.75" customHeight="1">
      <c r="A930" s="404" t="s">
        <v>853</v>
      </c>
      <c r="B930" s="405" t="s">
        <v>813</v>
      </c>
      <c r="C930" s="405"/>
      <c r="D930" s="405"/>
      <c r="E930" s="405"/>
      <c r="F930" s="405"/>
      <c r="G930" s="416"/>
    </row>
    <row r="931" spans="1:7" ht="12.75" customHeight="1">
      <c r="A931" s="406"/>
      <c r="B931" s="401"/>
      <c r="C931" s="401" t="s">
        <v>179</v>
      </c>
      <c r="D931" s="169">
        <v>10</v>
      </c>
      <c r="E931" s="401" t="s">
        <v>180</v>
      </c>
      <c r="F931" s="401" t="s">
        <v>262</v>
      </c>
      <c r="G931" s="417"/>
    </row>
    <row r="932" spans="1:7" ht="12.75" customHeight="1">
      <c r="A932" s="406" t="s">
        <v>182</v>
      </c>
      <c r="B932" s="401"/>
      <c r="C932" s="401"/>
      <c r="D932" s="401"/>
      <c r="E932" s="401"/>
      <c r="F932" s="401"/>
      <c r="G932" s="417"/>
    </row>
    <row r="933" spans="1:7" ht="12.75" customHeight="1">
      <c r="A933" s="408" t="s">
        <v>111</v>
      </c>
      <c r="B933" s="169" t="s">
        <v>183</v>
      </c>
      <c r="C933" s="169" t="s">
        <v>184</v>
      </c>
      <c r="D933" s="169" t="s">
        <v>185</v>
      </c>
      <c r="E933" s="169" t="s">
        <v>186</v>
      </c>
      <c r="F933" s="401"/>
      <c r="G933" s="417"/>
    </row>
    <row r="934" spans="1:7" ht="12.75" customHeight="1">
      <c r="A934" s="406" t="s">
        <v>187</v>
      </c>
      <c r="B934" s="401"/>
      <c r="C934" s="401"/>
      <c r="D934" s="401"/>
      <c r="E934" s="403">
        <f t="shared" ref="E934" si="57">G961*0.05</f>
        <v>128.43000740200506</v>
      </c>
      <c r="F934" s="401"/>
      <c r="G934" s="417"/>
    </row>
    <row r="935" spans="1:7" ht="12.75" customHeight="1">
      <c r="A935" s="406"/>
      <c r="B935" s="401"/>
      <c r="C935" s="401"/>
      <c r="D935" s="401"/>
      <c r="E935" s="401"/>
      <c r="F935" s="401"/>
      <c r="G935" s="417"/>
    </row>
    <row r="936" spans="1:7" ht="12.75" customHeight="1">
      <c r="A936" s="406"/>
      <c r="B936" s="401"/>
      <c r="C936" s="401"/>
      <c r="D936" s="401"/>
      <c r="E936" s="401"/>
      <c r="F936" s="401"/>
      <c r="G936" s="417"/>
    </row>
    <row r="937" spans="1:7" ht="12.75" customHeight="1">
      <c r="A937" s="406"/>
      <c r="B937" s="401"/>
      <c r="C937" s="401"/>
      <c r="D937" s="401"/>
      <c r="E937" s="401"/>
      <c r="F937" s="401" t="s">
        <v>189</v>
      </c>
      <c r="G937" s="417">
        <f t="shared" ref="G937" si="58">E934+E935+E936+E937</f>
        <v>128.43000740200506</v>
      </c>
    </row>
    <row r="938" spans="1:7" ht="12.75" customHeight="1">
      <c r="A938" s="406" t="s">
        <v>191</v>
      </c>
      <c r="B938" s="401"/>
      <c r="C938" s="401"/>
      <c r="D938" s="401"/>
      <c r="E938" s="401"/>
      <c r="F938" s="401"/>
      <c r="G938" s="417"/>
    </row>
    <row r="939" spans="1:7" ht="12.75" customHeight="1">
      <c r="A939" s="408" t="s">
        <v>111</v>
      </c>
      <c r="B939" s="169" t="s">
        <v>193</v>
      </c>
      <c r="C939" s="169" t="s">
        <v>194</v>
      </c>
      <c r="D939" s="169" t="s">
        <v>195</v>
      </c>
      <c r="E939" s="169" t="s">
        <v>186</v>
      </c>
      <c r="F939" s="401"/>
      <c r="G939" s="417"/>
    </row>
    <row r="940" spans="1:7" ht="12.75" customHeight="1">
      <c r="A940" s="406" t="s">
        <v>813</v>
      </c>
      <c r="B940" s="169" t="s">
        <v>193</v>
      </c>
      <c r="C940" s="403">
        <f>2400*1.19</f>
        <v>2856</v>
      </c>
      <c r="D940" s="401">
        <v>1.05</v>
      </c>
      <c r="E940" s="403">
        <f t="shared" ref="E940:E941" si="59">C940*D940</f>
        <v>2998.8</v>
      </c>
      <c r="F940" s="401"/>
      <c r="G940" s="417"/>
    </row>
    <row r="941" spans="1:7" ht="12.75" customHeight="1">
      <c r="A941" s="406" t="s">
        <v>285</v>
      </c>
      <c r="B941" s="169" t="s">
        <v>256</v>
      </c>
      <c r="C941" s="403">
        <v>1000</v>
      </c>
      <c r="D941" s="401">
        <v>1</v>
      </c>
      <c r="E941" s="403">
        <f t="shared" si="59"/>
        <v>1000</v>
      </c>
      <c r="F941" s="401"/>
      <c r="G941" s="417"/>
    </row>
    <row r="942" spans="1:7" ht="12.75" customHeight="1">
      <c r="A942" s="406"/>
      <c r="B942" s="401"/>
      <c r="C942" s="401"/>
      <c r="D942" s="401"/>
      <c r="E942" s="401"/>
      <c r="F942" s="401"/>
      <c r="G942" s="417"/>
    </row>
    <row r="943" spans="1:7" ht="12.75" customHeight="1">
      <c r="A943" s="406"/>
      <c r="B943" s="401"/>
      <c r="C943" s="401"/>
      <c r="D943" s="401"/>
      <c r="E943" s="401"/>
      <c r="F943" s="401"/>
      <c r="G943" s="417"/>
    </row>
    <row r="944" spans="1:7" ht="12.75" customHeight="1">
      <c r="A944" s="406"/>
      <c r="B944" s="401"/>
      <c r="C944" s="401"/>
      <c r="D944" s="401"/>
      <c r="E944" s="401"/>
      <c r="F944" s="401"/>
      <c r="G944" s="417"/>
    </row>
    <row r="945" spans="1:7" ht="12.75" customHeight="1">
      <c r="A945" s="406"/>
      <c r="B945" s="401"/>
      <c r="C945" s="401"/>
      <c r="D945" s="401"/>
      <c r="E945" s="401"/>
      <c r="F945" s="401" t="s">
        <v>189</v>
      </c>
      <c r="G945" s="417">
        <f t="shared" ref="G945" si="60">E940+E941+E942+E943+E944+E945</f>
        <v>3998.8</v>
      </c>
    </row>
    <row r="946" spans="1:7" ht="12.75" customHeight="1">
      <c r="A946" s="406" t="s">
        <v>197</v>
      </c>
      <c r="B946" s="401"/>
      <c r="C946" s="401"/>
      <c r="D946" s="401"/>
      <c r="E946" s="401"/>
      <c r="F946" s="401"/>
      <c r="G946" s="417"/>
    </row>
    <row r="947" spans="1:7" ht="12.75" customHeight="1">
      <c r="A947" s="408" t="s">
        <v>198</v>
      </c>
      <c r="B947" s="169" t="s">
        <v>199</v>
      </c>
      <c r="C947" s="169" t="s">
        <v>200</v>
      </c>
      <c r="D947" s="169" t="s">
        <v>201</v>
      </c>
      <c r="E947" s="169" t="s">
        <v>186</v>
      </c>
      <c r="F947" s="401"/>
      <c r="G947" s="417"/>
    </row>
    <row r="948" spans="1:7" ht="12.75" customHeight="1">
      <c r="A948" s="406" t="s">
        <v>232</v>
      </c>
      <c r="B948" s="401"/>
      <c r="C948" s="401"/>
      <c r="D948" s="401"/>
      <c r="E948" s="403">
        <v>2335.7083060963569</v>
      </c>
      <c r="F948" s="401"/>
      <c r="G948" s="417"/>
    </row>
    <row r="949" spans="1:7" ht="12.75" customHeight="1">
      <c r="A949" s="406"/>
      <c r="B949" s="401"/>
      <c r="C949" s="401"/>
      <c r="D949" s="401"/>
      <c r="E949" s="401"/>
      <c r="F949" s="401"/>
      <c r="G949" s="417"/>
    </row>
    <row r="950" spans="1:7" ht="12.75" customHeight="1">
      <c r="A950" s="406"/>
      <c r="B950" s="401"/>
      <c r="C950" s="401"/>
      <c r="D950" s="401"/>
      <c r="E950" s="401"/>
      <c r="F950" s="401"/>
      <c r="G950" s="417"/>
    </row>
    <row r="951" spans="1:7" ht="12.75" customHeight="1">
      <c r="A951" s="406"/>
      <c r="B951" s="401"/>
      <c r="C951" s="401"/>
      <c r="D951" s="401"/>
      <c r="E951" s="401"/>
      <c r="F951" s="401"/>
      <c r="G951" s="417"/>
    </row>
    <row r="952" spans="1:7" ht="12.75" customHeight="1">
      <c r="A952" s="406"/>
      <c r="B952" s="401"/>
      <c r="C952" s="401"/>
      <c r="D952" s="401"/>
      <c r="E952" s="401"/>
      <c r="F952" s="401" t="s">
        <v>189</v>
      </c>
      <c r="G952" s="417">
        <f t="shared" ref="G952" si="61">E948+E949+E950+E951+E952</f>
        <v>2335.7083060963569</v>
      </c>
    </row>
    <row r="953" spans="1:7" ht="12.75" customHeight="1">
      <c r="A953" s="406" t="s">
        <v>202</v>
      </c>
      <c r="B953" s="401"/>
      <c r="C953" s="401"/>
      <c r="D953" s="401"/>
      <c r="E953" s="401"/>
      <c r="F953" s="401"/>
      <c r="G953" s="417"/>
    </row>
    <row r="954" spans="1:7" ht="12.75" customHeight="1">
      <c r="A954" s="408" t="s">
        <v>203</v>
      </c>
      <c r="B954" s="169" t="s">
        <v>204</v>
      </c>
      <c r="C954" s="169" t="s">
        <v>205</v>
      </c>
      <c r="D954" s="169" t="s">
        <v>206</v>
      </c>
      <c r="E954" s="169" t="s">
        <v>207</v>
      </c>
      <c r="F954" s="169" t="s">
        <v>208</v>
      </c>
      <c r="G954" s="417"/>
    </row>
    <row r="955" spans="1:7" ht="12.75" customHeight="1">
      <c r="A955" s="406" t="s">
        <v>188</v>
      </c>
      <c r="B955" s="401">
        <f>+B911</f>
        <v>140000</v>
      </c>
      <c r="C955" s="401">
        <f t="shared" ref="C955:C956" si="62">0.75*B955</f>
        <v>105000</v>
      </c>
      <c r="D955" s="401">
        <f t="shared" ref="D955:D956" si="63">B955+C955</f>
        <v>245000</v>
      </c>
      <c r="E955" s="401">
        <v>170</v>
      </c>
      <c r="F955" s="403">
        <f t="shared" ref="F955:F956" si="64">D955/E955</f>
        <v>1441.1764705882354</v>
      </c>
      <c r="G955" s="417"/>
    </row>
    <row r="956" spans="1:7" ht="12.75" customHeight="1">
      <c r="A956" s="406" t="s">
        <v>190</v>
      </c>
      <c r="B956" s="401">
        <f>+B912</f>
        <v>91000</v>
      </c>
      <c r="C956" s="403">
        <f t="shared" si="62"/>
        <v>68250</v>
      </c>
      <c r="D956" s="403">
        <f t="shared" si="63"/>
        <v>159250</v>
      </c>
      <c r="E956" s="403">
        <v>141.251246700732</v>
      </c>
      <c r="F956" s="403">
        <f t="shared" si="64"/>
        <v>1127.4236774518658</v>
      </c>
      <c r="G956" s="417"/>
    </row>
    <row r="957" spans="1:7" ht="12.75" customHeight="1">
      <c r="A957" s="406"/>
      <c r="B957" s="401"/>
      <c r="C957" s="401"/>
      <c r="D957" s="401"/>
      <c r="E957" s="401"/>
      <c r="F957" s="401"/>
      <c r="G957" s="417"/>
    </row>
    <row r="958" spans="1:7" ht="12.75" customHeight="1">
      <c r="A958" s="406"/>
      <c r="B958" s="401"/>
      <c r="C958" s="401"/>
      <c r="D958" s="401"/>
      <c r="E958" s="401"/>
      <c r="F958" s="401"/>
      <c r="G958" s="417"/>
    </row>
    <row r="959" spans="1:7" ht="12.75" customHeight="1">
      <c r="A959" s="406"/>
      <c r="B959" s="401"/>
      <c r="C959" s="401"/>
      <c r="D959" s="401"/>
      <c r="E959" s="401"/>
      <c r="F959" s="401"/>
      <c r="G959" s="417"/>
    </row>
    <row r="960" spans="1:7" ht="12.75" customHeight="1">
      <c r="A960" s="406"/>
      <c r="B960" s="401"/>
      <c r="C960" s="401"/>
      <c r="D960" s="401"/>
      <c r="E960" s="401"/>
      <c r="F960" s="401"/>
      <c r="G960" s="417"/>
    </row>
    <row r="961" spans="1:9" ht="12.75" customHeight="1">
      <c r="A961" s="406"/>
      <c r="B961" s="401"/>
      <c r="C961" s="401"/>
      <c r="D961" s="401"/>
      <c r="E961" s="401"/>
      <c r="F961" s="401" t="s">
        <v>189</v>
      </c>
      <c r="G961" s="417">
        <f t="shared" ref="G961" si="65">F955+F956+F957+F958+F959+F960</f>
        <v>2568.600148040101</v>
      </c>
    </row>
    <row r="962" spans="1:9" ht="12.75" customHeight="1">
      <c r="A962" s="406"/>
      <c r="B962" s="401"/>
      <c r="C962" s="401"/>
      <c r="D962" s="401"/>
      <c r="E962" s="401"/>
      <c r="F962" s="401"/>
      <c r="G962" s="417"/>
    </row>
    <row r="963" spans="1:9" ht="12.75" customHeight="1">
      <c r="A963" s="406" t="s">
        <v>209</v>
      </c>
      <c r="B963" s="401"/>
      <c r="C963" s="401" t="s">
        <v>210</v>
      </c>
      <c r="D963" s="471" t="s">
        <v>211</v>
      </c>
      <c r="E963" s="472"/>
      <c r="F963" s="472"/>
      <c r="G963" s="417">
        <f t="shared" ref="G963" si="66">G937+G945+G952+G961</f>
        <v>9031.5384615384628</v>
      </c>
      <c r="I963">
        <v>11304.58</v>
      </c>
    </row>
    <row r="964" spans="1:9" ht="12.75" customHeight="1">
      <c r="A964" s="406"/>
      <c r="B964" s="401"/>
      <c r="C964" s="401"/>
      <c r="D964" s="401"/>
      <c r="E964" s="401"/>
      <c r="F964" s="401"/>
      <c r="G964" s="417"/>
    </row>
    <row r="965" spans="1:9" ht="12.75" customHeight="1">
      <c r="A965" s="406"/>
      <c r="B965" s="401"/>
      <c r="C965" s="401"/>
      <c r="D965" s="401"/>
      <c r="E965" s="401" t="s">
        <v>212</v>
      </c>
      <c r="F965" s="401"/>
      <c r="G965" s="417">
        <f t="shared" ref="G965" si="67">0.3*G963</f>
        <v>2709.4615384615386</v>
      </c>
    </row>
    <row r="966" spans="1:9" ht="12.75" customHeight="1">
      <c r="A966" s="406"/>
      <c r="B966" s="401"/>
      <c r="C966" s="401"/>
      <c r="D966" s="401"/>
      <c r="E966" s="401"/>
      <c r="F966" s="401"/>
      <c r="G966" s="417"/>
    </row>
    <row r="967" spans="1:9" ht="12.75" customHeight="1" thickBot="1">
      <c r="A967" s="411" t="s">
        <v>213</v>
      </c>
      <c r="B967" s="412"/>
      <c r="C967" s="412"/>
      <c r="D967" s="469" t="s">
        <v>214</v>
      </c>
      <c r="E967" s="470"/>
      <c r="F967" s="470"/>
      <c r="G967" s="418">
        <f t="shared" ref="G967" si="68">G963+G965</f>
        <v>11741.000000000002</v>
      </c>
    </row>
    <row r="968" spans="1:9" ht="15" customHeight="1">
      <c r="A968" s="468" t="s">
        <v>174</v>
      </c>
      <c r="B968" s="457"/>
      <c r="C968" s="457"/>
      <c r="D968" s="457"/>
      <c r="E968" s="457"/>
      <c r="F968" s="457"/>
      <c r="G968" s="457"/>
    </row>
    <row r="969" spans="1:9" ht="12.75" customHeight="1" thickBot="1"/>
    <row r="970" spans="1:9" ht="12.75" customHeight="1">
      <c r="A970" s="404" t="s">
        <v>175</v>
      </c>
      <c r="B970" s="405"/>
      <c r="C970" s="405"/>
      <c r="D970" s="428"/>
      <c r="E970" s="428"/>
      <c r="F970" s="428"/>
      <c r="G970" s="429"/>
    </row>
    <row r="971" spans="1:9" ht="12.75" customHeight="1">
      <c r="A971" s="406" t="s">
        <v>368</v>
      </c>
      <c r="B971" s="401"/>
      <c r="C971" s="401"/>
      <c r="D971" s="401"/>
      <c r="E971" s="195"/>
      <c r="F971" s="402" t="s">
        <v>177</v>
      </c>
      <c r="G971" s="430">
        <f t="shared" ca="1" si="0"/>
        <v>46289</v>
      </c>
    </row>
    <row r="972" spans="1:9" ht="12.75" customHeight="1">
      <c r="A972" s="406"/>
      <c r="B972" s="401"/>
      <c r="C972" s="401"/>
      <c r="D972" s="401"/>
      <c r="E972" s="401"/>
      <c r="F972" s="401"/>
      <c r="G972" s="417"/>
    </row>
    <row r="973" spans="1:9" ht="13.5" customHeight="1">
      <c r="A973" s="406" t="s">
        <v>411</v>
      </c>
      <c r="B973" s="401" t="s">
        <v>825</v>
      </c>
      <c r="C973" s="401"/>
      <c r="D973" s="401"/>
      <c r="E973" s="401"/>
      <c r="F973" s="401"/>
      <c r="G973" s="417"/>
    </row>
    <row r="974" spans="1:9" ht="12.75" customHeight="1">
      <c r="A974" s="406"/>
      <c r="B974" s="401"/>
      <c r="C974" s="401" t="s">
        <v>179</v>
      </c>
      <c r="D974" s="439">
        <v>36</v>
      </c>
      <c r="E974" s="401" t="s">
        <v>180</v>
      </c>
      <c r="F974" s="401" t="s">
        <v>262</v>
      </c>
      <c r="G974" s="417"/>
    </row>
    <row r="975" spans="1:9" ht="12.75" customHeight="1">
      <c r="A975" s="406" t="s">
        <v>182</v>
      </c>
      <c r="B975" s="401"/>
      <c r="C975" s="401"/>
      <c r="D975" s="401"/>
      <c r="E975" s="401"/>
      <c r="F975" s="401"/>
      <c r="G975" s="417"/>
    </row>
    <row r="976" spans="1:9" ht="12.75" customHeight="1">
      <c r="A976" s="408" t="s">
        <v>111</v>
      </c>
      <c r="B976" s="169" t="s">
        <v>183</v>
      </c>
      <c r="C976" s="169" t="s">
        <v>184</v>
      </c>
      <c r="D976" s="169" t="s">
        <v>185</v>
      </c>
      <c r="E976" s="169" t="s">
        <v>186</v>
      </c>
      <c r="F976" s="401"/>
      <c r="G976" s="417"/>
    </row>
    <row r="977" spans="1:7" ht="12.75" customHeight="1">
      <c r="A977" s="406" t="s">
        <v>187</v>
      </c>
      <c r="B977" s="401"/>
      <c r="C977" s="401"/>
      <c r="D977" s="401"/>
      <c r="E977" s="403">
        <f t="shared" ref="E977" si="69">G1005*0.05</f>
        <v>198.17949911349342</v>
      </c>
      <c r="F977" s="401"/>
      <c r="G977" s="417"/>
    </row>
    <row r="978" spans="1:7" ht="12.75" customHeight="1">
      <c r="A978" s="406"/>
      <c r="B978" s="401"/>
      <c r="C978" s="401"/>
      <c r="D978" s="401"/>
      <c r="E978" s="401"/>
      <c r="F978" s="401"/>
      <c r="G978" s="417"/>
    </row>
    <row r="979" spans="1:7" ht="12.75" customHeight="1">
      <c r="A979" s="406"/>
      <c r="B979" s="401"/>
      <c r="C979" s="401"/>
      <c r="D979" s="401"/>
      <c r="E979" s="401"/>
      <c r="F979" s="401"/>
      <c r="G979" s="417"/>
    </row>
    <row r="980" spans="1:7" ht="12.75" customHeight="1">
      <c r="A980" s="406"/>
      <c r="B980" s="401"/>
      <c r="C980" s="401"/>
      <c r="D980" s="401"/>
      <c r="E980" s="401"/>
      <c r="F980" s="401" t="s">
        <v>189</v>
      </c>
      <c r="G980" s="417">
        <f t="shared" ref="G980" si="70">E977+E978+E979+E980</f>
        <v>198.17949911349342</v>
      </c>
    </row>
    <row r="981" spans="1:7" ht="12.75" customHeight="1">
      <c r="A981" s="406" t="s">
        <v>191</v>
      </c>
      <c r="B981" s="401"/>
      <c r="C981" s="401"/>
      <c r="D981" s="401"/>
      <c r="E981" s="401"/>
      <c r="F981" s="401"/>
      <c r="G981" s="417"/>
    </row>
    <row r="982" spans="1:7" ht="12.75" customHeight="1">
      <c r="A982" s="408" t="s">
        <v>111</v>
      </c>
      <c r="B982" s="169" t="s">
        <v>193</v>
      </c>
      <c r="C982" s="169" t="s">
        <v>194</v>
      </c>
      <c r="D982" s="169" t="s">
        <v>195</v>
      </c>
      <c r="E982" s="169" t="s">
        <v>186</v>
      </c>
      <c r="F982" s="401"/>
      <c r="G982" s="417"/>
    </row>
    <row r="983" spans="1:7" ht="12.75" customHeight="1">
      <c r="A983" s="406" t="s">
        <v>824</v>
      </c>
      <c r="B983" s="169" t="s">
        <v>193</v>
      </c>
      <c r="C983" s="403">
        <f>2100*1.19</f>
        <v>2499</v>
      </c>
      <c r="D983" s="401">
        <v>1</v>
      </c>
      <c r="E983" s="403">
        <f t="shared" ref="E983:E984" si="71">C983*D983</f>
        <v>2499</v>
      </c>
      <c r="F983" s="401"/>
      <c r="G983" s="417"/>
    </row>
    <row r="984" spans="1:7" ht="12.75" customHeight="1">
      <c r="A984" s="406" t="s">
        <v>349</v>
      </c>
      <c r="B984" s="169" t="s">
        <v>220</v>
      </c>
      <c r="C984" s="401">
        <v>1500</v>
      </c>
      <c r="D984" s="401">
        <v>1</v>
      </c>
      <c r="E984" s="403">
        <f t="shared" si="71"/>
        <v>1500</v>
      </c>
      <c r="F984" s="401"/>
      <c r="G984" s="417"/>
    </row>
    <row r="985" spans="1:7" ht="12.75" customHeight="1">
      <c r="A985" s="406"/>
      <c r="B985" s="169"/>
      <c r="C985" s="401"/>
      <c r="D985" s="401"/>
      <c r="E985" s="401"/>
      <c r="F985" s="401"/>
      <c r="G985" s="417"/>
    </row>
    <row r="986" spans="1:7" ht="12.75" customHeight="1">
      <c r="A986" s="406"/>
      <c r="B986" s="401"/>
      <c r="C986" s="401"/>
      <c r="D986" s="401"/>
      <c r="E986" s="401"/>
      <c r="F986" s="401"/>
      <c r="G986" s="417"/>
    </row>
    <row r="987" spans="1:7" ht="12.75" customHeight="1">
      <c r="A987" s="406"/>
      <c r="B987" s="401"/>
      <c r="C987" s="401"/>
      <c r="D987" s="401"/>
      <c r="E987" s="401"/>
      <c r="F987" s="401"/>
      <c r="G987" s="417"/>
    </row>
    <row r="988" spans="1:7" ht="15" customHeight="1">
      <c r="A988" s="406"/>
      <c r="B988" s="401"/>
      <c r="C988" s="401"/>
      <c r="D988" s="401"/>
      <c r="E988" s="401"/>
      <c r="F988" s="401"/>
      <c r="G988" s="417"/>
    </row>
    <row r="989" spans="1:7" ht="12.75" customHeight="1">
      <c r="A989" s="406"/>
      <c r="B989" s="401"/>
      <c r="C989" s="401"/>
      <c r="D989" s="401"/>
      <c r="E989" s="401"/>
      <c r="F989" s="401" t="s">
        <v>189</v>
      </c>
      <c r="G989" s="417">
        <f t="shared" ref="G989" si="72">E983+E984+E985+E986+E987+E988+E989</f>
        <v>3999</v>
      </c>
    </row>
    <row r="990" spans="1:7" ht="12.75" customHeight="1">
      <c r="A990" s="406" t="s">
        <v>197</v>
      </c>
      <c r="B990" s="401"/>
      <c r="C990" s="401"/>
      <c r="D990" s="401"/>
      <c r="E990" s="401"/>
      <c r="F990" s="401"/>
      <c r="G990" s="417"/>
    </row>
    <row r="991" spans="1:7" ht="12.75" customHeight="1">
      <c r="A991" s="408" t="s">
        <v>198</v>
      </c>
      <c r="B991" s="169" t="s">
        <v>199</v>
      </c>
      <c r="C991" s="169" t="s">
        <v>200</v>
      </c>
      <c r="D991" s="169" t="s">
        <v>201</v>
      </c>
      <c r="E991" s="169" t="s">
        <v>186</v>
      </c>
      <c r="F991" s="401"/>
      <c r="G991" s="417"/>
    </row>
    <row r="992" spans="1:7" ht="12.75" customHeight="1">
      <c r="A992" s="406" t="s">
        <v>243</v>
      </c>
      <c r="B992" s="401"/>
      <c r="C992" s="401"/>
      <c r="D992" s="401"/>
      <c r="E992" s="401"/>
      <c r="F992" s="401"/>
      <c r="G992" s="417"/>
    </row>
    <row r="993" spans="1:9" ht="12.75" customHeight="1">
      <c r="A993" s="406"/>
      <c r="B993" s="401"/>
      <c r="C993" s="401"/>
      <c r="D993" s="401"/>
      <c r="E993" s="401"/>
      <c r="F993" s="401"/>
      <c r="G993" s="417"/>
    </row>
    <row r="994" spans="1:9" ht="12.75" customHeight="1">
      <c r="A994" s="406"/>
      <c r="B994" s="401"/>
      <c r="C994" s="401"/>
      <c r="D994" s="401"/>
      <c r="E994" s="401"/>
      <c r="F994" s="401"/>
      <c r="G994" s="417"/>
    </row>
    <row r="995" spans="1:9" ht="12.75" customHeight="1">
      <c r="A995" s="406"/>
      <c r="B995" s="401"/>
      <c r="C995" s="401"/>
      <c r="D995" s="401"/>
      <c r="E995" s="401"/>
      <c r="F995" s="401"/>
      <c r="G995" s="417"/>
    </row>
    <row r="996" spans="1:9" ht="12.75" customHeight="1">
      <c r="A996" s="406"/>
      <c r="B996" s="401"/>
      <c r="C996" s="401"/>
      <c r="D996" s="401"/>
      <c r="E996" s="401"/>
      <c r="F996" s="401" t="s">
        <v>189</v>
      </c>
      <c r="G996" s="417">
        <f t="shared" ref="G996" si="73">E992+E993+E994+E995+E996</f>
        <v>0</v>
      </c>
    </row>
    <row r="997" spans="1:9" ht="12.75" customHeight="1">
      <c r="A997" s="406" t="s">
        <v>202</v>
      </c>
      <c r="B997" s="401"/>
      <c r="C997" s="401"/>
      <c r="D997" s="401"/>
      <c r="E997" s="401"/>
      <c r="F997" s="401"/>
      <c r="G997" s="417"/>
    </row>
    <row r="998" spans="1:9" ht="12.75" customHeight="1">
      <c r="A998" s="408" t="s">
        <v>203</v>
      </c>
      <c r="B998" s="169" t="s">
        <v>204</v>
      </c>
      <c r="C998" s="169" t="s">
        <v>205</v>
      </c>
      <c r="D998" s="169" t="s">
        <v>206</v>
      </c>
      <c r="E998" s="169" t="s">
        <v>207</v>
      </c>
      <c r="F998" s="169" t="s">
        <v>208</v>
      </c>
      <c r="G998" s="417"/>
    </row>
    <row r="999" spans="1:9" ht="12.75" customHeight="1">
      <c r="A999" s="406" t="s">
        <v>188</v>
      </c>
      <c r="B999" s="401">
        <f>+B955</f>
        <v>140000</v>
      </c>
      <c r="C999" s="401">
        <f t="shared" ref="C999:C1000" si="74">0.75*B999</f>
        <v>105000</v>
      </c>
      <c r="D999" s="401">
        <f t="shared" ref="D999:D1000" si="75">B999+C999</f>
        <v>245000</v>
      </c>
      <c r="E999" s="401">
        <v>100</v>
      </c>
      <c r="F999" s="403">
        <f t="shared" ref="F999:F1000" si="76">D999/E999</f>
        <v>2450</v>
      </c>
      <c r="G999" s="417"/>
    </row>
    <row r="1000" spans="1:9" ht="12.75" customHeight="1">
      <c r="A1000" s="406" t="s">
        <v>190</v>
      </c>
      <c r="B1000" s="401">
        <f>+B956</f>
        <v>91000</v>
      </c>
      <c r="C1000" s="403">
        <f t="shared" si="74"/>
        <v>68250</v>
      </c>
      <c r="D1000" s="403">
        <f t="shared" si="75"/>
        <v>159250</v>
      </c>
      <c r="E1000" s="403">
        <v>105.2134341964786</v>
      </c>
      <c r="F1000" s="403">
        <f t="shared" si="76"/>
        <v>1513.5899822698682</v>
      </c>
      <c r="G1000" s="417"/>
    </row>
    <row r="1001" spans="1:9" ht="12.75" customHeight="1">
      <c r="A1001" s="406"/>
      <c r="B1001" s="401"/>
      <c r="C1001" s="401"/>
      <c r="D1001" s="401"/>
      <c r="E1001" s="401"/>
      <c r="F1001" s="401"/>
      <c r="G1001" s="417"/>
    </row>
    <row r="1002" spans="1:9" ht="12.75" customHeight="1">
      <c r="A1002" s="406"/>
      <c r="B1002" s="401"/>
      <c r="C1002" s="401"/>
      <c r="D1002" s="401"/>
      <c r="E1002" s="401"/>
      <c r="F1002" s="401"/>
      <c r="G1002" s="417"/>
    </row>
    <row r="1003" spans="1:9" ht="12.75" customHeight="1">
      <c r="A1003" s="406"/>
      <c r="B1003" s="401"/>
      <c r="C1003" s="401"/>
      <c r="D1003" s="401"/>
      <c r="E1003" s="401"/>
      <c r="F1003" s="401"/>
      <c r="G1003" s="417"/>
    </row>
    <row r="1004" spans="1:9" ht="12.75" customHeight="1">
      <c r="A1004" s="406"/>
      <c r="B1004" s="401"/>
      <c r="C1004" s="401"/>
      <c r="D1004" s="401"/>
      <c r="E1004" s="401"/>
      <c r="F1004" s="401"/>
      <c r="G1004" s="417"/>
    </row>
    <row r="1005" spans="1:9" ht="12.75" customHeight="1">
      <c r="A1005" s="406"/>
      <c r="B1005" s="401"/>
      <c r="C1005" s="401"/>
      <c r="D1005" s="401"/>
      <c r="E1005" s="401"/>
      <c r="F1005" s="401" t="s">
        <v>189</v>
      </c>
      <c r="G1005" s="417">
        <f t="shared" ref="G1005" si="77">F999+F1000+F1001+F1002+F1003+F1004</f>
        <v>3963.5899822698684</v>
      </c>
    </row>
    <row r="1006" spans="1:9" ht="12.75" customHeight="1">
      <c r="A1006" s="406"/>
      <c r="B1006" s="401"/>
      <c r="C1006" s="401"/>
      <c r="D1006" s="401"/>
      <c r="E1006" s="401"/>
      <c r="F1006" s="401"/>
      <c r="G1006" s="417"/>
    </row>
    <row r="1007" spans="1:9" ht="12.75" customHeight="1">
      <c r="A1007" s="406" t="s">
        <v>209</v>
      </c>
      <c r="B1007" s="401"/>
      <c r="C1007" s="401" t="s">
        <v>210</v>
      </c>
      <c r="D1007" s="401" t="s">
        <v>211</v>
      </c>
      <c r="E1007" s="401"/>
      <c r="F1007" s="401"/>
      <c r="G1007" s="417">
        <f t="shared" si="11"/>
        <v>8160.7694813833623</v>
      </c>
      <c r="I1007">
        <v>10381.49</v>
      </c>
    </row>
    <row r="1008" spans="1:9" ht="12.75" customHeight="1">
      <c r="A1008" s="406"/>
      <c r="B1008" s="401"/>
      <c r="C1008" s="401"/>
      <c r="D1008" s="401"/>
      <c r="E1008" s="401"/>
      <c r="F1008" s="401"/>
      <c r="G1008" s="417"/>
    </row>
    <row r="1009" spans="1:7" ht="12.75" customHeight="1">
      <c r="A1009" s="406"/>
      <c r="B1009" s="401"/>
      <c r="C1009" s="401"/>
      <c r="D1009" s="401"/>
      <c r="E1009" s="401" t="s">
        <v>212</v>
      </c>
      <c r="F1009" s="401"/>
      <c r="G1009" s="417">
        <f t="shared" si="12"/>
        <v>2448.2308444150085</v>
      </c>
    </row>
    <row r="1010" spans="1:7" ht="12.75" customHeight="1">
      <c r="A1010" s="406"/>
      <c r="B1010" s="401"/>
      <c r="C1010" s="401"/>
      <c r="D1010" s="401"/>
      <c r="E1010" s="401"/>
      <c r="F1010" s="401"/>
      <c r="G1010" s="417"/>
    </row>
    <row r="1011" spans="1:7" ht="12.75" customHeight="1" thickBot="1">
      <c r="A1011" s="411" t="s">
        <v>213</v>
      </c>
      <c r="B1011" s="412"/>
      <c r="C1011" s="412"/>
      <c r="D1011" s="412" t="s">
        <v>214</v>
      </c>
      <c r="E1011" s="412"/>
      <c r="F1011" s="412"/>
      <c r="G1011" s="418">
        <f t="shared" si="13"/>
        <v>10609.00032579837</v>
      </c>
    </row>
    <row r="1012" spans="1:7" ht="15" customHeight="1">
      <c r="A1012" s="468" t="s">
        <v>174</v>
      </c>
      <c r="B1012" s="457"/>
      <c r="C1012" s="457"/>
      <c r="D1012" s="457"/>
      <c r="E1012" s="457"/>
      <c r="F1012" s="457"/>
      <c r="G1012" s="457"/>
    </row>
    <row r="1013" spans="1:7" ht="12.75" customHeight="1" thickBot="1"/>
    <row r="1014" spans="1:7" ht="12.75" customHeight="1">
      <c r="A1014" s="404" t="s">
        <v>175</v>
      </c>
      <c r="B1014" s="405"/>
      <c r="C1014" s="405"/>
      <c r="D1014" s="428"/>
      <c r="E1014" s="428"/>
      <c r="F1014" s="428"/>
      <c r="G1014" s="429"/>
    </row>
    <row r="1015" spans="1:7" ht="12.75" customHeight="1">
      <c r="A1015" s="406" t="s">
        <v>368</v>
      </c>
      <c r="B1015" s="401"/>
      <c r="C1015" s="401"/>
      <c r="D1015" s="401"/>
      <c r="E1015" s="195"/>
      <c r="F1015" s="402" t="s">
        <v>177</v>
      </c>
      <c r="G1015" s="430">
        <f t="shared" ca="1" si="0"/>
        <v>46289</v>
      </c>
    </row>
    <row r="1016" spans="1:7" ht="12.75" customHeight="1">
      <c r="A1016" s="406"/>
      <c r="B1016" s="401"/>
      <c r="C1016" s="401"/>
      <c r="D1016" s="401"/>
      <c r="E1016" s="401"/>
      <c r="F1016" s="401"/>
      <c r="G1016" s="417"/>
    </row>
    <row r="1017" spans="1:7" ht="12.75" customHeight="1">
      <c r="A1017" s="406" t="s">
        <v>363</v>
      </c>
      <c r="B1017" s="401" t="s">
        <v>826</v>
      </c>
      <c r="C1017" s="401"/>
      <c r="D1017" s="401"/>
      <c r="E1017" s="401"/>
      <c r="F1017" s="401"/>
      <c r="G1017" s="417"/>
    </row>
    <row r="1018" spans="1:7" ht="12.75" customHeight="1">
      <c r="A1018" s="406"/>
      <c r="B1018" s="401"/>
      <c r="C1018" s="401" t="s">
        <v>179</v>
      </c>
      <c r="D1018" s="439">
        <v>7</v>
      </c>
      <c r="E1018" s="401" t="s">
        <v>180</v>
      </c>
      <c r="F1018" s="401" t="s">
        <v>262</v>
      </c>
      <c r="G1018" s="417"/>
    </row>
    <row r="1019" spans="1:7" ht="12.75" customHeight="1">
      <c r="A1019" s="406" t="s">
        <v>182</v>
      </c>
      <c r="B1019" s="401"/>
      <c r="C1019" s="401"/>
      <c r="D1019" s="401"/>
      <c r="E1019" s="401"/>
      <c r="F1019" s="401"/>
      <c r="G1019" s="417"/>
    </row>
    <row r="1020" spans="1:7" ht="12.75" customHeight="1">
      <c r="A1020" s="408" t="s">
        <v>111</v>
      </c>
      <c r="B1020" s="169" t="s">
        <v>183</v>
      </c>
      <c r="C1020" s="169" t="s">
        <v>184</v>
      </c>
      <c r="D1020" s="169" t="s">
        <v>185</v>
      </c>
      <c r="E1020" s="169" t="s">
        <v>186</v>
      </c>
      <c r="F1020" s="401"/>
      <c r="G1020" s="417"/>
    </row>
    <row r="1021" spans="1:7" ht="12.75" customHeight="1">
      <c r="A1021" s="406" t="s">
        <v>187</v>
      </c>
      <c r="B1021" s="401"/>
      <c r="C1021" s="401"/>
      <c r="D1021" s="401"/>
      <c r="E1021" s="403">
        <f t="shared" ref="E1021" si="78">G1049*0.05</f>
        <v>225.76848538912884</v>
      </c>
      <c r="F1021" s="401"/>
      <c r="G1021" s="417"/>
    </row>
    <row r="1022" spans="1:7" ht="12.75" customHeight="1">
      <c r="A1022" s="406"/>
      <c r="B1022" s="401"/>
      <c r="C1022" s="401"/>
      <c r="D1022" s="401"/>
      <c r="E1022" s="401"/>
      <c r="F1022" s="401"/>
      <c r="G1022" s="417"/>
    </row>
    <row r="1023" spans="1:7" ht="12.75" customHeight="1">
      <c r="A1023" s="406"/>
      <c r="B1023" s="401"/>
      <c r="C1023" s="401"/>
      <c r="D1023" s="401"/>
      <c r="E1023" s="401"/>
      <c r="F1023" s="401"/>
      <c r="G1023" s="417"/>
    </row>
    <row r="1024" spans="1:7" ht="12.75" customHeight="1">
      <c r="A1024" s="406"/>
      <c r="B1024" s="401"/>
      <c r="C1024" s="401"/>
      <c r="D1024" s="401"/>
      <c r="E1024" s="401"/>
      <c r="F1024" s="401" t="s">
        <v>189</v>
      </c>
      <c r="G1024" s="417">
        <f t="shared" ref="G1024" si="79">E1021+E1022+E1023+E1024</f>
        <v>225.76848538912884</v>
      </c>
    </row>
    <row r="1025" spans="1:7" ht="12.75" customHeight="1">
      <c r="A1025" s="406" t="s">
        <v>191</v>
      </c>
      <c r="B1025" s="401"/>
      <c r="C1025" s="401"/>
      <c r="D1025" s="401"/>
      <c r="E1025" s="401"/>
      <c r="F1025" s="401"/>
      <c r="G1025" s="417"/>
    </row>
    <row r="1026" spans="1:7" ht="12.75" customHeight="1">
      <c r="A1026" s="408" t="s">
        <v>111</v>
      </c>
      <c r="B1026" s="169" t="s">
        <v>193</v>
      </c>
      <c r="C1026" s="169" t="s">
        <v>194</v>
      </c>
      <c r="D1026" s="169" t="s">
        <v>195</v>
      </c>
      <c r="E1026" s="169" t="s">
        <v>186</v>
      </c>
      <c r="F1026" s="401"/>
      <c r="G1026" s="417"/>
    </row>
    <row r="1027" spans="1:7" ht="12.75" customHeight="1">
      <c r="A1027" s="406" t="s">
        <v>827</v>
      </c>
      <c r="B1027" s="169" t="s">
        <v>193</v>
      </c>
      <c r="C1027" s="403">
        <f>1.19*3900</f>
        <v>4641</v>
      </c>
      <c r="D1027" s="401">
        <v>1</v>
      </c>
      <c r="E1027" s="403">
        <f t="shared" ref="E1027:E1028" si="80">C1027*D1027</f>
        <v>4641</v>
      </c>
      <c r="F1027" s="401"/>
      <c r="G1027" s="417"/>
    </row>
    <row r="1028" spans="1:7" ht="12.75" customHeight="1">
      <c r="A1028" s="406" t="s">
        <v>349</v>
      </c>
      <c r="B1028" s="169" t="s">
        <v>220</v>
      </c>
      <c r="C1028" s="401">
        <v>1500</v>
      </c>
      <c r="D1028" s="401">
        <v>1</v>
      </c>
      <c r="E1028" s="403">
        <f t="shared" si="80"/>
        <v>1500</v>
      </c>
      <c r="F1028" s="401"/>
      <c r="G1028" s="417"/>
    </row>
    <row r="1029" spans="1:7" ht="12.75" customHeight="1">
      <c r="A1029" s="406"/>
      <c r="B1029" s="169"/>
      <c r="C1029" s="401"/>
      <c r="D1029" s="401"/>
      <c r="E1029" s="401"/>
      <c r="F1029" s="401"/>
      <c r="G1029" s="417"/>
    </row>
    <row r="1030" spans="1:7" ht="12.75" customHeight="1">
      <c r="A1030" s="406"/>
      <c r="B1030" s="401"/>
      <c r="C1030" s="401"/>
      <c r="D1030" s="401"/>
      <c r="E1030" s="401"/>
      <c r="F1030" s="401"/>
      <c r="G1030" s="417"/>
    </row>
    <row r="1031" spans="1:7" ht="12.75" customHeight="1">
      <c r="A1031" s="406"/>
      <c r="B1031" s="401"/>
      <c r="C1031" s="401"/>
      <c r="D1031" s="401"/>
      <c r="E1031" s="401"/>
      <c r="F1031" s="401"/>
      <c r="G1031" s="417"/>
    </row>
    <row r="1032" spans="1:7" ht="12.75" customHeight="1">
      <c r="A1032" s="406"/>
      <c r="B1032" s="401"/>
      <c r="C1032" s="401"/>
      <c r="D1032" s="401"/>
      <c r="E1032" s="401"/>
      <c r="F1032" s="401"/>
      <c r="G1032" s="417"/>
    </row>
    <row r="1033" spans="1:7" ht="12.75" customHeight="1">
      <c r="A1033" s="406"/>
      <c r="B1033" s="401"/>
      <c r="C1033" s="401"/>
      <c r="D1033" s="401"/>
      <c r="E1033" s="401"/>
      <c r="F1033" s="401" t="s">
        <v>189</v>
      </c>
      <c r="G1033" s="417">
        <f t="shared" ref="G1033" si="81">E1027+E1028+E1029+E1030+E1031+E1032+E1033</f>
        <v>6141</v>
      </c>
    </row>
    <row r="1034" spans="1:7" ht="12.75" customHeight="1">
      <c r="A1034" s="406" t="s">
        <v>197</v>
      </c>
      <c r="B1034" s="401"/>
      <c r="C1034" s="401"/>
      <c r="D1034" s="401"/>
      <c r="E1034" s="401"/>
      <c r="F1034" s="401"/>
      <c r="G1034" s="417"/>
    </row>
    <row r="1035" spans="1:7" ht="12.75" customHeight="1">
      <c r="A1035" s="408" t="s">
        <v>198</v>
      </c>
      <c r="B1035" s="169" t="s">
        <v>199</v>
      </c>
      <c r="C1035" s="169" t="s">
        <v>200</v>
      </c>
      <c r="D1035" s="169" t="s">
        <v>201</v>
      </c>
      <c r="E1035" s="169" t="s">
        <v>186</v>
      </c>
      <c r="F1035" s="401"/>
      <c r="G1035" s="417"/>
    </row>
    <row r="1036" spans="1:7" ht="12.75" customHeight="1">
      <c r="A1036" s="406" t="s">
        <v>243</v>
      </c>
      <c r="B1036" s="401"/>
      <c r="C1036" s="401"/>
      <c r="D1036" s="401"/>
      <c r="E1036" s="403">
        <v>1335.5541145206034</v>
      </c>
      <c r="F1036" s="401"/>
      <c r="G1036" s="417"/>
    </row>
    <row r="1037" spans="1:7" ht="12.75" customHeight="1">
      <c r="A1037" s="406"/>
      <c r="B1037" s="401"/>
      <c r="C1037" s="401"/>
      <c r="D1037" s="401"/>
      <c r="E1037" s="401"/>
      <c r="F1037" s="401"/>
      <c r="G1037" s="417"/>
    </row>
    <row r="1038" spans="1:7" ht="12.75" customHeight="1">
      <c r="A1038" s="406"/>
      <c r="B1038" s="401"/>
      <c r="C1038" s="401"/>
      <c r="D1038" s="401"/>
      <c r="E1038" s="401"/>
      <c r="F1038" s="401"/>
      <c r="G1038" s="417"/>
    </row>
    <row r="1039" spans="1:7" ht="12.75" customHeight="1">
      <c r="A1039" s="406"/>
      <c r="B1039" s="401"/>
      <c r="C1039" s="401"/>
      <c r="D1039" s="401"/>
      <c r="E1039" s="401"/>
      <c r="F1039" s="401"/>
      <c r="G1039" s="417"/>
    </row>
    <row r="1040" spans="1:7" ht="12.75" customHeight="1">
      <c r="A1040" s="406"/>
      <c r="B1040" s="401"/>
      <c r="C1040" s="401"/>
      <c r="D1040" s="401"/>
      <c r="E1040" s="401"/>
      <c r="F1040" s="401" t="s">
        <v>189</v>
      </c>
      <c r="G1040" s="417">
        <f t="shared" ref="G1040" si="82">E1036+E1037+E1038+E1039+E1040</f>
        <v>1335.5541145206034</v>
      </c>
    </row>
    <row r="1041" spans="1:9" ht="12.75" customHeight="1">
      <c r="A1041" s="406" t="s">
        <v>202</v>
      </c>
      <c r="B1041" s="401"/>
      <c r="C1041" s="401"/>
      <c r="D1041" s="401"/>
      <c r="E1041" s="401"/>
      <c r="F1041" s="401"/>
      <c r="G1041" s="417"/>
    </row>
    <row r="1042" spans="1:9" ht="12.75" customHeight="1">
      <c r="A1042" s="408" t="s">
        <v>203</v>
      </c>
      <c r="B1042" s="169" t="s">
        <v>204</v>
      </c>
      <c r="C1042" s="169" t="s">
        <v>205</v>
      </c>
      <c r="D1042" s="169" t="s">
        <v>206</v>
      </c>
      <c r="E1042" s="169" t="s">
        <v>207</v>
      </c>
      <c r="F1042" s="169" t="s">
        <v>208</v>
      </c>
      <c r="G1042" s="417"/>
    </row>
    <row r="1043" spans="1:9" ht="12.75" customHeight="1">
      <c r="A1043" s="406" t="s">
        <v>188</v>
      </c>
      <c r="B1043" s="401">
        <f>+B999</f>
        <v>140000</v>
      </c>
      <c r="C1043" s="401">
        <f t="shared" ref="C1043:C1044" si="83">0.75*B1043</f>
        <v>105000</v>
      </c>
      <c r="D1043" s="401">
        <f t="shared" ref="D1043:D1044" si="84">B1043+C1043</f>
        <v>245000</v>
      </c>
      <c r="E1043" s="401">
        <v>90</v>
      </c>
      <c r="F1043" s="403">
        <f t="shared" ref="F1043:F1044" si="85">D1043/E1043</f>
        <v>2722.2222222222222</v>
      </c>
      <c r="G1043" s="417"/>
    </row>
    <row r="1044" spans="1:9" ht="12.75" customHeight="1">
      <c r="A1044" s="406" t="s">
        <v>307</v>
      </c>
      <c r="B1044" s="401">
        <f>+B1000</f>
        <v>91000</v>
      </c>
      <c r="C1044" s="403">
        <f t="shared" si="83"/>
        <v>68250</v>
      </c>
      <c r="D1044" s="403">
        <f t="shared" si="84"/>
        <v>159250</v>
      </c>
      <c r="E1044" s="403">
        <v>88.810318884748497</v>
      </c>
      <c r="F1044" s="403">
        <f t="shared" si="85"/>
        <v>1793.1474855603542</v>
      </c>
      <c r="G1044" s="417"/>
    </row>
    <row r="1045" spans="1:9" ht="12.75" customHeight="1">
      <c r="A1045" s="406"/>
      <c r="B1045" s="401"/>
      <c r="C1045" s="401"/>
      <c r="D1045" s="401"/>
      <c r="E1045" s="401"/>
      <c r="F1045" s="401"/>
      <c r="G1045" s="417"/>
    </row>
    <row r="1046" spans="1:9" ht="12.75" customHeight="1">
      <c r="A1046" s="406"/>
      <c r="B1046" s="401"/>
      <c r="C1046" s="401"/>
      <c r="D1046" s="401"/>
      <c r="E1046" s="401"/>
      <c r="F1046" s="401"/>
      <c r="G1046" s="417"/>
    </row>
    <row r="1047" spans="1:9" ht="12.75" customHeight="1">
      <c r="A1047" s="406"/>
      <c r="B1047" s="401"/>
      <c r="C1047" s="401"/>
      <c r="D1047" s="401"/>
      <c r="E1047" s="401"/>
      <c r="F1047" s="401"/>
      <c r="G1047" s="417"/>
    </row>
    <row r="1048" spans="1:9" ht="12.75" customHeight="1">
      <c r="A1048" s="406"/>
      <c r="B1048" s="401"/>
      <c r="C1048" s="401"/>
      <c r="D1048" s="401"/>
      <c r="E1048" s="401"/>
      <c r="F1048" s="401"/>
      <c r="G1048" s="417"/>
    </row>
    <row r="1049" spans="1:9" ht="12.75" customHeight="1">
      <c r="A1049" s="406"/>
      <c r="B1049" s="401"/>
      <c r="C1049" s="401"/>
      <c r="D1049" s="401"/>
      <c r="E1049" s="401"/>
      <c r="F1049" s="401" t="s">
        <v>189</v>
      </c>
      <c r="G1049" s="417">
        <f t="shared" ref="G1049" si="86">F1043+F1044+F1045+F1046+F1047+F1048</f>
        <v>4515.3697077825764</v>
      </c>
    </row>
    <row r="1050" spans="1:9" ht="12.75" customHeight="1">
      <c r="A1050" s="406"/>
      <c r="B1050" s="401"/>
      <c r="C1050" s="401"/>
      <c r="D1050" s="401"/>
      <c r="E1050" s="401"/>
      <c r="F1050" s="401"/>
      <c r="G1050" s="417"/>
    </row>
    <row r="1051" spans="1:9" ht="12.75" customHeight="1">
      <c r="A1051" s="406" t="s">
        <v>209</v>
      </c>
      <c r="B1051" s="401"/>
      <c r="C1051" s="401" t="s">
        <v>210</v>
      </c>
      <c r="D1051" s="401" t="s">
        <v>211</v>
      </c>
      <c r="E1051" s="401"/>
      <c r="F1051" s="401"/>
      <c r="G1051" s="417">
        <f t="shared" si="11"/>
        <v>12217.692307692309</v>
      </c>
      <c r="I1051">
        <v>15446.78</v>
      </c>
    </row>
    <row r="1052" spans="1:9" ht="12.75" customHeight="1">
      <c r="A1052" s="406"/>
      <c r="B1052" s="401"/>
      <c r="C1052" s="401"/>
      <c r="D1052" s="401"/>
      <c r="E1052" s="401"/>
      <c r="F1052" s="401"/>
      <c r="G1052" s="417"/>
    </row>
    <row r="1053" spans="1:9" ht="12.75" customHeight="1">
      <c r="A1053" s="406"/>
      <c r="B1053" s="401"/>
      <c r="C1053" s="401"/>
      <c r="D1053" s="401"/>
      <c r="E1053" s="401" t="s">
        <v>212</v>
      </c>
      <c r="F1053" s="401"/>
      <c r="G1053" s="417">
        <f t="shared" si="12"/>
        <v>3665.3076923076924</v>
      </c>
    </row>
    <row r="1054" spans="1:9" ht="12.75" customHeight="1">
      <c r="A1054" s="406"/>
      <c r="B1054" s="401"/>
      <c r="C1054" s="401"/>
      <c r="D1054" s="401"/>
      <c r="E1054" s="401"/>
      <c r="F1054" s="401"/>
      <c r="G1054" s="417"/>
    </row>
    <row r="1055" spans="1:9" ht="12.75" customHeight="1" thickBot="1">
      <c r="A1055" s="411" t="s">
        <v>213</v>
      </c>
      <c r="B1055" s="412"/>
      <c r="C1055" s="412"/>
      <c r="D1055" s="412" t="s">
        <v>214</v>
      </c>
      <c r="E1055" s="412"/>
      <c r="F1055" s="412"/>
      <c r="G1055" s="418">
        <f t="shared" si="13"/>
        <v>15883</v>
      </c>
    </row>
    <row r="1056" spans="1:9" ht="15" customHeight="1">
      <c r="A1056" s="468" t="s">
        <v>174</v>
      </c>
      <c r="B1056" s="457"/>
      <c r="C1056" s="457"/>
      <c r="D1056" s="457"/>
      <c r="E1056" s="457"/>
      <c r="F1056" s="457"/>
      <c r="G1056" s="457"/>
    </row>
    <row r="1057" spans="1:7" ht="12.75" customHeight="1" thickBot="1"/>
    <row r="1058" spans="1:7" ht="12.75" customHeight="1">
      <c r="A1058" s="404" t="s">
        <v>175</v>
      </c>
      <c r="B1058" s="405"/>
      <c r="C1058" s="405"/>
      <c r="D1058" s="428"/>
      <c r="E1058" s="428"/>
      <c r="F1058" s="428"/>
      <c r="G1058" s="429"/>
    </row>
    <row r="1059" spans="1:7" ht="12.75" customHeight="1">
      <c r="A1059" s="406" t="s">
        <v>368</v>
      </c>
      <c r="B1059" s="401"/>
      <c r="C1059" s="401"/>
      <c r="D1059" s="401"/>
      <c r="E1059" s="195"/>
      <c r="F1059" s="402" t="s">
        <v>177</v>
      </c>
      <c r="G1059" s="430">
        <f t="shared" ca="1" si="0"/>
        <v>46289</v>
      </c>
    </row>
    <row r="1060" spans="1:7" ht="12.75" customHeight="1">
      <c r="A1060" s="406"/>
      <c r="B1060" s="401"/>
      <c r="C1060" s="401"/>
      <c r="D1060" s="401"/>
      <c r="E1060" s="401"/>
      <c r="F1060" s="401"/>
      <c r="G1060" s="417"/>
    </row>
    <row r="1061" spans="1:7" ht="12.75" customHeight="1">
      <c r="A1061" s="406" t="s">
        <v>854</v>
      </c>
      <c r="B1061" s="401" t="s">
        <v>814</v>
      </c>
      <c r="C1061" s="401"/>
      <c r="D1061" s="401"/>
      <c r="E1061" s="401"/>
      <c r="F1061" s="401"/>
      <c r="G1061" s="417"/>
    </row>
    <row r="1062" spans="1:7" ht="12.75" customHeight="1">
      <c r="A1062" s="406"/>
      <c r="B1062" s="401"/>
      <c r="C1062" s="401" t="s">
        <v>179</v>
      </c>
      <c r="D1062" s="432">
        <v>9</v>
      </c>
      <c r="E1062" s="401" t="s">
        <v>180</v>
      </c>
      <c r="F1062" s="401" t="s">
        <v>337</v>
      </c>
      <c r="G1062" s="417"/>
    </row>
    <row r="1063" spans="1:7" ht="12.75" customHeight="1">
      <c r="A1063" s="406" t="s">
        <v>182</v>
      </c>
      <c r="B1063" s="401"/>
      <c r="C1063" s="401"/>
      <c r="D1063" s="401"/>
      <c r="E1063" s="401"/>
      <c r="F1063" s="401"/>
      <c r="G1063" s="417"/>
    </row>
    <row r="1064" spans="1:7" ht="12.75" customHeight="1">
      <c r="A1064" s="408" t="s">
        <v>111</v>
      </c>
      <c r="B1064" s="169" t="s">
        <v>183</v>
      </c>
      <c r="C1064" s="169" t="s">
        <v>184</v>
      </c>
      <c r="D1064" s="169" t="s">
        <v>185</v>
      </c>
      <c r="E1064" s="169" t="s">
        <v>186</v>
      </c>
      <c r="F1064" s="401"/>
      <c r="G1064" s="417"/>
    </row>
    <row r="1065" spans="1:7" ht="12.75" customHeight="1">
      <c r="A1065" s="406" t="s">
        <v>187</v>
      </c>
      <c r="B1065" s="401"/>
      <c r="C1065" s="401"/>
      <c r="D1065" s="401"/>
      <c r="E1065" s="403">
        <f t="shared" ref="E1065" si="87">G1093*0.05</f>
        <v>252.65625</v>
      </c>
      <c r="F1065" s="401"/>
      <c r="G1065" s="417"/>
    </row>
    <row r="1066" spans="1:7" ht="12.75" customHeight="1">
      <c r="A1066" s="406"/>
      <c r="B1066" s="401"/>
      <c r="C1066" s="401"/>
      <c r="D1066" s="401"/>
      <c r="E1066" s="401"/>
      <c r="F1066" s="401"/>
      <c r="G1066" s="417"/>
    </row>
    <row r="1067" spans="1:7" ht="12.75" customHeight="1">
      <c r="A1067" s="406"/>
      <c r="B1067" s="401"/>
      <c r="C1067" s="401"/>
      <c r="D1067" s="401"/>
      <c r="E1067" s="401"/>
      <c r="F1067" s="401"/>
      <c r="G1067" s="417"/>
    </row>
    <row r="1068" spans="1:7" ht="12.75" customHeight="1">
      <c r="A1068" s="406"/>
      <c r="B1068" s="401"/>
      <c r="C1068" s="401"/>
      <c r="D1068" s="401"/>
      <c r="E1068" s="401"/>
      <c r="F1068" s="401" t="s">
        <v>189</v>
      </c>
      <c r="G1068" s="417">
        <f t="shared" ref="G1068" si="88">E1065+E1066+E1067+E1068</f>
        <v>252.65625</v>
      </c>
    </row>
    <row r="1069" spans="1:7" ht="12.75" customHeight="1">
      <c r="A1069" s="406" t="s">
        <v>191</v>
      </c>
      <c r="B1069" s="401"/>
      <c r="C1069" s="401"/>
      <c r="D1069" s="401"/>
      <c r="E1069" s="401"/>
      <c r="F1069" s="401"/>
      <c r="G1069" s="417"/>
    </row>
    <row r="1070" spans="1:7" ht="12.75" customHeight="1">
      <c r="A1070" s="408" t="s">
        <v>111</v>
      </c>
      <c r="B1070" s="169" t="s">
        <v>193</v>
      </c>
      <c r="C1070" s="169" t="s">
        <v>194</v>
      </c>
      <c r="D1070" s="169" t="s">
        <v>195</v>
      </c>
      <c r="E1070" s="169" t="s">
        <v>186</v>
      </c>
      <c r="F1070" s="401"/>
      <c r="G1070" s="417"/>
    </row>
    <row r="1071" spans="1:7" ht="13.5" customHeight="1">
      <c r="A1071" s="406" t="s">
        <v>814</v>
      </c>
      <c r="B1071" s="169" t="s">
        <v>35</v>
      </c>
      <c r="C1071" s="403">
        <f>1.19*6400</f>
        <v>7616</v>
      </c>
      <c r="D1071" s="401">
        <v>1.05</v>
      </c>
      <c r="E1071" s="403">
        <f t="shared" ref="E1071:E1072" si="89">C1071*D1071</f>
        <v>7996.8</v>
      </c>
      <c r="F1071" s="401"/>
      <c r="G1071" s="417"/>
    </row>
    <row r="1072" spans="1:7" ht="15" customHeight="1">
      <c r="A1072" s="406" t="s">
        <v>296</v>
      </c>
      <c r="B1072" s="169" t="s">
        <v>220</v>
      </c>
      <c r="C1072" s="401">
        <v>750</v>
      </c>
      <c r="D1072" s="401">
        <v>1</v>
      </c>
      <c r="E1072" s="401">
        <f t="shared" si="89"/>
        <v>750</v>
      </c>
      <c r="F1072" s="401"/>
      <c r="G1072" s="417"/>
    </row>
    <row r="1073" spans="1:7" ht="12.75" customHeight="1">
      <c r="A1073" s="406"/>
      <c r="B1073" s="169"/>
      <c r="C1073" s="401"/>
      <c r="D1073" s="401"/>
      <c r="E1073" s="401"/>
      <c r="F1073" s="401"/>
      <c r="G1073" s="417"/>
    </row>
    <row r="1074" spans="1:7" ht="12.75" customHeight="1">
      <c r="A1074" s="406"/>
      <c r="B1074" s="401"/>
      <c r="C1074" s="401"/>
      <c r="D1074" s="401"/>
      <c r="E1074" s="401"/>
      <c r="F1074" s="401"/>
      <c r="G1074" s="417"/>
    </row>
    <row r="1075" spans="1:7" ht="12.75" customHeight="1">
      <c r="A1075" s="406"/>
      <c r="B1075" s="401"/>
      <c r="C1075" s="401"/>
      <c r="D1075" s="401"/>
      <c r="E1075" s="401"/>
      <c r="F1075" s="401"/>
      <c r="G1075" s="417"/>
    </row>
    <row r="1076" spans="1:7" ht="12.75" customHeight="1">
      <c r="A1076" s="406"/>
      <c r="B1076" s="401"/>
      <c r="C1076" s="401"/>
      <c r="D1076" s="401"/>
      <c r="E1076" s="401"/>
      <c r="F1076" s="401"/>
      <c r="G1076" s="417"/>
    </row>
    <row r="1077" spans="1:7" ht="12.75" customHeight="1">
      <c r="A1077" s="406"/>
      <c r="B1077" s="401"/>
      <c r="C1077" s="401"/>
      <c r="D1077" s="401"/>
      <c r="E1077" s="401"/>
      <c r="F1077" s="401" t="s">
        <v>189</v>
      </c>
      <c r="G1077" s="417">
        <f t="shared" ref="G1077" si="90">E1071+E1072+E1073+E1074+E1075+E1076+E1077</f>
        <v>8746.7999999999993</v>
      </c>
    </row>
    <row r="1078" spans="1:7" ht="12.75" customHeight="1">
      <c r="A1078" s="406" t="s">
        <v>197</v>
      </c>
      <c r="B1078" s="401"/>
      <c r="C1078" s="401"/>
      <c r="D1078" s="401"/>
      <c r="E1078" s="401"/>
      <c r="F1078" s="401"/>
      <c r="G1078" s="417"/>
    </row>
    <row r="1079" spans="1:7" ht="12.75" customHeight="1">
      <c r="A1079" s="408" t="s">
        <v>198</v>
      </c>
      <c r="B1079" s="169" t="s">
        <v>199</v>
      </c>
      <c r="C1079" s="169" t="s">
        <v>200</v>
      </c>
      <c r="D1079" s="169" t="s">
        <v>201</v>
      </c>
      <c r="E1079" s="169" t="s">
        <v>186</v>
      </c>
      <c r="F1079" s="401"/>
      <c r="G1079" s="417"/>
    </row>
    <row r="1080" spans="1:7" ht="12.75" customHeight="1">
      <c r="A1080" s="406" t="s">
        <v>243</v>
      </c>
      <c r="B1080" s="401"/>
      <c r="C1080" s="401"/>
      <c r="D1080" s="401"/>
      <c r="E1080" s="403">
        <v>4785.1110576923247</v>
      </c>
      <c r="F1080" s="401"/>
      <c r="G1080" s="417"/>
    </row>
    <row r="1081" spans="1:7" ht="12.75" customHeight="1">
      <c r="A1081" s="406"/>
      <c r="B1081" s="401"/>
      <c r="C1081" s="401"/>
      <c r="D1081" s="401"/>
      <c r="E1081" s="401"/>
      <c r="F1081" s="401"/>
      <c r="G1081" s="417"/>
    </row>
    <row r="1082" spans="1:7" ht="12.75" customHeight="1">
      <c r="A1082" s="406"/>
      <c r="B1082" s="401"/>
      <c r="C1082" s="401"/>
      <c r="D1082" s="401"/>
      <c r="E1082" s="401"/>
      <c r="F1082" s="401"/>
      <c r="G1082" s="417"/>
    </row>
    <row r="1083" spans="1:7" ht="12.75" customHeight="1">
      <c r="A1083" s="406"/>
      <c r="B1083" s="401"/>
      <c r="C1083" s="401"/>
      <c r="D1083" s="401"/>
      <c r="E1083" s="401"/>
      <c r="F1083" s="401"/>
      <c r="G1083" s="417"/>
    </row>
    <row r="1084" spans="1:7" ht="12.75" customHeight="1">
      <c r="A1084" s="406"/>
      <c r="B1084" s="401"/>
      <c r="C1084" s="401"/>
      <c r="D1084" s="401"/>
      <c r="E1084" s="401"/>
      <c r="F1084" s="401" t="s">
        <v>189</v>
      </c>
      <c r="G1084" s="417">
        <f t="shared" ref="G1084" si="91">E1080+E1081+E1082+E1083+E1084</f>
        <v>4785.1110576923247</v>
      </c>
    </row>
    <row r="1085" spans="1:7" ht="12.75" customHeight="1">
      <c r="A1085" s="406" t="s">
        <v>202</v>
      </c>
      <c r="B1085" s="401"/>
      <c r="C1085" s="401"/>
      <c r="D1085" s="401"/>
      <c r="E1085" s="401"/>
      <c r="F1085" s="401"/>
      <c r="G1085" s="417"/>
    </row>
    <row r="1086" spans="1:7" ht="12.75" customHeight="1">
      <c r="A1086" s="408" t="s">
        <v>203</v>
      </c>
      <c r="B1086" s="169" t="s">
        <v>204</v>
      </c>
      <c r="C1086" s="169" t="s">
        <v>205</v>
      </c>
      <c r="D1086" s="169" t="s">
        <v>206</v>
      </c>
      <c r="E1086" s="169" t="s">
        <v>207</v>
      </c>
      <c r="F1086" s="169" t="s">
        <v>208</v>
      </c>
      <c r="G1086" s="417"/>
    </row>
    <row r="1087" spans="1:7" ht="12.75" customHeight="1">
      <c r="A1087" s="406" t="s">
        <v>188</v>
      </c>
      <c r="B1087" s="401">
        <f>+B1043</f>
        <v>140000</v>
      </c>
      <c r="C1087" s="401">
        <f t="shared" ref="C1087:C1088" si="92">0.75*B1087</f>
        <v>105000</v>
      </c>
      <c r="D1087" s="401">
        <f t="shared" ref="D1087:D1088" si="93">B1087+C1087</f>
        <v>245000</v>
      </c>
      <c r="E1087" s="401">
        <v>80</v>
      </c>
      <c r="F1087" s="403">
        <f t="shared" ref="F1087:F1088" si="94">D1087/E1087</f>
        <v>3062.5</v>
      </c>
      <c r="G1087" s="417"/>
    </row>
    <row r="1088" spans="1:7" ht="12.75" customHeight="1">
      <c r="A1088" s="406" t="s">
        <v>307</v>
      </c>
      <c r="B1088" s="401">
        <f>+B1044</f>
        <v>91000</v>
      </c>
      <c r="C1088" s="403">
        <f t="shared" si="92"/>
        <v>68250</v>
      </c>
      <c r="D1088" s="403">
        <f t="shared" si="93"/>
        <v>159250</v>
      </c>
      <c r="E1088" s="401">
        <v>80</v>
      </c>
      <c r="F1088" s="403">
        <f t="shared" si="94"/>
        <v>1990.625</v>
      </c>
      <c r="G1088" s="417"/>
    </row>
    <row r="1089" spans="1:9" ht="12.75" customHeight="1">
      <c r="A1089" s="406"/>
      <c r="B1089" s="401"/>
      <c r="C1089" s="401"/>
      <c r="D1089" s="401"/>
      <c r="E1089" s="401"/>
      <c r="F1089" s="401"/>
      <c r="G1089" s="417"/>
    </row>
    <row r="1090" spans="1:9" ht="12.75" customHeight="1">
      <c r="A1090" s="406"/>
      <c r="B1090" s="401"/>
      <c r="C1090" s="401"/>
      <c r="D1090" s="401"/>
      <c r="E1090" s="401"/>
      <c r="F1090" s="401"/>
      <c r="G1090" s="417"/>
    </row>
    <row r="1091" spans="1:9" ht="12.75" customHeight="1">
      <c r="A1091" s="406"/>
      <c r="B1091" s="401"/>
      <c r="C1091" s="401"/>
      <c r="D1091" s="401"/>
      <c r="E1091" s="401"/>
      <c r="F1091" s="401"/>
      <c r="G1091" s="417"/>
    </row>
    <row r="1092" spans="1:9" ht="12.75" customHeight="1">
      <c r="A1092" s="406"/>
      <c r="B1092" s="401"/>
      <c r="C1092" s="401"/>
      <c r="D1092" s="401"/>
      <c r="E1092" s="401"/>
      <c r="F1092" s="401"/>
      <c r="G1092" s="417"/>
    </row>
    <row r="1093" spans="1:9" ht="12.75" customHeight="1">
      <c r="A1093" s="406"/>
      <c r="B1093" s="401"/>
      <c r="C1093" s="401"/>
      <c r="D1093" s="401"/>
      <c r="E1093" s="401"/>
      <c r="F1093" s="401" t="s">
        <v>189</v>
      </c>
      <c r="G1093" s="417">
        <f t="shared" ref="G1093" si="95">F1087+F1088+F1089+F1090+F1091+F1092</f>
        <v>5053.125</v>
      </c>
    </row>
    <row r="1094" spans="1:9" ht="12.75" customHeight="1">
      <c r="A1094" s="406"/>
      <c r="B1094" s="401"/>
      <c r="C1094" s="401"/>
      <c r="D1094" s="401"/>
      <c r="E1094" s="401"/>
      <c r="F1094" s="401"/>
      <c r="G1094" s="417"/>
    </row>
    <row r="1095" spans="1:9" ht="12.75" customHeight="1">
      <c r="A1095" s="406" t="s">
        <v>209</v>
      </c>
      <c r="B1095" s="401"/>
      <c r="C1095" s="401" t="s">
        <v>210</v>
      </c>
      <c r="D1095" s="401" t="s">
        <v>211</v>
      </c>
      <c r="E1095" s="401"/>
      <c r="F1095" s="401"/>
      <c r="G1095" s="417">
        <f t="shared" si="11"/>
        <v>18837.692307692323</v>
      </c>
      <c r="I1095">
        <v>24052.58</v>
      </c>
    </row>
    <row r="1096" spans="1:9" ht="12.75" customHeight="1">
      <c r="A1096" s="406"/>
      <c r="B1096" s="401"/>
      <c r="C1096" s="401"/>
      <c r="D1096" s="401"/>
      <c r="E1096" s="401"/>
      <c r="F1096" s="401"/>
      <c r="G1096" s="417"/>
    </row>
    <row r="1097" spans="1:9" ht="12.75" customHeight="1">
      <c r="A1097" s="406"/>
      <c r="B1097" s="401"/>
      <c r="C1097" s="401"/>
      <c r="D1097" s="401"/>
      <c r="E1097" s="401" t="s">
        <v>212</v>
      </c>
      <c r="F1097" s="401"/>
      <c r="G1097" s="417">
        <f t="shared" si="12"/>
        <v>5651.3076923076969</v>
      </c>
    </row>
    <row r="1098" spans="1:9" ht="12.75" customHeight="1">
      <c r="A1098" s="406"/>
      <c r="B1098" s="401"/>
      <c r="C1098" s="401"/>
      <c r="D1098" s="401"/>
      <c r="E1098" s="401"/>
      <c r="F1098" s="401"/>
      <c r="G1098" s="417"/>
    </row>
    <row r="1099" spans="1:9" ht="12.75" customHeight="1" thickBot="1">
      <c r="A1099" s="411" t="s">
        <v>213</v>
      </c>
      <c r="B1099" s="412"/>
      <c r="C1099" s="412"/>
      <c r="D1099" s="412" t="s">
        <v>214</v>
      </c>
      <c r="E1099" s="412"/>
      <c r="F1099" s="412"/>
      <c r="G1099" s="418">
        <f t="shared" si="13"/>
        <v>24489.000000000022</v>
      </c>
    </row>
    <row r="1100" spans="1:9" ht="15" customHeight="1">
      <c r="A1100" s="468" t="s">
        <v>174</v>
      </c>
      <c r="B1100" s="457"/>
      <c r="C1100" s="457"/>
      <c r="D1100" s="457"/>
      <c r="E1100" s="457"/>
      <c r="F1100" s="457"/>
      <c r="G1100" s="457"/>
    </row>
    <row r="1101" spans="1:9" ht="12.75" customHeight="1" thickBot="1"/>
    <row r="1102" spans="1:9" ht="12.75" customHeight="1">
      <c r="A1102" s="404" t="s">
        <v>175</v>
      </c>
      <c r="B1102" s="405"/>
      <c r="C1102" s="405"/>
      <c r="D1102" s="428"/>
      <c r="E1102" s="428"/>
      <c r="F1102" s="428"/>
      <c r="G1102" s="429"/>
    </row>
    <row r="1103" spans="1:9" ht="12.75" customHeight="1">
      <c r="A1103" s="406" t="s">
        <v>368</v>
      </c>
      <c r="B1103" s="401"/>
      <c r="C1103" s="401"/>
      <c r="D1103" s="401"/>
      <c r="E1103" s="195"/>
      <c r="F1103" s="402" t="s">
        <v>177</v>
      </c>
      <c r="G1103" s="430">
        <f t="shared" ca="1" si="0"/>
        <v>46289</v>
      </c>
    </row>
    <row r="1104" spans="1:9" ht="12.75" customHeight="1">
      <c r="A1104" s="406"/>
      <c r="B1104" s="401"/>
      <c r="C1104" s="401"/>
      <c r="D1104" s="401"/>
      <c r="E1104" s="401"/>
      <c r="F1104" s="401"/>
      <c r="G1104" s="417"/>
    </row>
    <row r="1105" spans="1:7" ht="12.75" customHeight="1">
      <c r="A1105" s="406" t="s">
        <v>855</v>
      </c>
      <c r="B1105" s="401" t="s">
        <v>815</v>
      </c>
      <c r="C1105" s="401"/>
      <c r="D1105" s="401"/>
      <c r="E1105" s="401"/>
      <c r="F1105" s="401"/>
      <c r="G1105" s="417"/>
    </row>
    <row r="1106" spans="1:7" ht="12.75" customHeight="1">
      <c r="A1106" s="406"/>
      <c r="B1106" s="401"/>
      <c r="C1106" s="401" t="s">
        <v>179</v>
      </c>
      <c r="D1106" s="432">
        <v>9</v>
      </c>
      <c r="E1106" s="401" t="s">
        <v>180</v>
      </c>
      <c r="F1106" s="401" t="s">
        <v>337</v>
      </c>
      <c r="G1106" s="417"/>
    </row>
    <row r="1107" spans="1:7" ht="12.75" customHeight="1">
      <c r="A1107" s="406" t="s">
        <v>182</v>
      </c>
      <c r="B1107" s="401"/>
      <c r="C1107" s="401"/>
      <c r="D1107" s="401"/>
      <c r="E1107" s="401"/>
      <c r="F1107" s="401"/>
      <c r="G1107" s="417"/>
    </row>
    <row r="1108" spans="1:7" ht="12.75" customHeight="1">
      <c r="A1108" s="408" t="s">
        <v>111</v>
      </c>
      <c r="B1108" s="169" t="s">
        <v>183</v>
      </c>
      <c r="C1108" s="169" t="s">
        <v>184</v>
      </c>
      <c r="D1108" s="169" t="s">
        <v>185</v>
      </c>
      <c r="E1108" s="169" t="s">
        <v>186</v>
      </c>
      <c r="F1108" s="401"/>
      <c r="G1108" s="417"/>
    </row>
    <row r="1109" spans="1:7" ht="12.75" customHeight="1">
      <c r="A1109" s="406" t="s">
        <v>187</v>
      </c>
      <c r="B1109" s="401"/>
      <c r="C1109" s="401"/>
      <c r="D1109" s="401"/>
      <c r="E1109" s="403">
        <f t="shared" ref="E1109" si="96">G1137*0.05</f>
        <v>252.65625</v>
      </c>
      <c r="F1109" s="401"/>
      <c r="G1109" s="417"/>
    </row>
    <row r="1110" spans="1:7" ht="12.75" customHeight="1">
      <c r="A1110" s="406"/>
      <c r="B1110" s="401"/>
      <c r="C1110" s="401"/>
      <c r="D1110" s="401"/>
      <c r="E1110" s="401"/>
      <c r="F1110" s="401"/>
      <c r="G1110" s="417"/>
    </row>
    <row r="1111" spans="1:7" ht="12.75" customHeight="1">
      <c r="A1111" s="406"/>
      <c r="B1111" s="401"/>
      <c r="C1111" s="401"/>
      <c r="D1111" s="401"/>
      <c r="E1111" s="401"/>
      <c r="F1111" s="401"/>
      <c r="G1111" s="417"/>
    </row>
    <row r="1112" spans="1:7" ht="12.75" customHeight="1">
      <c r="A1112" s="406"/>
      <c r="B1112" s="401"/>
      <c r="C1112" s="401"/>
      <c r="D1112" s="401"/>
      <c r="E1112" s="401"/>
      <c r="F1112" s="401" t="s">
        <v>189</v>
      </c>
      <c r="G1112" s="417">
        <f t="shared" ref="G1112" si="97">E1109+E1110+E1111+E1112</f>
        <v>252.65625</v>
      </c>
    </row>
    <row r="1113" spans="1:7" ht="12.75" customHeight="1">
      <c r="A1113" s="406" t="s">
        <v>191</v>
      </c>
      <c r="B1113" s="401"/>
      <c r="C1113" s="401"/>
      <c r="D1113" s="401"/>
      <c r="E1113" s="401"/>
      <c r="F1113" s="401"/>
      <c r="G1113" s="417"/>
    </row>
    <row r="1114" spans="1:7" ht="12.75" customHeight="1">
      <c r="A1114" s="408" t="s">
        <v>111</v>
      </c>
      <c r="B1114" s="169" t="s">
        <v>193</v>
      </c>
      <c r="C1114" s="169" t="s">
        <v>194</v>
      </c>
      <c r="D1114" s="169" t="s">
        <v>195</v>
      </c>
      <c r="E1114" s="169" t="s">
        <v>186</v>
      </c>
      <c r="F1114" s="401"/>
      <c r="G1114" s="417"/>
    </row>
    <row r="1115" spans="1:7" ht="13.5" customHeight="1">
      <c r="A1115" s="406" t="s">
        <v>815</v>
      </c>
      <c r="B1115" s="169" t="s">
        <v>35</v>
      </c>
      <c r="C1115" s="403">
        <f>1.19*13900</f>
        <v>16541</v>
      </c>
      <c r="D1115" s="401">
        <v>1.05</v>
      </c>
      <c r="E1115" s="403">
        <f t="shared" ref="E1115:E1116" si="98">C1115*D1115</f>
        <v>17368.05</v>
      </c>
      <c r="F1115" s="401"/>
      <c r="G1115" s="417"/>
    </row>
    <row r="1116" spans="1:7" ht="15" customHeight="1">
      <c r="A1116" s="406" t="s">
        <v>296</v>
      </c>
      <c r="B1116" s="169" t="s">
        <v>220</v>
      </c>
      <c r="C1116" s="401">
        <v>750</v>
      </c>
      <c r="D1116" s="401">
        <v>1</v>
      </c>
      <c r="E1116" s="401">
        <f t="shared" si="98"/>
        <v>750</v>
      </c>
      <c r="F1116" s="401"/>
      <c r="G1116" s="417"/>
    </row>
    <row r="1117" spans="1:7" ht="12.75" customHeight="1">
      <c r="A1117" s="406"/>
      <c r="B1117" s="169"/>
      <c r="C1117" s="401"/>
      <c r="D1117" s="401"/>
      <c r="E1117" s="401"/>
      <c r="F1117" s="401"/>
      <c r="G1117" s="417"/>
    </row>
    <row r="1118" spans="1:7" ht="12.75" customHeight="1">
      <c r="A1118" s="406"/>
      <c r="B1118" s="401"/>
      <c r="C1118" s="401"/>
      <c r="D1118" s="401"/>
      <c r="E1118" s="401"/>
      <c r="F1118" s="401"/>
      <c r="G1118" s="417"/>
    </row>
    <row r="1119" spans="1:7" ht="12.75" customHeight="1">
      <c r="A1119" s="406"/>
      <c r="B1119" s="401"/>
      <c r="C1119" s="401"/>
      <c r="D1119" s="401"/>
      <c r="E1119" s="401"/>
      <c r="F1119" s="401"/>
      <c r="G1119" s="417"/>
    </row>
    <row r="1120" spans="1:7" ht="12.75" customHeight="1">
      <c r="A1120" s="406"/>
      <c r="B1120" s="401"/>
      <c r="C1120" s="401"/>
      <c r="D1120" s="401"/>
      <c r="E1120" s="401"/>
      <c r="F1120" s="401"/>
      <c r="G1120" s="417"/>
    </row>
    <row r="1121" spans="1:7" ht="12.75" customHeight="1">
      <c r="A1121" s="406"/>
      <c r="B1121" s="401"/>
      <c r="C1121" s="401"/>
      <c r="D1121" s="401"/>
      <c r="E1121" s="401"/>
      <c r="F1121" s="401" t="s">
        <v>189</v>
      </c>
      <c r="G1121" s="417">
        <f t="shared" ref="G1121" si="99">E1115+E1116+E1117+E1118+E1119+E1120+E1121</f>
        <v>18118.05</v>
      </c>
    </row>
    <row r="1122" spans="1:7" ht="12.75" customHeight="1">
      <c r="A1122" s="406" t="s">
        <v>197</v>
      </c>
      <c r="B1122" s="401"/>
      <c r="C1122" s="401"/>
      <c r="D1122" s="401"/>
      <c r="E1122" s="401"/>
      <c r="F1122" s="401"/>
      <c r="G1122" s="417"/>
    </row>
    <row r="1123" spans="1:7" ht="12.75" customHeight="1">
      <c r="A1123" s="408" t="s">
        <v>198</v>
      </c>
      <c r="B1123" s="169" t="s">
        <v>199</v>
      </c>
      <c r="C1123" s="169" t="s">
        <v>200</v>
      </c>
      <c r="D1123" s="169" t="s">
        <v>201</v>
      </c>
      <c r="E1123" s="169" t="s">
        <v>186</v>
      </c>
      <c r="F1123" s="401"/>
      <c r="G1123" s="417"/>
    </row>
    <row r="1124" spans="1:7" ht="12.75" customHeight="1">
      <c r="A1124" s="406" t="s">
        <v>243</v>
      </c>
      <c r="B1124" s="401"/>
      <c r="C1124" s="401"/>
      <c r="D1124" s="401"/>
      <c r="E1124" s="403">
        <v>2622.3225961538487</v>
      </c>
      <c r="F1124" s="401"/>
      <c r="G1124" s="417"/>
    </row>
    <row r="1125" spans="1:7" ht="12.75" customHeight="1">
      <c r="A1125" s="406"/>
      <c r="B1125" s="401"/>
      <c r="C1125" s="401"/>
      <c r="D1125" s="401"/>
      <c r="E1125" s="401"/>
      <c r="F1125" s="401"/>
      <c r="G1125" s="417"/>
    </row>
    <row r="1126" spans="1:7" ht="12.75" customHeight="1">
      <c r="A1126" s="406"/>
      <c r="B1126" s="401"/>
      <c r="C1126" s="401"/>
      <c r="D1126" s="401"/>
      <c r="E1126" s="401"/>
      <c r="F1126" s="401"/>
      <c r="G1126" s="417"/>
    </row>
    <row r="1127" spans="1:7" ht="12.75" customHeight="1">
      <c r="A1127" s="406"/>
      <c r="B1127" s="401"/>
      <c r="C1127" s="401"/>
      <c r="D1127" s="401"/>
      <c r="E1127" s="401"/>
      <c r="F1127" s="401"/>
      <c r="G1127" s="417"/>
    </row>
    <row r="1128" spans="1:7" ht="12.75" customHeight="1">
      <c r="A1128" s="406"/>
      <c r="B1128" s="401"/>
      <c r="C1128" s="401"/>
      <c r="D1128" s="401"/>
      <c r="E1128" s="401"/>
      <c r="F1128" s="401" t="s">
        <v>189</v>
      </c>
      <c r="G1128" s="417">
        <f t="shared" ref="G1128" si="100">E1124+E1125+E1126+E1127+E1128</f>
        <v>2622.3225961538487</v>
      </c>
    </row>
    <row r="1129" spans="1:7" ht="12.75" customHeight="1">
      <c r="A1129" s="406" t="s">
        <v>202</v>
      </c>
      <c r="B1129" s="401"/>
      <c r="C1129" s="401"/>
      <c r="D1129" s="401"/>
      <c r="E1129" s="401"/>
      <c r="F1129" s="401"/>
      <c r="G1129" s="417"/>
    </row>
    <row r="1130" spans="1:7" ht="12.75" customHeight="1">
      <c r="A1130" s="408" t="s">
        <v>203</v>
      </c>
      <c r="B1130" s="169" t="s">
        <v>204</v>
      </c>
      <c r="C1130" s="169" t="s">
        <v>205</v>
      </c>
      <c r="D1130" s="169" t="s">
        <v>206</v>
      </c>
      <c r="E1130" s="169" t="s">
        <v>207</v>
      </c>
      <c r="F1130" s="169" t="s">
        <v>208</v>
      </c>
      <c r="G1130" s="417"/>
    </row>
    <row r="1131" spans="1:7" ht="12.75" customHeight="1">
      <c r="A1131" s="406" t="s">
        <v>188</v>
      </c>
      <c r="B1131" s="401">
        <f>+B1087</f>
        <v>140000</v>
      </c>
      <c r="C1131" s="401">
        <f t="shared" ref="C1131:C1132" si="101">0.75*B1131</f>
        <v>105000</v>
      </c>
      <c r="D1131" s="401">
        <f t="shared" ref="D1131:D1132" si="102">B1131+C1131</f>
        <v>245000</v>
      </c>
      <c r="E1131" s="401">
        <v>80</v>
      </c>
      <c r="F1131" s="403">
        <f t="shared" ref="F1131:F1132" si="103">D1131/E1131</f>
        <v>3062.5</v>
      </c>
      <c r="G1131" s="417"/>
    </row>
    <row r="1132" spans="1:7" ht="12.75" customHeight="1">
      <c r="A1132" s="406" t="s">
        <v>307</v>
      </c>
      <c r="B1132" s="401">
        <f>+B1088</f>
        <v>91000</v>
      </c>
      <c r="C1132" s="403">
        <f t="shared" si="101"/>
        <v>68250</v>
      </c>
      <c r="D1132" s="403">
        <f t="shared" si="102"/>
        <v>159250</v>
      </c>
      <c r="E1132" s="401">
        <v>80</v>
      </c>
      <c r="F1132" s="403">
        <f t="shared" si="103"/>
        <v>1990.625</v>
      </c>
      <c r="G1132" s="417"/>
    </row>
    <row r="1133" spans="1:7" ht="12.75" customHeight="1">
      <c r="A1133" s="406"/>
      <c r="B1133" s="401"/>
      <c r="C1133" s="401"/>
      <c r="D1133" s="401"/>
      <c r="E1133" s="401"/>
      <c r="F1133" s="401"/>
      <c r="G1133" s="417"/>
    </row>
    <row r="1134" spans="1:7" ht="12.75" customHeight="1">
      <c r="A1134" s="406"/>
      <c r="B1134" s="401"/>
      <c r="C1134" s="401"/>
      <c r="D1134" s="401"/>
      <c r="E1134" s="401"/>
      <c r="F1134" s="401"/>
      <c r="G1134" s="417"/>
    </row>
    <row r="1135" spans="1:7" ht="12.75" customHeight="1">
      <c r="A1135" s="406"/>
      <c r="B1135" s="401"/>
      <c r="C1135" s="401"/>
      <c r="D1135" s="401"/>
      <c r="E1135" s="401"/>
      <c r="F1135" s="401"/>
      <c r="G1135" s="417"/>
    </row>
    <row r="1136" spans="1:7" ht="12.75" customHeight="1">
      <c r="A1136" s="406"/>
      <c r="B1136" s="401"/>
      <c r="C1136" s="401"/>
      <c r="D1136" s="401"/>
      <c r="E1136" s="401"/>
      <c r="F1136" s="401"/>
      <c r="G1136" s="417"/>
    </row>
    <row r="1137" spans="1:9" ht="12.75" customHeight="1">
      <c r="A1137" s="406"/>
      <c r="B1137" s="401"/>
      <c r="C1137" s="401"/>
      <c r="D1137" s="401"/>
      <c r="E1137" s="401"/>
      <c r="F1137" s="401" t="s">
        <v>189</v>
      </c>
      <c r="G1137" s="417">
        <f t="shared" ref="G1137" si="104">F1131+F1132+F1133+F1134+F1135+F1136</f>
        <v>5053.125</v>
      </c>
    </row>
    <row r="1138" spans="1:9" ht="12.75" customHeight="1">
      <c r="A1138" s="406"/>
      <c r="B1138" s="401"/>
      <c r="C1138" s="401"/>
      <c r="D1138" s="401"/>
      <c r="E1138" s="401"/>
      <c r="F1138" s="401"/>
      <c r="G1138" s="417"/>
    </row>
    <row r="1139" spans="1:9" ht="12.75" customHeight="1">
      <c r="A1139" s="406" t="s">
        <v>209</v>
      </c>
      <c r="B1139" s="401"/>
      <c r="C1139" s="401" t="s">
        <v>210</v>
      </c>
      <c r="D1139" s="401" t="s">
        <v>211</v>
      </c>
      <c r="E1139" s="401"/>
      <c r="F1139" s="401"/>
      <c r="G1139" s="417">
        <f t="shared" si="11"/>
        <v>26046.153846153848</v>
      </c>
      <c r="I1139">
        <v>33423.83</v>
      </c>
    </row>
    <row r="1140" spans="1:9" ht="12.75" customHeight="1">
      <c r="A1140" s="406"/>
      <c r="B1140" s="401"/>
      <c r="C1140" s="401"/>
      <c r="D1140" s="401"/>
      <c r="E1140" s="401"/>
      <c r="F1140" s="401"/>
      <c r="G1140" s="417"/>
    </row>
    <row r="1141" spans="1:9" ht="12.75" customHeight="1">
      <c r="A1141" s="406"/>
      <c r="B1141" s="401"/>
      <c r="C1141" s="401"/>
      <c r="D1141" s="401"/>
      <c r="E1141" s="401" t="s">
        <v>212</v>
      </c>
      <c r="F1141" s="401"/>
      <c r="G1141" s="417">
        <f t="shared" si="12"/>
        <v>7813.8461538461543</v>
      </c>
    </row>
    <row r="1142" spans="1:9" ht="12.75" customHeight="1">
      <c r="A1142" s="406"/>
      <c r="B1142" s="401"/>
      <c r="C1142" s="401"/>
      <c r="D1142" s="401"/>
      <c r="E1142" s="401"/>
      <c r="F1142" s="401"/>
      <c r="G1142" s="417"/>
    </row>
    <row r="1143" spans="1:9" ht="12.75" customHeight="1" thickBot="1">
      <c r="A1143" s="411" t="s">
        <v>213</v>
      </c>
      <c r="B1143" s="412"/>
      <c r="C1143" s="412"/>
      <c r="D1143" s="412" t="s">
        <v>214</v>
      </c>
      <c r="E1143" s="412"/>
      <c r="F1143" s="412"/>
      <c r="G1143" s="418">
        <f t="shared" si="13"/>
        <v>33860</v>
      </c>
    </row>
    <row r="1144" spans="1:9" ht="15" customHeight="1">
      <c r="A1144" s="468" t="s">
        <v>174</v>
      </c>
      <c r="B1144" s="457"/>
      <c r="C1144" s="457"/>
      <c r="D1144" s="457"/>
      <c r="E1144" s="457"/>
      <c r="F1144" s="457"/>
      <c r="G1144" s="457"/>
    </row>
    <row r="1145" spans="1:9" ht="12.75" customHeight="1" thickBot="1"/>
    <row r="1146" spans="1:9" ht="12.75" customHeight="1">
      <c r="A1146" s="404" t="s">
        <v>175</v>
      </c>
      <c r="B1146" s="405"/>
      <c r="C1146" s="405"/>
      <c r="D1146" s="428"/>
      <c r="E1146" s="428"/>
      <c r="F1146" s="428"/>
      <c r="G1146" s="429"/>
    </row>
    <row r="1147" spans="1:9" ht="12.75" customHeight="1">
      <c r="A1147" s="406" t="s">
        <v>368</v>
      </c>
      <c r="B1147" s="401"/>
      <c r="C1147" s="401"/>
      <c r="D1147" s="401"/>
      <c r="E1147" s="195"/>
      <c r="F1147" s="402" t="s">
        <v>177</v>
      </c>
      <c r="G1147" s="430">
        <f t="shared" ca="1" si="0"/>
        <v>46289</v>
      </c>
    </row>
    <row r="1148" spans="1:9" ht="12.75" customHeight="1">
      <c r="A1148" s="406"/>
      <c r="B1148" s="401"/>
      <c r="C1148" s="401"/>
      <c r="D1148" s="401"/>
      <c r="E1148" s="401"/>
      <c r="F1148" s="401"/>
      <c r="G1148" s="417"/>
    </row>
    <row r="1149" spans="1:9" ht="12.75" customHeight="1">
      <c r="A1149" s="406" t="s">
        <v>416</v>
      </c>
      <c r="B1149" s="401" t="s">
        <v>816</v>
      </c>
      <c r="C1149" s="401"/>
      <c r="D1149" s="401"/>
      <c r="E1149" s="401"/>
      <c r="F1149" s="401"/>
      <c r="G1149" s="417"/>
    </row>
    <row r="1150" spans="1:9" ht="12.75" customHeight="1">
      <c r="A1150" s="406"/>
      <c r="B1150" s="401"/>
      <c r="C1150" s="401" t="s">
        <v>179</v>
      </c>
      <c r="D1150" s="432">
        <v>9</v>
      </c>
      <c r="E1150" s="401" t="s">
        <v>180</v>
      </c>
      <c r="F1150" s="401" t="s">
        <v>337</v>
      </c>
      <c r="G1150" s="417"/>
    </row>
    <row r="1151" spans="1:9" ht="12.75" customHeight="1">
      <c r="A1151" s="406" t="s">
        <v>182</v>
      </c>
      <c r="B1151" s="401"/>
      <c r="C1151" s="401"/>
      <c r="D1151" s="401"/>
      <c r="E1151" s="401"/>
      <c r="F1151" s="401"/>
      <c r="G1151" s="417"/>
    </row>
    <row r="1152" spans="1:9" ht="12.75" customHeight="1">
      <c r="A1152" s="408" t="s">
        <v>111</v>
      </c>
      <c r="B1152" s="169" t="s">
        <v>183</v>
      </c>
      <c r="C1152" s="169" t="s">
        <v>184</v>
      </c>
      <c r="D1152" s="169" t="s">
        <v>185</v>
      </c>
      <c r="E1152" s="169" t="s">
        <v>186</v>
      </c>
      <c r="F1152" s="401"/>
      <c r="G1152" s="417"/>
    </row>
    <row r="1153" spans="1:7" ht="12.75" customHeight="1">
      <c r="A1153" s="406" t="s">
        <v>187</v>
      </c>
      <c r="B1153" s="401"/>
      <c r="C1153" s="401"/>
      <c r="D1153" s="401"/>
      <c r="E1153" s="403">
        <f t="shared" ref="E1153" si="105">G1181*0.05</f>
        <v>252.65625</v>
      </c>
      <c r="F1153" s="401"/>
      <c r="G1153" s="417"/>
    </row>
    <row r="1154" spans="1:7" ht="12.75" customHeight="1">
      <c r="A1154" s="406"/>
      <c r="B1154" s="401"/>
      <c r="C1154" s="401"/>
      <c r="D1154" s="401"/>
      <c r="E1154" s="401"/>
      <c r="F1154" s="401"/>
      <c r="G1154" s="417"/>
    </row>
    <row r="1155" spans="1:7" ht="12.75" customHeight="1">
      <c r="A1155" s="406"/>
      <c r="B1155" s="401"/>
      <c r="C1155" s="401"/>
      <c r="D1155" s="401"/>
      <c r="E1155" s="401"/>
      <c r="F1155" s="401"/>
      <c r="G1155" s="417"/>
    </row>
    <row r="1156" spans="1:7" ht="12.75" customHeight="1">
      <c r="A1156" s="406"/>
      <c r="B1156" s="401"/>
      <c r="C1156" s="401"/>
      <c r="D1156" s="401"/>
      <c r="E1156" s="401"/>
      <c r="F1156" s="401" t="s">
        <v>189</v>
      </c>
      <c r="G1156" s="417">
        <f t="shared" ref="G1156" si="106">E1153+E1154+E1155+E1156</f>
        <v>252.65625</v>
      </c>
    </row>
    <row r="1157" spans="1:7" ht="12.75" customHeight="1">
      <c r="A1157" s="406" t="s">
        <v>191</v>
      </c>
      <c r="B1157" s="401"/>
      <c r="C1157" s="401"/>
      <c r="D1157" s="401"/>
      <c r="E1157" s="401"/>
      <c r="F1157" s="401"/>
      <c r="G1157" s="417"/>
    </row>
    <row r="1158" spans="1:7" ht="12.75" customHeight="1">
      <c r="A1158" s="408" t="s">
        <v>111</v>
      </c>
      <c r="B1158" s="169" t="s">
        <v>193</v>
      </c>
      <c r="C1158" s="169" t="s">
        <v>194</v>
      </c>
      <c r="D1158" s="169" t="s">
        <v>195</v>
      </c>
      <c r="E1158" s="169" t="s">
        <v>186</v>
      </c>
      <c r="F1158" s="401"/>
      <c r="G1158" s="417"/>
    </row>
    <row r="1159" spans="1:7" ht="13.5" customHeight="1">
      <c r="A1159" s="406" t="s">
        <v>816</v>
      </c>
      <c r="B1159" s="169" t="s">
        <v>35</v>
      </c>
      <c r="C1159" s="403">
        <f>1.19*7000</f>
        <v>8330</v>
      </c>
      <c r="D1159" s="401">
        <v>1.05</v>
      </c>
      <c r="E1159" s="403">
        <f t="shared" ref="E1159:E1160" si="107">C1159*D1159</f>
        <v>8746.5</v>
      </c>
      <c r="F1159" s="401"/>
      <c r="G1159" s="417"/>
    </row>
    <row r="1160" spans="1:7" ht="15" customHeight="1">
      <c r="A1160" s="406" t="s">
        <v>296</v>
      </c>
      <c r="B1160" s="169" t="s">
        <v>220</v>
      </c>
      <c r="C1160" s="401">
        <v>750</v>
      </c>
      <c r="D1160" s="401">
        <v>1</v>
      </c>
      <c r="E1160" s="401">
        <f t="shared" si="107"/>
        <v>750</v>
      </c>
      <c r="F1160" s="401"/>
      <c r="G1160" s="417"/>
    </row>
    <row r="1161" spans="1:7" ht="12.75" customHeight="1">
      <c r="A1161" s="406"/>
      <c r="B1161" s="169"/>
      <c r="C1161" s="401"/>
      <c r="D1161" s="401"/>
      <c r="E1161" s="401"/>
      <c r="F1161" s="401"/>
      <c r="G1161" s="417"/>
    </row>
    <row r="1162" spans="1:7" ht="12.75" customHeight="1">
      <c r="A1162" s="406"/>
      <c r="B1162" s="401"/>
      <c r="C1162" s="401"/>
      <c r="D1162" s="401"/>
      <c r="E1162" s="401"/>
      <c r="F1162" s="401"/>
      <c r="G1162" s="417"/>
    </row>
    <row r="1163" spans="1:7" ht="12.75" customHeight="1">
      <c r="A1163" s="406"/>
      <c r="B1163" s="401"/>
      <c r="C1163" s="401"/>
      <c r="D1163" s="401"/>
      <c r="E1163" s="401"/>
      <c r="F1163" s="401"/>
      <c r="G1163" s="417"/>
    </row>
    <row r="1164" spans="1:7" ht="12.75" customHeight="1">
      <c r="A1164" s="406"/>
      <c r="B1164" s="401"/>
      <c r="C1164" s="401"/>
      <c r="D1164" s="401"/>
      <c r="E1164" s="401"/>
      <c r="F1164" s="401"/>
      <c r="G1164" s="417"/>
    </row>
    <row r="1165" spans="1:7" ht="12.75" customHeight="1">
      <c r="A1165" s="406"/>
      <c r="B1165" s="401"/>
      <c r="C1165" s="401"/>
      <c r="D1165" s="401"/>
      <c r="E1165" s="401"/>
      <c r="F1165" s="401" t="s">
        <v>189</v>
      </c>
      <c r="G1165" s="417">
        <f t="shared" ref="G1165" si="108">E1159+E1160+E1161+E1162+E1163+E1164+E1165</f>
        <v>9496.5</v>
      </c>
    </row>
    <row r="1166" spans="1:7" ht="12.75" customHeight="1">
      <c r="A1166" s="406" t="s">
        <v>197</v>
      </c>
      <c r="B1166" s="401"/>
      <c r="C1166" s="401"/>
      <c r="D1166" s="401"/>
      <c r="E1166" s="401"/>
      <c r="F1166" s="401"/>
      <c r="G1166" s="417"/>
    </row>
    <row r="1167" spans="1:7" ht="12.75" customHeight="1">
      <c r="A1167" s="408" t="s">
        <v>198</v>
      </c>
      <c r="B1167" s="169" t="s">
        <v>199</v>
      </c>
      <c r="C1167" s="169" t="s">
        <v>200</v>
      </c>
      <c r="D1167" s="169" t="s">
        <v>201</v>
      </c>
      <c r="E1167" s="169" t="s">
        <v>186</v>
      </c>
      <c r="F1167" s="401"/>
      <c r="G1167" s="417"/>
    </row>
    <row r="1168" spans="1:7" ht="12.75" customHeight="1">
      <c r="A1168" s="406" t="s">
        <v>243</v>
      </c>
      <c r="B1168" s="401"/>
      <c r="C1168" s="401"/>
      <c r="D1168" s="401"/>
      <c r="E1168" s="403">
        <v>4612.3341346154157</v>
      </c>
      <c r="F1168" s="401"/>
      <c r="G1168" s="417"/>
    </row>
    <row r="1169" spans="1:9" ht="12.75" customHeight="1">
      <c r="A1169" s="406"/>
      <c r="B1169" s="401"/>
      <c r="C1169" s="401"/>
      <c r="D1169" s="401"/>
      <c r="E1169" s="401"/>
      <c r="F1169" s="401"/>
      <c r="G1169" s="417"/>
    </row>
    <row r="1170" spans="1:9" ht="12.75" customHeight="1">
      <c r="A1170" s="406"/>
      <c r="B1170" s="401"/>
      <c r="C1170" s="401"/>
      <c r="D1170" s="401"/>
      <c r="E1170" s="401"/>
      <c r="F1170" s="401"/>
      <c r="G1170" s="417"/>
    </row>
    <row r="1171" spans="1:9" ht="12.75" customHeight="1">
      <c r="A1171" s="406"/>
      <c r="B1171" s="401"/>
      <c r="C1171" s="401"/>
      <c r="D1171" s="401"/>
      <c r="E1171" s="401"/>
      <c r="F1171" s="401"/>
      <c r="G1171" s="417"/>
    </row>
    <row r="1172" spans="1:9" ht="12.75" customHeight="1">
      <c r="A1172" s="406"/>
      <c r="B1172" s="401"/>
      <c r="C1172" s="401"/>
      <c r="D1172" s="401"/>
      <c r="E1172" s="401"/>
      <c r="F1172" s="401" t="s">
        <v>189</v>
      </c>
      <c r="G1172" s="417">
        <f t="shared" ref="G1172" si="109">E1168+E1169+E1170+E1171+E1172</f>
        <v>4612.3341346154157</v>
      </c>
    </row>
    <row r="1173" spans="1:9" ht="12.75" customHeight="1">
      <c r="A1173" s="406" t="s">
        <v>202</v>
      </c>
      <c r="B1173" s="401"/>
      <c r="C1173" s="401"/>
      <c r="D1173" s="401"/>
      <c r="E1173" s="401"/>
      <c r="F1173" s="401"/>
      <c r="G1173" s="417"/>
    </row>
    <row r="1174" spans="1:9" ht="12.75" customHeight="1">
      <c r="A1174" s="408" t="s">
        <v>203</v>
      </c>
      <c r="B1174" s="169" t="s">
        <v>204</v>
      </c>
      <c r="C1174" s="169" t="s">
        <v>205</v>
      </c>
      <c r="D1174" s="169" t="s">
        <v>206</v>
      </c>
      <c r="E1174" s="169" t="s">
        <v>207</v>
      </c>
      <c r="F1174" s="169" t="s">
        <v>208</v>
      </c>
      <c r="G1174" s="417"/>
    </row>
    <row r="1175" spans="1:9" ht="12.75" customHeight="1">
      <c r="A1175" s="406" t="s">
        <v>188</v>
      </c>
      <c r="B1175" s="401">
        <f>+B1131</f>
        <v>140000</v>
      </c>
      <c r="C1175" s="401">
        <f t="shared" ref="C1175:C1176" si="110">0.75*B1175</f>
        <v>105000</v>
      </c>
      <c r="D1175" s="401">
        <f t="shared" ref="D1175:D1176" si="111">B1175+C1175</f>
        <v>245000</v>
      </c>
      <c r="E1175" s="401">
        <v>80</v>
      </c>
      <c r="F1175" s="403">
        <f t="shared" ref="F1175:F1176" si="112">D1175/E1175</f>
        <v>3062.5</v>
      </c>
      <c r="G1175" s="417"/>
    </row>
    <row r="1176" spans="1:9" ht="12.75" customHeight="1">
      <c r="A1176" s="406" t="s">
        <v>307</v>
      </c>
      <c r="B1176" s="401">
        <f>+B1132</f>
        <v>91000</v>
      </c>
      <c r="C1176" s="403">
        <f t="shared" si="110"/>
        <v>68250</v>
      </c>
      <c r="D1176" s="403">
        <f t="shared" si="111"/>
        <v>159250</v>
      </c>
      <c r="E1176" s="401">
        <v>80</v>
      </c>
      <c r="F1176" s="403">
        <f t="shared" si="112"/>
        <v>1990.625</v>
      </c>
      <c r="G1176" s="417"/>
    </row>
    <row r="1177" spans="1:9" ht="12.75" customHeight="1">
      <c r="A1177" s="406"/>
      <c r="B1177" s="401"/>
      <c r="C1177" s="401"/>
      <c r="D1177" s="401"/>
      <c r="E1177" s="401"/>
      <c r="F1177" s="401"/>
      <c r="G1177" s="417"/>
    </row>
    <row r="1178" spans="1:9" ht="12.75" customHeight="1">
      <c r="A1178" s="406"/>
      <c r="B1178" s="401"/>
      <c r="C1178" s="401"/>
      <c r="D1178" s="401"/>
      <c r="E1178" s="401"/>
      <c r="F1178" s="401"/>
      <c r="G1178" s="417"/>
    </row>
    <row r="1179" spans="1:9" ht="12.75" customHeight="1">
      <c r="A1179" s="406"/>
      <c r="B1179" s="401"/>
      <c r="C1179" s="401"/>
      <c r="D1179" s="401"/>
      <c r="E1179" s="401"/>
      <c r="F1179" s="401"/>
      <c r="G1179" s="417"/>
    </row>
    <row r="1180" spans="1:9" ht="12.75" customHeight="1">
      <c r="A1180" s="406"/>
      <c r="B1180" s="401"/>
      <c r="C1180" s="401"/>
      <c r="D1180" s="401"/>
      <c r="E1180" s="401"/>
      <c r="F1180" s="401"/>
      <c r="G1180" s="417"/>
    </row>
    <row r="1181" spans="1:9" ht="12.75" customHeight="1">
      <c r="A1181" s="406"/>
      <c r="B1181" s="401"/>
      <c r="C1181" s="401"/>
      <c r="D1181" s="401"/>
      <c r="E1181" s="401"/>
      <c r="F1181" s="401" t="s">
        <v>189</v>
      </c>
      <c r="G1181" s="417">
        <f t="shared" ref="G1181" si="113">F1175+F1176+F1177+F1178+F1179+F1180</f>
        <v>5053.125</v>
      </c>
    </row>
    <row r="1182" spans="1:9" ht="12.75" customHeight="1">
      <c r="A1182" s="406"/>
      <c r="B1182" s="401"/>
      <c r="C1182" s="401"/>
      <c r="D1182" s="401"/>
      <c r="E1182" s="401"/>
      <c r="F1182" s="401"/>
      <c r="G1182" s="417"/>
    </row>
    <row r="1183" spans="1:9" ht="12.75" customHeight="1">
      <c r="A1183" s="406" t="s">
        <v>209</v>
      </c>
      <c r="B1183" s="401"/>
      <c r="C1183" s="401" t="s">
        <v>210</v>
      </c>
      <c r="D1183" s="401" t="s">
        <v>211</v>
      </c>
      <c r="E1183" s="401"/>
      <c r="F1183" s="401"/>
      <c r="G1183" s="417">
        <f t="shared" si="11"/>
        <v>19414.615384615416</v>
      </c>
      <c r="I1183">
        <v>24808.28</v>
      </c>
    </row>
    <row r="1184" spans="1:9" ht="12.75" customHeight="1">
      <c r="A1184" s="406"/>
      <c r="B1184" s="401"/>
      <c r="C1184" s="401"/>
      <c r="D1184" s="401"/>
      <c r="E1184" s="401"/>
      <c r="F1184" s="401"/>
      <c r="G1184" s="417"/>
    </row>
    <row r="1185" spans="1:7" ht="12.75" customHeight="1">
      <c r="A1185" s="406"/>
      <c r="B1185" s="401"/>
      <c r="C1185" s="401"/>
      <c r="D1185" s="401"/>
      <c r="E1185" s="401" t="s">
        <v>212</v>
      </c>
      <c r="F1185" s="401"/>
      <c r="G1185" s="417">
        <f t="shared" si="12"/>
        <v>5824.3846153846243</v>
      </c>
    </row>
    <row r="1186" spans="1:7" ht="12.75" customHeight="1">
      <c r="A1186" s="406"/>
      <c r="B1186" s="401"/>
      <c r="C1186" s="401"/>
      <c r="D1186" s="401"/>
      <c r="E1186" s="401"/>
      <c r="F1186" s="401"/>
      <c r="G1186" s="417"/>
    </row>
    <row r="1187" spans="1:7" ht="12.75" customHeight="1" thickBot="1">
      <c r="A1187" s="411" t="s">
        <v>213</v>
      </c>
      <c r="B1187" s="412"/>
      <c r="C1187" s="412"/>
      <c r="D1187" s="412" t="s">
        <v>214</v>
      </c>
      <c r="E1187" s="412"/>
      <c r="F1187" s="412"/>
      <c r="G1187" s="418">
        <f t="shared" si="13"/>
        <v>25239.00000000004</v>
      </c>
    </row>
    <row r="1188" spans="1:7" ht="15" customHeight="1">
      <c r="A1188" s="468" t="s">
        <v>174</v>
      </c>
      <c r="B1188" s="457"/>
      <c r="C1188" s="457"/>
      <c r="D1188" s="457"/>
      <c r="E1188" s="457"/>
      <c r="F1188" s="457"/>
      <c r="G1188" s="457"/>
    </row>
    <row r="1189" spans="1:7" ht="12.75" customHeight="1" thickBot="1"/>
    <row r="1190" spans="1:7" ht="12.75" customHeight="1">
      <c r="A1190" s="404" t="s">
        <v>175</v>
      </c>
      <c r="B1190" s="405"/>
      <c r="C1190" s="405"/>
      <c r="D1190" s="428"/>
      <c r="E1190" s="428"/>
      <c r="F1190" s="428"/>
      <c r="G1190" s="429"/>
    </row>
    <row r="1191" spans="1:7" ht="12.75" customHeight="1">
      <c r="A1191" s="406" t="s">
        <v>368</v>
      </c>
      <c r="B1191" s="401"/>
      <c r="C1191" s="401"/>
      <c r="D1191" s="401"/>
      <c r="E1191" s="195"/>
      <c r="F1191" s="402" t="s">
        <v>177</v>
      </c>
      <c r="G1191" s="430">
        <f t="shared" ca="1" si="0"/>
        <v>46289</v>
      </c>
    </row>
    <row r="1192" spans="1:7" ht="12.75" customHeight="1">
      <c r="A1192" s="406"/>
      <c r="B1192" s="401"/>
      <c r="C1192" s="401"/>
      <c r="D1192" s="401"/>
      <c r="E1192" s="401"/>
      <c r="F1192" s="401"/>
      <c r="G1192" s="417"/>
    </row>
    <row r="1193" spans="1:7" ht="12.75" customHeight="1">
      <c r="A1193" s="406" t="s">
        <v>425</v>
      </c>
      <c r="B1193" s="401" t="s">
        <v>817</v>
      </c>
      <c r="C1193" s="401"/>
      <c r="D1193" s="401"/>
      <c r="E1193" s="401"/>
      <c r="F1193" s="401"/>
      <c r="G1193" s="417"/>
    </row>
    <row r="1194" spans="1:7" ht="12.75" customHeight="1">
      <c r="A1194" s="406"/>
      <c r="B1194" s="401"/>
      <c r="C1194" s="401" t="s">
        <v>179</v>
      </c>
      <c r="D1194" s="432">
        <v>9</v>
      </c>
      <c r="E1194" s="401" t="s">
        <v>180</v>
      </c>
      <c r="F1194" s="401" t="s">
        <v>337</v>
      </c>
      <c r="G1194" s="417"/>
    </row>
    <row r="1195" spans="1:7" ht="12.75" customHeight="1">
      <c r="A1195" s="406" t="s">
        <v>182</v>
      </c>
      <c r="B1195" s="401"/>
      <c r="C1195" s="401"/>
      <c r="D1195" s="401"/>
      <c r="E1195" s="401"/>
      <c r="F1195" s="401"/>
      <c r="G1195" s="417"/>
    </row>
    <row r="1196" spans="1:7" ht="12.75" customHeight="1">
      <c r="A1196" s="408" t="s">
        <v>111</v>
      </c>
      <c r="B1196" s="169" t="s">
        <v>183</v>
      </c>
      <c r="C1196" s="169" t="s">
        <v>184</v>
      </c>
      <c r="D1196" s="169" t="s">
        <v>185</v>
      </c>
      <c r="E1196" s="169" t="s">
        <v>186</v>
      </c>
      <c r="F1196" s="401"/>
      <c r="G1196" s="417"/>
    </row>
    <row r="1197" spans="1:7" ht="12.75" customHeight="1">
      <c r="A1197" s="406" t="s">
        <v>187</v>
      </c>
      <c r="B1197" s="401"/>
      <c r="C1197" s="401"/>
      <c r="D1197" s="401"/>
      <c r="E1197" s="403">
        <f t="shared" ref="E1197" si="114">G1225*0.05</f>
        <v>252.65625</v>
      </c>
      <c r="F1197" s="401"/>
      <c r="G1197" s="417"/>
    </row>
    <row r="1198" spans="1:7" ht="12.75" customHeight="1">
      <c r="A1198" s="406"/>
      <c r="B1198" s="401"/>
      <c r="C1198" s="401"/>
      <c r="D1198" s="401"/>
      <c r="E1198" s="401"/>
      <c r="F1198" s="401"/>
      <c r="G1198" s="417"/>
    </row>
    <row r="1199" spans="1:7" ht="12.75" customHeight="1">
      <c r="A1199" s="406"/>
      <c r="B1199" s="401"/>
      <c r="C1199" s="401"/>
      <c r="D1199" s="401"/>
      <c r="E1199" s="401"/>
      <c r="F1199" s="401"/>
      <c r="G1199" s="417"/>
    </row>
    <row r="1200" spans="1:7" ht="12.75" customHeight="1">
      <c r="A1200" s="406"/>
      <c r="B1200" s="401"/>
      <c r="C1200" s="401"/>
      <c r="D1200" s="401"/>
      <c r="E1200" s="401"/>
      <c r="F1200" s="401" t="s">
        <v>189</v>
      </c>
      <c r="G1200" s="417">
        <f t="shared" ref="G1200" si="115">E1197+E1198+E1199+E1200</f>
        <v>252.65625</v>
      </c>
    </row>
    <row r="1201" spans="1:7" ht="12.75" customHeight="1">
      <c r="A1201" s="406" t="s">
        <v>191</v>
      </c>
      <c r="B1201" s="401"/>
      <c r="C1201" s="401"/>
      <c r="D1201" s="401"/>
      <c r="E1201" s="401"/>
      <c r="F1201" s="401"/>
      <c r="G1201" s="417"/>
    </row>
    <row r="1202" spans="1:7" ht="12.75" customHeight="1">
      <c r="A1202" s="408" t="s">
        <v>111</v>
      </c>
      <c r="B1202" s="169" t="s">
        <v>193</v>
      </c>
      <c r="C1202" s="169" t="s">
        <v>194</v>
      </c>
      <c r="D1202" s="169" t="s">
        <v>195</v>
      </c>
      <c r="E1202" s="169" t="s">
        <v>186</v>
      </c>
      <c r="F1202" s="401"/>
      <c r="G1202" s="417"/>
    </row>
    <row r="1203" spans="1:7" ht="13.5" customHeight="1">
      <c r="A1203" s="406" t="s">
        <v>817</v>
      </c>
      <c r="B1203" s="169" t="s">
        <v>35</v>
      </c>
      <c r="C1203" s="403">
        <f>1.19*5400</f>
        <v>6426</v>
      </c>
      <c r="D1203" s="401">
        <v>1.05</v>
      </c>
      <c r="E1203" s="403">
        <f t="shared" ref="E1203:E1204" si="116">C1203*D1203</f>
        <v>6747.3</v>
      </c>
      <c r="F1203" s="401"/>
      <c r="G1203" s="417"/>
    </row>
    <row r="1204" spans="1:7" ht="15" customHeight="1">
      <c r="A1204" s="406" t="s">
        <v>296</v>
      </c>
      <c r="B1204" s="169" t="s">
        <v>220</v>
      </c>
      <c r="C1204" s="401">
        <v>750</v>
      </c>
      <c r="D1204" s="401">
        <v>1</v>
      </c>
      <c r="E1204" s="401">
        <f t="shared" si="116"/>
        <v>750</v>
      </c>
      <c r="F1204" s="401"/>
      <c r="G1204" s="417"/>
    </row>
    <row r="1205" spans="1:7" ht="12.75" customHeight="1">
      <c r="A1205" s="406"/>
      <c r="B1205" s="169"/>
      <c r="C1205" s="401"/>
      <c r="D1205" s="401"/>
      <c r="E1205" s="401"/>
      <c r="F1205" s="401"/>
      <c r="G1205" s="417"/>
    </row>
    <row r="1206" spans="1:7" ht="12.75" customHeight="1">
      <c r="A1206" s="406"/>
      <c r="B1206" s="401"/>
      <c r="C1206" s="401"/>
      <c r="D1206" s="401"/>
      <c r="E1206" s="401"/>
      <c r="F1206" s="401"/>
      <c r="G1206" s="417"/>
    </row>
    <row r="1207" spans="1:7" ht="12.75" customHeight="1">
      <c r="A1207" s="406"/>
      <c r="B1207" s="401"/>
      <c r="C1207" s="401"/>
      <c r="D1207" s="401"/>
      <c r="E1207" s="401"/>
      <c r="F1207" s="401"/>
      <c r="G1207" s="417"/>
    </row>
    <row r="1208" spans="1:7" ht="12.75" customHeight="1">
      <c r="A1208" s="406"/>
      <c r="B1208" s="401"/>
      <c r="C1208" s="401"/>
      <c r="D1208" s="401"/>
      <c r="E1208" s="401"/>
      <c r="F1208" s="401"/>
      <c r="G1208" s="417"/>
    </row>
    <row r="1209" spans="1:7" ht="12.75" customHeight="1">
      <c r="A1209" s="406"/>
      <c r="B1209" s="401"/>
      <c r="C1209" s="401"/>
      <c r="D1209" s="401"/>
      <c r="E1209" s="401"/>
      <c r="F1209" s="401" t="s">
        <v>189</v>
      </c>
      <c r="G1209" s="417">
        <f t="shared" ref="G1209" si="117">E1203+E1204+E1205+E1206+E1207+E1208+E1209</f>
        <v>7497.3</v>
      </c>
    </row>
    <row r="1210" spans="1:7" ht="12.75" customHeight="1">
      <c r="A1210" s="406" t="s">
        <v>197</v>
      </c>
      <c r="B1210" s="401"/>
      <c r="C1210" s="401"/>
      <c r="D1210" s="401"/>
      <c r="E1210" s="401"/>
      <c r="F1210" s="401"/>
      <c r="G1210" s="417"/>
    </row>
    <row r="1211" spans="1:7" ht="12.75" customHeight="1">
      <c r="A1211" s="408" t="s">
        <v>198</v>
      </c>
      <c r="B1211" s="169" t="s">
        <v>199</v>
      </c>
      <c r="C1211" s="169" t="s">
        <v>200</v>
      </c>
      <c r="D1211" s="169" t="s">
        <v>201</v>
      </c>
      <c r="E1211" s="169" t="s">
        <v>186</v>
      </c>
      <c r="F1211" s="401"/>
      <c r="G1211" s="417"/>
    </row>
    <row r="1212" spans="1:7" ht="12.75" customHeight="1">
      <c r="A1212" s="406" t="s">
        <v>243</v>
      </c>
      <c r="B1212" s="401"/>
      <c r="C1212" s="401"/>
      <c r="D1212" s="401"/>
      <c r="E1212" s="403">
        <v>5073.0725961538337</v>
      </c>
      <c r="F1212" s="401"/>
      <c r="G1212" s="417"/>
    </row>
    <row r="1213" spans="1:7" ht="12.75" customHeight="1">
      <c r="A1213" s="406"/>
      <c r="B1213" s="401"/>
      <c r="C1213" s="401"/>
      <c r="D1213" s="401"/>
      <c r="E1213" s="401"/>
      <c r="F1213" s="401"/>
      <c r="G1213" s="417"/>
    </row>
    <row r="1214" spans="1:7" ht="12.75" customHeight="1">
      <c r="A1214" s="406"/>
      <c r="B1214" s="401"/>
      <c r="C1214" s="401"/>
      <c r="D1214" s="401"/>
      <c r="E1214" s="401"/>
      <c r="F1214" s="401"/>
      <c r="G1214" s="417"/>
    </row>
    <row r="1215" spans="1:7" ht="12.75" customHeight="1">
      <c r="A1215" s="406"/>
      <c r="B1215" s="401"/>
      <c r="C1215" s="401"/>
      <c r="D1215" s="401"/>
      <c r="E1215" s="401"/>
      <c r="F1215" s="401"/>
      <c r="G1215" s="417"/>
    </row>
    <row r="1216" spans="1:7" ht="12.75" customHeight="1">
      <c r="A1216" s="406"/>
      <c r="B1216" s="401"/>
      <c r="C1216" s="401"/>
      <c r="D1216" s="401"/>
      <c r="E1216" s="401"/>
      <c r="F1216" s="401" t="s">
        <v>189</v>
      </c>
      <c r="G1216" s="417">
        <f t="shared" ref="G1216" si="118">E1212+E1213+E1214+E1215+E1216</f>
        <v>5073.0725961538337</v>
      </c>
    </row>
    <row r="1217" spans="1:9" ht="12.75" customHeight="1">
      <c r="A1217" s="406" t="s">
        <v>202</v>
      </c>
      <c r="B1217" s="401"/>
      <c r="C1217" s="401"/>
      <c r="D1217" s="401"/>
      <c r="E1217" s="401"/>
      <c r="F1217" s="401"/>
      <c r="G1217" s="417"/>
    </row>
    <row r="1218" spans="1:9" ht="12.75" customHeight="1">
      <c r="A1218" s="408" t="s">
        <v>203</v>
      </c>
      <c r="B1218" s="169" t="s">
        <v>204</v>
      </c>
      <c r="C1218" s="169" t="s">
        <v>205</v>
      </c>
      <c r="D1218" s="169" t="s">
        <v>206</v>
      </c>
      <c r="E1218" s="169" t="s">
        <v>207</v>
      </c>
      <c r="F1218" s="169" t="s">
        <v>208</v>
      </c>
      <c r="G1218" s="417"/>
    </row>
    <row r="1219" spans="1:9" ht="12.75" customHeight="1">
      <c r="A1219" s="406" t="s">
        <v>188</v>
      </c>
      <c r="B1219" s="401">
        <f>+B1175</f>
        <v>140000</v>
      </c>
      <c r="C1219" s="401">
        <f t="shared" ref="C1219:C1220" si="119">0.75*B1219</f>
        <v>105000</v>
      </c>
      <c r="D1219" s="401">
        <f t="shared" ref="D1219:D1220" si="120">B1219+C1219</f>
        <v>245000</v>
      </c>
      <c r="E1219" s="401">
        <v>80</v>
      </c>
      <c r="F1219" s="403">
        <f t="shared" ref="F1219:F1220" si="121">D1219/E1219</f>
        <v>3062.5</v>
      </c>
      <c r="G1219" s="417"/>
    </row>
    <row r="1220" spans="1:9" ht="12.75" customHeight="1">
      <c r="A1220" s="406" t="s">
        <v>307</v>
      </c>
      <c r="B1220" s="401">
        <f>+B1176</f>
        <v>91000</v>
      </c>
      <c r="C1220" s="403">
        <f t="shared" si="119"/>
        <v>68250</v>
      </c>
      <c r="D1220" s="403">
        <f t="shared" si="120"/>
        <v>159250</v>
      </c>
      <c r="E1220" s="401">
        <v>80</v>
      </c>
      <c r="F1220" s="403">
        <f t="shared" si="121"/>
        <v>1990.625</v>
      </c>
      <c r="G1220" s="417"/>
    </row>
    <row r="1221" spans="1:9" ht="12.75" customHeight="1">
      <c r="A1221" s="406"/>
      <c r="B1221" s="401"/>
      <c r="C1221" s="401"/>
      <c r="D1221" s="401"/>
      <c r="E1221" s="401"/>
      <c r="F1221" s="401"/>
      <c r="G1221" s="417"/>
    </row>
    <row r="1222" spans="1:9" ht="12.75" customHeight="1">
      <c r="A1222" s="406"/>
      <c r="B1222" s="401"/>
      <c r="C1222" s="401"/>
      <c r="D1222" s="401"/>
      <c r="E1222" s="401"/>
      <c r="F1222" s="401"/>
      <c r="G1222" s="417"/>
    </row>
    <row r="1223" spans="1:9" ht="12.75" customHeight="1">
      <c r="A1223" s="406"/>
      <c r="B1223" s="401"/>
      <c r="C1223" s="401"/>
      <c r="D1223" s="401"/>
      <c r="E1223" s="401"/>
      <c r="F1223" s="401"/>
      <c r="G1223" s="417"/>
    </row>
    <row r="1224" spans="1:9" ht="12.75" customHeight="1">
      <c r="A1224" s="406"/>
      <c r="B1224" s="401"/>
      <c r="C1224" s="401"/>
      <c r="D1224" s="401"/>
      <c r="E1224" s="401"/>
      <c r="F1224" s="401"/>
      <c r="G1224" s="417"/>
    </row>
    <row r="1225" spans="1:9" ht="12.75" customHeight="1">
      <c r="A1225" s="406"/>
      <c r="B1225" s="401"/>
      <c r="C1225" s="401"/>
      <c r="D1225" s="401"/>
      <c r="E1225" s="401"/>
      <c r="F1225" s="401" t="s">
        <v>189</v>
      </c>
      <c r="G1225" s="417">
        <f t="shared" ref="G1225" si="122">F1219+F1220+F1221+F1222+F1223+F1224</f>
        <v>5053.125</v>
      </c>
    </row>
    <row r="1226" spans="1:9" ht="12.75" customHeight="1">
      <c r="A1226" s="406"/>
      <c r="B1226" s="401"/>
      <c r="C1226" s="401"/>
      <c r="D1226" s="401"/>
      <c r="E1226" s="401"/>
      <c r="F1226" s="401"/>
      <c r="G1226" s="417"/>
    </row>
    <row r="1227" spans="1:9" ht="12.75" customHeight="1">
      <c r="A1227" s="406" t="s">
        <v>209</v>
      </c>
      <c r="B1227" s="401"/>
      <c r="C1227" s="401" t="s">
        <v>210</v>
      </c>
      <c r="D1227" s="401" t="s">
        <v>211</v>
      </c>
      <c r="E1227" s="401"/>
      <c r="F1227" s="401"/>
      <c r="G1227" s="417">
        <f t="shared" si="11"/>
        <v>17876.153846153833</v>
      </c>
      <c r="I1227">
        <v>22803.08</v>
      </c>
    </row>
    <row r="1228" spans="1:9" ht="12.75" customHeight="1">
      <c r="A1228" s="406"/>
      <c r="B1228" s="401"/>
      <c r="C1228" s="401"/>
      <c r="D1228" s="401"/>
      <c r="E1228" s="401"/>
      <c r="F1228" s="401"/>
      <c r="G1228" s="417"/>
    </row>
    <row r="1229" spans="1:9" ht="12.75" customHeight="1">
      <c r="A1229" s="406"/>
      <c r="B1229" s="401"/>
      <c r="C1229" s="401"/>
      <c r="D1229" s="401"/>
      <c r="E1229" s="401" t="s">
        <v>212</v>
      </c>
      <c r="F1229" s="401"/>
      <c r="G1229" s="417">
        <f t="shared" si="12"/>
        <v>5362.8461538461497</v>
      </c>
    </row>
    <row r="1230" spans="1:9" ht="12.75" customHeight="1">
      <c r="A1230" s="406"/>
      <c r="B1230" s="401"/>
      <c r="C1230" s="401"/>
      <c r="D1230" s="401"/>
      <c r="E1230" s="401"/>
      <c r="F1230" s="401"/>
      <c r="G1230" s="417"/>
    </row>
    <row r="1231" spans="1:9" ht="12.75" customHeight="1" thickBot="1">
      <c r="A1231" s="411" t="s">
        <v>213</v>
      </c>
      <c r="B1231" s="412"/>
      <c r="C1231" s="412"/>
      <c r="D1231" s="412" t="s">
        <v>214</v>
      </c>
      <c r="E1231" s="412"/>
      <c r="F1231" s="412"/>
      <c r="G1231" s="418">
        <f t="shared" si="13"/>
        <v>23238.999999999982</v>
      </c>
    </row>
    <row r="1232" spans="1:9" ht="15" customHeight="1">
      <c r="A1232" s="468" t="s">
        <v>174</v>
      </c>
      <c r="B1232" s="457"/>
      <c r="C1232" s="457"/>
      <c r="D1232" s="457"/>
      <c r="E1232" s="457"/>
      <c r="F1232" s="457"/>
      <c r="G1232" s="457"/>
    </row>
    <row r="1233" spans="1:7" ht="12.75" customHeight="1" thickBot="1"/>
    <row r="1234" spans="1:7" ht="12.75" customHeight="1">
      <c r="A1234" s="404" t="s">
        <v>175</v>
      </c>
      <c r="B1234" s="405"/>
      <c r="C1234" s="405"/>
      <c r="D1234" s="428"/>
      <c r="E1234" s="428"/>
      <c r="F1234" s="428"/>
      <c r="G1234" s="429"/>
    </row>
    <row r="1235" spans="1:7" ht="12.75" customHeight="1">
      <c r="A1235" s="406" t="s">
        <v>368</v>
      </c>
      <c r="B1235" s="401"/>
      <c r="C1235" s="401"/>
      <c r="D1235" s="401"/>
      <c r="E1235" s="195"/>
      <c r="F1235" s="402" t="s">
        <v>177</v>
      </c>
      <c r="G1235" s="430">
        <f t="shared" ca="1" si="0"/>
        <v>46289</v>
      </c>
    </row>
    <row r="1236" spans="1:7" ht="12.75" customHeight="1">
      <c r="A1236" s="406"/>
      <c r="B1236" s="401"/>
      <c r="C1236" s="401"/>
      <c r="D1236" s="401"/>
      <c r="E1236" s="401"/>
      <c r="F1236" s="401"/>
      <c r="G1236" s="417"/>
    </row>
    <row r="1237" spans="1:7" ht="12.75" customHeight="1">
      <c r="A1237" s="406" t="s">
        <v>427</v>
      </c>
      <c r="B1237" s="401" t="s">
        <v>818</v>
      </c>
      <c r="C1237" s="401"/>
      <c r="D1237" s="401"/>
      <c r="E1237" s="401"/>
      <c r="F1237" s="401"/>
      <c r="G1237" s="417"/>
    </row>
    <row r="1238" spans="1:7" ht="12.75" customHeight="1">
      <c r="A1238" s="406"/>
      <c r="B1238" s="401"/>
      <c r="C1238" s="401" t="s">
        <v>179</v>
      </c>
      <c r="D1238" s="432">
        <v>9</v>
      </c>
      <c r="E1238" s="401" t="s">
        <v>180</v>
      </c>
      <c r="F1238" s="401" t="s">
        <v>337</v>
      </c>
      <c r="G1238" s="417"/>
    </row>
    <row r="1239" spans="1:7" ht="12.75" customHeight="1">
      <c r="A1239" s="406" t="s">
        <v>182</v>
      </c>
      <c r="B1239" s="401"/>
      <c r="C1239" s="401"/>
      <c r="D1239" s="401"/>
      <c r="E1239" s="401"/>
      <c r="F1239" s="401"/>
      <c r="G1239" s="417"/>
    </row>
    <row r="1240" spans="1:7" ht="12.75" customHeight="1">
      <c r="A1240" s="408" t="s">
        <v>111</v>
      </c>
      <c r="B1240" s="169" t="s">
        <v>183</v>
      </c>
      <c r="C1240" s="169" t="s">
        <v>184</v>
      </c>
      <c r="D1240" s="169" t="s">
        <v>185</v>
      </c>
      <c r="E1240" s="169" t="s">
        <v>186</v>
      </c>
      <c r="F1240" s="401"/>
      <c r="G1240" s="417"/>
    </row>
    <row r="1241" spans="1:7" ht="12.75" customHeight="1">
      <c r="A1241" s="406" t="s">
        <v>187</v>
      </c>
      <c r="B1241" s="401"/>
      <c r="C1241" s="401"/>
      <c r="D1241" s="401"/>
      <c r="E1241" s="403">
        <f t="shared" ref="E1241" si="123">G1269*0.05</f>
        <v>96.863369976783929</v>
      </c>
      <c r="F1241" s="401"/>
      <c r="G1241" s="417"/>
    </row>
    <row r="1242" spans="1:7" ht="12.75" customHeight="1">
      <c r="A1242" s="406"/>
      <c r="B1242" s="401"/>
      <c r="C1242" s="401"/>
      <c r="D1242" s="401"/>
      <c r="E1242" s="401"/>
      <c r="F1242" s="401"/>
      <c r="G1242" s="417"/>
    </row>
    <row r="1243" spans="1:7" ht="12.75" customHeight="1">
      <c r="A1243" s="406"/>
      <c r="B1243" s="401"/>
      <c r="C1243" s="401"/>
      <c r="D1243" s="401"/>
      <c r="E1243" s="401"/>
      <c r="F1243" s="401"/>
      <c r="G1243" s="417"/>
    </row>
    <row r="1244" spans="1:7" ht="12.75" customHeight="1">
      <c r="A1244" s="406"/>
      <c r="B1244" s="401"/>
      <c r="C1244" s="401"/>
      <c r="D1244" s="401"/>
      <c r="E1244" s="401"/>
      <c r="F1244" s="401" t="s">
        <v>189</v>
      </c>
      <c r="G1244" s="417">
        <f t="shared" ref="G1244" si="124">E1241+E1242+E1243+E1244</f>
        <v>96.863369976783929</v>
      </c>
    </row>
    <row r="1245" spans="1:7" ht="12.75" customHeight="1">
      <c r="A1245" s="406" t="s">
        <v>191</v>
      </c>
      <c r="B1245" s="401"/>
      <c r="C1245" s="401"/>
      <c r="D1245" s="401"/>
      <c r="E1245" s="401"/>
      <c r="F1245" s="401"/>
      <c r="G1245" s="417"/>
    </row>
    <row r="1246" spans="1:7" ht="12.75" customHeight="1">
      <c r="A1246" s="408" t="s">
        <v>111</v>
      </c>
      <c r="B1246" s="169" t="s">
        <v>193</v>
      </c>
      <c r="C1246" s="169" t="s">
        <v>194</v>
      </c>
      <c r="D1246" s="169" t="s">
        <v>195</v>
      </c>
      <c r="E1246" s="169" t="s">
        <v>186</v>
      </c>
      <c r="F1246" s="401"/>
      <c r="G1246" s="417"/>
    </row>
    <row r="1247" spans="1:7" ht="13.5" customHeight="1">
      <c r="A1247" s="406" t="s">
        <v>818</v>
      </c>
      <c r="B1247" s="169" t="s">
        <v>35</v>
      </c>
      <c r="C1247" s="403">
        <f>1.09*104600</f>
        <v>114014.00000000001</v>
      </c>
      <c r="D1247" s="401">
        <v>1.05</v>
      </c>
      <c r="E1247" s="403">
        <f t="shared" ref="E1247:E1248" si="125">C1247*D1247</f>
        <v>119714.70000000003</v>
      </c>
      <c r="F1247" s="401"/>
      <c r="G1247" s="417"/>
    </row>
    <row r="1248" spans="1:7" ht="15" customHeight="1">
      <c r="A1248" s="406" t="s">
        <v>296</v>
      </c>
      <c r="B1248" s="169" t="s">
        <v>220</v>
      </c>
      <c r="C1248" s="401">
        <v>750</v>
      </c>
      <c r="D1248" s="401">
        <v>1</v>
      </c>
      <c r="E1248" s="401">
        <f t="shared" si="125"/>
        <v>750</v>
      </c>
      <c r="F1248" s="401"/>
      <c r="G1248" s="417"/>
    </row>
    <row r="1249" spans="1:7" ht="12.75" customHeight="1">
      <c r="A1249" s="406"/>
      <c r="B1249" s="169"/>
      <c r="C1249" s="401"/>
      <c r="D1249" s="401"/>
      <c r="E1249" s="401"/>
      <c r="F1249" s="401"/>
      <c r="G1249" s="417"/>
    </row>
    <row r="1250" spans="1:7" ht="12.75" customHeight="1">
      <c r="A1250" s="406"/>
      <c r="B1250" s="401"/>
      <c r="C1250" s="401"/>
      <c r="D1250" s="401"/>
      <c r="E1250" s="401"/>
      <c r="F1250" s="401"/>
      <c r="G1250" s="417"/>
    </row>
    <row r="1251" spans="1:7" ht="12.75" customHeight="1">
      <c r="A1251" s="406"/>
      <c r="B1251" s="401"/>
      <c r="C1251" s="401"/>
      <c r="D1251" s="401"/>
      <c r="E1251" s="401"/>
      <c r="F1251" s="401"/>
      <c r="G1251" s="417"/>
    </row>
    <row r="1252" spans="1:7" ht="12.75" customHeight="1">
      <c r="A1252" s="406"/>
      <c r="B1252" s="401"/>
      <c r="C1252" s="401"/>
      <c r="D1252" s="401"/>
      <c r="E1252" s="401"/>
      <c r="F1252" s="401"/>
      <c r="G1252" s="417"/>
    </row>
    <row r="1253" spans="1:7" ht="12.75" customHeight="1">
      <c r="A1253" s="406"/>
      <c r="B1253" s="401"/>
      <c r="C1253" s="401"/>
      <c r="D1253" s="401"/>
      <c r="E1253" s="401"/>
      <c r="F1253" s="401" t="s">
        <v>189</v>
      </c>
      <c r="G1253" s="417">
        <f t="shared" ref="G1253" si="126">E1247+E1248+E1249+E1250+E1251+E1252+E1253</f>
        <v>120464.70000000003</v>
      </c>
    </row>
    <row r="1254" spans="1:7" ht="12.75" customHeight="1">
      <c r="A1254" s="406" t="s">
        <v>197</v>
      </c>
      <c r="B1254" s="401"/>
      <c r="C1254" s="401"/>
      <c r="D1254" s="401"/>
      <c r="E1254" s="401"/>
      <c r="F1254" s="401"/>
      <c r="G1254" s="417"/>
    </row>
    <row r="1255" spans="1:7" ht="12.75" customHeight="1">
      <c r="A1255" s="408" t="s">
        <v>198</v>
      </c>
      <c r="B1255" s="169" t="s">
        <v>199</v>
      </c>
      <c r="C1255" s="169" t="s">
        <v>200</v>
      </c>
      <c r="D1255" s="169" t="s">
        <v>201</v>
      </c>
      <c r="E1255" s="169" t="s">
        <v>186</v>
      </c>
      <c r="F1255" s="401"/>
      <c r="G1255" s="417"/>
    </row>
    <row r="1256" spans="1:7" ht="12.75" customHeight="1">
      <c r="A1256" s="406" t="s">
        <v>243</v>
      </c>
      <c r="B1256" s="401"/>
      <c r="C1256" s="401"/>
      <c r="D1256" s="401"/>
      <c r="E1256" s="403">
        <v>335.78461510286411</v>
      </c>
      <c r="F1256" s="401"/>
      <c r="G1256" s="417"/>
    </row>
    <row r="1257" spans="1:7" ht="12.75" customHeight="1">
      <c r="A1257" s="406"/>
      <c r="B1257" s="401"/>
      <c r="C1257" s="401"/>
      <c r="D1257" s="401"/>
      <c r="E1257" s="401"/>
      <c r="F1257" s="401"/>
      <c r="G1257" s="417"/>
    </row>
    <row r="1258" spans="1:7" ht="12.75" customHeight="1">
      <c r="A1258" s="406"/>
      <c r="B1258" s="401"/>
      <c r="C1258" s="401"/>
      <c r="D1258" s="401"/>
      <c r="E1258" s="401"/>
      <c r="F1258" s="401"/>
      <c r="G1258" s="417"/>
    </row>
    <row r="1259" spans="1:7" ht="12.75" customHeight="1">
      <c r="A1259" s="406"/>
      <c r="B1259" s="401"/>
      <c r="C1259" s="401"/>
      <c r="D1259" s="401"/>
      <c r="E1259" s="401"/>
      <c r="F1259" s="401"/>
      <c r="G1259" s="417"/>
    </row>
    <row r="1260" spans="1:7" ht="12.75" customHeight="1">
      <c r="A1260" s="406"/>
      <c r="B1260" s="401"/>
      <c r="C1260" s="401"/>
      <c r="D1260" s="401"/>
      <c r="E1260" s="401"/>
      <c r="F1260" s="401" t="s">
        <v>189</v>
      </c>
      <c r="G1260" s="417">
        <f t="shared" ref="G1260" si="127">E1256+E1257+E1258+E1259+E1260</f>
        <v>335.78461510286411</v>
      </c>
    </row>
    <row r="1261" spans="1:7" ht="12.75" customHeight="1">
      <c r="A1261" s="406" t="s">
        <v>202</v>
      </c>
      <c r="B1261" s="401"/>
      <c r="C1261" s="401"/>
      <c r="D1261" s="401"/>
      <c r="E1261" s="401"/>
      <c r="F1261" s="401"/>
      <c r="G1261" s="417"/>
    </row>
    <row r="1262" spans="1:7" ht="12.75" customHeight="1">
      <c r="A1262" s="408" t="s">
        <v>203</v>
      </c>
      <c r="B1262" s="169" t="s">
        <v>204</v>
      </c>
      <c r="C1262" s="169" t="s">
        <v>205</v>
      </c>
      <c r="D1262" s="169" t="s">
        <v>206</v>
      </c>
      <c r="E1262" s="169" t="s">
        <v>207</v>
      </c>
      <c r="F1262" s="169" t="s">
        <v>208</v>
      </c>
      <c r="G1262" s="417"/>
    </row>
    <row r="1263" spans="1:7" ht="12.75" customHeight="1">
      <c r="A1263" s="406" t="s">
        <v>188</v>
      </c>
      <c r="B1263" s="401">
        <f>+B1219</f>
        <v>140000</v>
      </c>
      <c r="C1263" s="401">
        <f t="shared" ref="C1263:C1264" si="128">0.75*B1263</f>
        <v>105000</v>
      </c>
      <c r="D1263" s="401">
        <f t="shared" ref="D1263:D1264" si="129">B1263+C1263</f>
        <v>245000</v>
      </c>
      <c r="E1263" s="403">
        <v>214.72065202485027</v>
      </c>
      <c r="F1263" s="403">
        <f t="shared" ref="F1263:F1264" si="130">D1263/E1263</f>
        <v>1141.0173995356786</v>
      </c>
      <c r="G1263" s="417"/>
    </row>
    <row r="1264" spans="1:7" ht="12.75" customHeight="1">
      <c r="A1264" s="406" t="s">
        <v>307</v>
      </c>
      <c r="B1264" s="401">
        <f>+B1220</f>
        <v>91000</v>
      </c>
      <c r="C1264" s="403">
        <f t="shared" si="128"/>
        <v>68250</v>
      </c>
      <c r="D1264" s="403">
        <f t="shared" si="129"/>
        <v>159250</v>
      </c>
      <c r="E1264" s="401">
        <v>200</v>
      </c>
      <c r="F1264" s="403">
        <f t="shared" si="130"/>
        <v>796.25</v>
      </c>
      <c r="G1264" s="417"/>
    </row>
    <row r="1265" spans="1:9" ht="12.75" customHeight="1">
      <c r="A1265" s="406"/>
      <c r="B1265" s="401"/>
      <c r="C1265" s="401"/>
      <c r="D1265" s="401"/>
      <c r="E1265" s="401"/>
      <c r="F1265" s="401"/>
      <c r="G1265" s="417"/>
    </row>
    <row r="1266" spans="1:9" ht="12.75" customHeight="1">
      <c r="A1266" s="406"/>
      <c r="B1266" s="401"/>
      <c r="C1266" s="401"/>
      <c r="D1266" s="401"/>
      <c r="E1266" s="401"/>
      <c r="F1266" s="401"/>
      <c r="G1266" s="417"/>
    </row>
    <row r="1267" spans="1:9" ht="12.75" customHeight="1">
      <c r="A1267" s="406"/>
      <c r="B1267" s="401"/>
      <c r="C1267" s="401"/>
      <c r="D1267" s="401"/>
      <c r="E1267" s="401"/>
      <c r="F1267" s="401"/>
      <c r="G1267" s="417"/>
    </row>
    <row r="1268" spans="1:9" ht="12.75" customHeight="1">
      <c r="A1268" s="406"/>
      <c r="B1268" s="401"/>
      <c r="C1268" s="401"/>
      <c r="D1268" s="401"/>
      <c r="E1268" s="401"/>
      <c r="F1268" s="401"/>
      <c r="G1268" s="417"/>
    </row>
    <row r="1269" spans="1:9" ht="12.75" customHeight="1">
      <c r="A1269" s="406"/>
      <c r="B1269" s="401"/>
      <c r="C1269" s="401"/>
      <c r="D1269" s="401"/>
      <c r="E1269" s="401"/>
      <c r="F1269" s="401" t="s">
        <v>189</v>
      </c>
      <c r="G1269" s="417">
        <f t="shared" ref="G1269" si="131">F1263+F1264+F1265+F1266+F1267+F1268</f>
        <v>1937.2673995356786</v>
      </c>
    </row>
    <row r="1270" spans="1:9" ht="12.75" customHeight="1">
      <c r="A1270" s="406"/>
      <c r="B1270" s="401"/>
      <c r="C1270" s="401"/>
      <c r="D1270" s="401"/>
      <c r="E1270" s="401"/>
      <c r="F1270" s="401"/>
      <c r="G1270" s="417"/>
    </row>
    <row r="1271" spans="1:9" ht="12.75" customHeight="1">
      <c r="A1271" s="406" t="s">
        <v>209</v>
      </c>
      <c r="B1271" s="401"/>
      <c r="C1271" s="401" t="s">
        <v>210</v>
      </c>
      <c r="D1271" s="401" t="s">
        <v>211</v>
      </c>
      <c r="E1271" s="401"/>
      <c r="F1271" s="401"/>
      <c r="G1271" s="417">
        <f t="shared" si="11"/>
        <v>122834.61538461535</v>
      </c>
      <c r="I1271">
        <v>159248.48000000001</v>
      </c>
    </row>
    <row r="1272" spans="1:9" ht="12.75" customHeight="1">
      <c r="A1272" s="406"/>
      <c r="B1272" s="401"/>
      <c r="C1272" s="401"/>
      <c r="D1272" s="401"/>
      <c r="E1272" s="401"/>
      <c r="F1272" s="401"/>
      <c r="G1272" s="417"/>
    </row>
    <row r="1273" spans="1:9" ht="12.75" customHeight="1">
      <c r="A1273" s="406"/>
      <c r="B1273" s="401"/>
      <c r="C1273" s="401"/>
      <c r="D1273" s="401"/>
      <c r="E1273" s="401" t="s">
        <v>212</v>
      </c>
      <c r="F1273" s="401"/>
      <c r="G1273" s="417">
        <f t="shared" si="12"/>
        <v>36850.384615384603</v>
      </c>
    </row>
    <row r="1274" spans="1:9" ht="12.75" customHeight="1">
      <c r="A1274" s="406"/>
      <c r="B1274" s="401"/>
      <c r="C1274" s="401"/>
      <c r="D1274" s="401"/>
      <c r="E1274" s="401"/>
      <c r="F1274" s="401"/>
      <c r="G1274" s="417"/>
    </row>
    <row r="1275" spans="1:9" ht="12.75" customHeight="1" thickBot="1">
      <c r="A1275" s="411" t="s">
        <v>213</v>
      </c>
      <c r="B1275" s="412"/>
      <c r="C1275" s="412"/>
      <c r="D1275" s="412" t="s">
        <v>214</v>
      </c>
      <c r="E1275" s="412"/>
      <c r="F1275" s="412"/>
      <c r="G1275" s="418">
        <f t="shared" si="13"/>
        <v>159684.99999999994</v>
      </c>
    </row>
    <row r="1276" spans="1:9" ht="15" customHeight="1">
      <c r="A1276" s="468" t="s">
        <v>174</v>
      </c>
      <c r="B1276" s="457"/>
      <c r="C1276" s="457"/>
      <c r="D1276" s="457"/>
      <c r="E1276" s="457"/>
      <c r="F1276" s="457"/>
      <c r="G1276" s="457"/>
    </row>
    <row r="1277" spans="1:9" ht="12.75" customHeight="1" thickBot="1"/>
    <row r="1278" spans="1:9" ht="12.75" customHeight="1">
      <c r="A1278" s="404" t="s">
        <v>175</v>
      </c>
      <c r="B1278" s="405"/>
      <c r="C1278" s="405"/>
      <c r="D1278" s="428"/>
      <c r="E1278" s="428"/>
      <c r="F1278" s="428"/>
      <c r="G1278" s="429"/>
    </row>
    <row r="1279" spans="1:9" ht="12.75" customHeight="1">
      <c r="A1279" s="406" t="s">
        <v>368</v>
      </c>
      <c r="B1279" s="401"/>
      <c r="C1279" s="401"/>
      <c r="D1279" s="401"/>
      <c r="E1279" s="195"/>
      <c r="F1279" s="402" t="s">
        <v>177</v>
      </c>
      <c r="G1279" s="430">
        <f t="shared" ca="1" si="0"/>
        <v>46289</v>
      </c>
    </row>
    <row r="1280" spans="1:9" ht="12.75" customHeight="1">
      <c r="A1280" s="406"/>
      <c r="B1280" s="401"/>
      <c r="C1280" s="401"/>
      <c r="D1280" s="401"/>
      <c r="E1280" s="401"/>
      <c r="F1280" s="401"/>
      <c r="G1280" s="417"/>
    </row>
    <row r="1281" spans="1:7" ht="12.75" customHeight="1">
      <c r="A1281" s="406" t="s">
        <v>429</v>
      </c>
      <c r="B1281" s="401" t="str">
        <f>+Presupuesto!B88</f>
        <v>S.T. I Soporte metálico / Abrazadera tipo uña Var.</v>
      </c>
      <c r="C1281" s="401"/>
      <c r="D1281" s="401"/>
      <c r="E1281" s="401"/>
      <c r="F1281" s="401"/>
      <c r="G1281" s="417"/>
    </row>
    <row r="1282" spans="1:7" ht="12.75" customHeight="1">
      <c r="A1282" s="406"/>
      <c r="B1282" s="401"/>
      <c r="C1282" s="401" t="s">
        <v>179</v>
      </c>
      <c r="D1282" s="432">
        <v>9</v>
      </c>
      <c r="E1282" s="401" t="s">
        <v>180</v>
      </c>
      <c r="F1282" s="401" t="s">
        <v>262</v>
      </c>
      <c r="G1282" s="417"/>
    </row>
    <row r="1283" spans="1:7" ht="12.75" customHeight="1">
      <c r="A1283" s="406" t="s">
        <v>182</v>
      </c>
      <c r="B1283" s="401"/>
      <c r="C1283" s="401"/>
      <c r="D1283" s="401"/>
      <c r="E1283" s="401"/>
      <c r="F1283" s="401"/>
      <c r="G1283" s="417"/>
    </row>
    <row r="1284" spans="1:7" ht="12.75" customHeight="1">
      <c r="A1284" s="408" t="s">
        <v>111</v>
      </c>
      <c r="B1284" s="169" t="s">
        <v>183</v>
      </c>
      <c r="C1284" s="169" t="s">
        <v>184</v>
      </c>
      <c r="D1284" s="169" t="s">
        <v>185</v>
      </c>
      <c r="E1284" s="169" t="s">
        <v>186</v>
      </c>
      <c r="F1284" s="401"/>
      <c r="G1284" s="417"/>
    </row>
    <row r="1285" spans="1:7" ht="12.75" customHeight="1">
      <c r="A1285" s="406" t="s">
        <v>187</v>
      </c>
      <c r="B1285" s="401"/>
      <c r="C1285" s="401"/>
      <c r="D1285" s="401"/>
      <c r="E1285" s="403">
        <f t="shared" ref="E1285" si="132">G1313*0.05</f>
        <v>168.4375</v>
      </c>
      <c r="F1285" s="401"/>
      <c r="G1285" s="417"/>
    </row>
    <row r="1286" spans="1:7" ht="12.75" customHeight="1">
      <c r="A1286" s="406"/>
      <c r="B1286" s="401"/>
      <c r="C1286" s="401"/>
      <c r="D1286" s="401"/>
      <c r="E1286" s="401"/>
      <c r="F1286" s="401"/>
      <c r="G1286" s="417"/>
    </row>
    <row r="1287" spans="1:7" ht="12.75" customHeight="1">
      <c r="A1287" s="406"/>
      <c r="B1287" s="401"/>
      <c r="C1287" s="401"/>
      <c r="D1287" s="401"/>
      <c r="E1287" s="401"/>
      <c r="F1287" s="401"/>
      <c r="G1287" s="417"/>
    </row>
    <row r="1288" spans="1:7" ht="12.75" customHeight="1">
      <c r="A1288" s="406"/>
      <c r="B1288" s="401"/>
      <c r="C1288" s="401"/>
      <c r="D1288" s="401"/>
      <c r="E1288" s="401"/>
      <c r="F1288" s="401" t="s">
        <v>189</v>
      </c>
      <c r="G1288" s="417">
        <f t="shared" ref="G1288" si="133">E1285+E1286+E1287+E1288</f>
        <v>168.4375</v>
      </c>
    </row>
    <row r="1289" spans="1:7" ht="12.75" customHeight="1">
      <c r="A1289" s="406" t="s">
        <v>191</v>
      </c>
      <c r="B1289" s="401"/>
      <c r="C1289" s="401"/>
      <c r="D1289" s="401"/>
      <c r="E1289" s="401"/>
      <c r="F1289" s="401"/>
      <c r="G1289" s="417"/>
    </row>
    <row r="1290" spans="1:7" ht="12.75" customHeight="1">
      <c r="A1290" s="408" t="s">
        <v>111</v>
      </c>
      <c r="B1290" s="169" t="s">
        <v>193</v>
      </c>
      <c r="C1290" s="169" t="s">
        <v>194</v>
      </c>
      <c r="D1290" s="169" t="s">
        <v>195</v>
      </c>
      <c r="E1290" s="169" t="s">
        <v>186</v>
      </c>
      <c r="F1290" s="401"/>
      <c r="G1290" s="417"/>
    </row>
    <row r="1291" spans="1:7" ht="13.5" customHeight="1">
      <c r="A1291" s="406" t="s">
        <v>821</v>
      </c>
      <c r="B1291" s="169" t="s">
        <v>35</v>
      </c>
      <c r="C1291" s="403">
        <f>1.19*1150</f>
        <v>1368.5</v>
      </c>
      <c r="D1291" s="401">
        <v>1.05</v>
      </c>
      <c r="E1291" s="403">
        <f>C1291*D1291</f>
        <v>1436.925</v>
      </c>
      <c r="F1291" s="401"/>
      <c r="G1291" s="417"/>
    </row>
    <row r="1292" spans="1:7" ht="15" customHeight="1">
      <c r="A1292" s="406" t="s">
        <v>296</v>
      </c>
      <c r="B1292" s="169" t="s">
        <v>220</v>
      </c>
      <c r="C1292" s="401">
        <v>750</v>
      </c>
      <c r="D1292" s="401">
        <v>1</v>
      </c>
      <c r="E1292" s="401">
        <f t="shared" ref="E1292" si="134">C1292*D1292</f>
        <v>750</v>
      </c>
      <c r="F1292" s="401"/>
      <c r="G1292" s="417"/>
    </row>
    <row r="1293" spans="1:7" ht="12.75" customHeight="1">
      <c r="A1293" s="406"/>
      <c r="B1293" s="169"/>
      <c r="C1293" s="401"/>
      <c r="D1293" s="401"/>
      <c r="E1293" s="401"/>
      <c r="F1293" s="401"/>
      <c r="G1293" s="417"/>
    </row>
    <row r="1294" spans="1:7" ht="12.75" customHeight="1">
      <c r="A1294" s="406"/>
      <c r="B1294" s="401"/>
      <c r="C1294" s="401"/>
      <c r="D1294" s="401"/>
      <c r="E1294" s="401"/>
      <c r="F1294" s="401"/>
      <c r="G1294" s="417"/>
    </row>
    <row r="1295" spans="1:7" ht="12.75" customHeight="1">
      <c r="A1295" s="406"/>
      <c r="B1295" s="401"/>
      <c r="C1295" s="401"/>
      <c r="D1295" s="401"/>
      <c r="E1295" s="401"/>
      <c r="F1295" s="401"/>
      <c r="G1295" s="417"/>
    </row>
    <row r="1296" spans="1:7" ht="12.75" customHeight="1">
      <c r="A1296" s="406"/>
      <c r="B1296" s="401"/>
      <c r="C1296" s="401"/>
      <c r="D1296" s="401"/>
      <c r="E1296" s="401"/>
      <c r="F1296" s="401"/>
      <c r="G1296" s="417"/>
    </row>
    <row r="1297" spans="1:7" ht="12.75" customHeight="1">
      <c r="A1297" s="406"/>
      <c r="B1297" s="401"/>
      <c r="C1297" s="401"/>
      <c r="D1297" s="401"/>
      <c r="E1297" s="401"/>
      <c r="F1297" s="401" t="s">
        <v>189</v>
      </c>
      <c r="G1297" s="417">
        <f t="shared" ref="G1297" si="135">E1291+E1292+E1293+E1294+E1295+E1296+E1297</f>
        <v>2186.9250000000002</v>
      </c>
    </row>
    <row r="1298" spans="1:7" ht="12.75" customHeight="1">
      <c r="A1298" s="406" t="s">
        <v>197</v>
      </c>
      <c r="B1298" s="401"/>
      <c r="C1298" s="401"/>
      <c r="D1298" s="401"/>
      <c r="E1298" s="401"/>
      <c r="F1298" s="401"/>
      <c r="G1298" s="417"/>
    </row>
    <row r="1299" spans="1:7" ht="12.75" customHeight="1">
      <c r="A1299" s="408" t="s">
        <v>198</v>
      </c>
      <c r="B1299" s="169" t="s">
        <v>199</v>
      </c>
      <c r="C1299" s="169" t="s">
        <v>200</v>
      </c>
      <c r="D1299" s="169" t="s">
        <v>201</v>
      </c>
      <c r="E1299" s="169" t="s">
        <v>186</v>
      </c>
      <c r="F1299" s="401"/>
      <c r="G1299" s="417"/>
    </row>
    <row r="1300" spans="1:7" ht="12.75" customHeight="1">
      <c r="A1300" s="406" t="s">
        <v>243</v>
      </c>
      <c r="B1300" s="401"/>
      <c r="C1300" s="401"/>
      <c r="D1300" s="401"/>
      <c r="E1300" s="403">
        <v>6595.1182692307657</v>
      </c>
      <c r="F1300" s="401"/>
      <c r="G1300" s="417"/>
    </row>
    <row r="1301" spans="1:7" ht="12.75" customHeight="1">
      <c r="A1301" s="406"/>
      <c r="B1301" s="401"/>
      <c r="C1301" s="401"/>
      <c r="D1301" s="401"/>
      <c r="E1301" s="401"/>
      <c r="F1301" s="401"/>
      <c r="G1301" s="417"/>
    </row>
    <row r="1302" spans="1:7" ht="12.75" customHeight="1">
      <c r="A1302" s="406"/>
      <c r="B1302" s="401"/>
      <c r="C1302" s="401"/>
      <c r="D1302" s="401"/>
      <c r="E1302" s="401"/>
      <c r="F1302" s="401"/>
      <c r="G1302" s="417"/>
    </row>
    <row r="1303" spans="1:7" ht="12.75" customHeight="1">
      <c r="A1303" s="406"/>
      <c r="B1303" s="401"/>
      <c r="C1303" s="401"/>
      <c r="D1303" s="401"/>
      <c r="E1303" s="401"/>
      <c r="F1303" s="401"/>
      <c r="G1303" s="417"/>
    </row>
    <row r="1304" spans="1:7" ht="12.75" customHeight="1">
      <c r="A1304" s="406"/>
      <c r="B1304" s="401"/>
      <c r="C1304" s="401"/>
      <c r="D1304" s="401"/>
      <c r="E1304" s="401"/>
      <c r="F1304" s="401" t="s">
        <v>189</v>
      </c>
      <c r="G1304" s="417">
        <f t="shared" ref="G1304" si="136">E1300+E1301+E1302+E1303+E1304</f>
        <v>6595.1182692307657</v>
      </c>
    </row>
    <row r="1305" spans="1:7" ht="12.75" customHeight="1">
      <c r="A1305" s="406" t="s">
        <v>202</v>
      </c>
      <c r="B1305" s="401"/>
      <c r="C1305" s="401"/>
      <c r="D1305" s="401"/>
      <c r="E1305" s="401"/>
      <c r="F1305" s="401"/>
      <c r="G1305" s="417"/>
    </row>
    <row r="1306" spans="1:7" ht="12.75" customHeight="1">
      <c r="A1306" s="408" t="s">
        <v>203</v>
      </c>
      <c r="B1306" s="169" t="s">
        <v>204</v>
      </c>
      <c r="C1306" s="169" t="s">
        <v>205</v>
      </c>
      <c r="D1306" s="169" t="s">
        <v>206</v>
      </c>
      <c r="E1306" s="169" t="s">
        <v>207</v>
      </c>
      <c r="F1306" s="169" t="s">
        <v>208</v>
      </c>
      <c r="G1306" s="417"/>
    </row>
    <row r="1307" spans="1:7" ht="12.75" customHeight="1">
      <c r="A1307" s="406" t="s">
        <v>188</v>
      </c>
      <c r="B1307" s="401">
        <f>+B1263</f>
        <v>140000</v>
      </c>
      <c r="C1307" s="401">
        <f t="shared" ref="C1307:C1308" si="137">0.75*B1307</f>
        <v>105000</v>
      </c>
      <c r="D1307" s="401">
        <f t="shared" ref="D1307:D1308" si="138">B1307+C1307</f>
        <v>245000</v>
      </c>
      <c r="E1307" s="401">
        <v>120</v>
      </c>
      <c r="F1307" s="403">
        <f t="shared" ref="F1307:F1308" si="139">D1307/E1307</f>
        <v>2041.6666666666667</v>
      </c>
      <c r="G1307" s="417"/>
    </row>
    <row r="1308" spans="1:7" ht="12.75" customHeight="1">
      <c r="A1308" s="406" t="s">
        <v>307</v>
      </c>
      <c r="B1308" s="401">
        <f>+B1264</f>
        <v>91000</v>
      </c>
      <c r="C1308" s="403">
        <f t="shared" si="137"/>
        <v>68250</v>
      </c>
      <c r="D1308" s="403">
        <f t="shared" si="138"/>
        <v>159250</v>
      </c>
      <c r="E1308" s="401">
        <v>120</v>
      </c>
      <c r="F1308" s="403">
        <f t="shared" si="139"/>
        <v>1327.0833333333333</v>
      </c>
      <c r="G1308" s="417"/>
    </row>
    <row r="1309" spans="1:7" ht="12.75" customHeight="1">
      <c r="A1309" s="406"/>
      <c r="B1309" s="401"/>
      <c r="C1309" s="401"/>
      <c r="D1309" s="401"/>
      <c r="E1309" s="401"/>
      <c r="F1309" s="401"/>
      <c r="G1309" s="417"/>
    </row>
    <row r="1310" spans="1:7" ht="12.75" customHeight="1">
      <c r="A1310" s="406"/>
      <c r="B1310" s="401"/>
      <c r="C1310" s="401"/>
      <c r="D1310" s="401"/>
      <c r="E1310" s="401"/>
      <c r="F1310" s="401"/>
      <c r="G1310" s="417"/>
    </row>
    <row r="1311" spans="1:7" ht="12.75" customHeight="1">
      <c r="A1311" s="406"/>
      <c r="B1311" s="401"/>
      <c r="C1311" s="401"/>
      <c r="D1311" s="401"/>
      <c r="E1311" s="401"/>
      <c r="F1311" s="401"/>
      <c r="G1311" s="417"/>
    </row>
    <row r="1312" spans="1:7" ht="12.75" customHeight="1">
      <c r="A1312" s="406"/>
      <c r="B1312" s="401"/>
      <c r="C1312" s="401"/>
      <c r="D1312" s="401"/>
      <c r="E1312" s="401"/>
      <c r="F1312" s="401"/>
      <c r="G1312" s="417"/>
    </row>
    <row r="1313" spans="1:9" ht="12.75" customHeight="1">
      <c r="A1313" s="406"/>
      <c r="B1313" s="401"/>
      <c r="C1313" s="401"/>
      <c r="D1313" s="401"/>
      <c r="E1313" s="401"/>
      <c r="F1313" s="401" t="s">
        <v>189</v>
      </c>
      <c r="G1313" s="417">
        <f t="shared" ref="G1313" si="140">F1307+F1308+F1309+F1310+F1311+F1312</f>
        <v>3368.75</v>
      </c>
    </row>
    <row r="1314" spans="1:9" ht="12.75" customHeight="1">
      <c r="A1314" s="406"/>
      <c r="B1314" s="401"/>
      <c r="C1314" s="401"/>
      <c r="D1314" s="401"/>
      <c r="E1314" s="401"/>
      <c r="F1314" s="401"/>
      <c r="G1314" s="417"/>
    </row>
    <row r="1315" spans="1:9" ht="12.75" customHeight="1">
      <c r="A1315" s="406" t="s">
        <v>209</v>
      </c>
      <c r="B1315" s="401"/>
      <c r="C1315" s="401" t="s">
        <v>210</v>
      </c>
      <c r="D1315" s="401" t="s">
        <v>211</v>
      </c>
      <c r="E1315" s="401"/>
      <c r="F1315" s="401"/>
      <c r="G1315" s="417">
        <f t="shared" si="11"/>
        <v>12319.230769230766</v>
      </c>
      <c r="I1315">
        <v>15724.11</v>
      </c>
    </row>
    <row r="1316" spans="1:9" ht="12.75" customHeight="1">
      <c r="A1316" s="406"/>
      <c r="B1316" s="401"/>
      <c r="C1316" s="401"/>
      <c r="D1316" s="401"/>
      <c r="E1316" s="401"/>
      <c r="F1316" s="401"/>
      <c r="G1316" s="417"/>
    </row>
    <row r="1317" spans="1:9" ht="12.75" customHeight="1">
      <c r="A1317" s="406"/>
      <c r="B1317" s="401"/>
      <c r="C1317" s="401"/>
      <c r="D1317" s="401"/>
      <c r="E1317" s="401" t="s">
        <v>212</v>
      </c>
      <c r="F1317" s="401"/>
      <c r="G1317" s="417">
        <f t="shared" si="12"/>
        <v>3695.7692307692296</v>
      </c>
    </row>
    <row r="1318" spans="1:9" ht="12.75" customHeight="1">
      <c r="A1318" s="406"/>
      <c r="B1318" s="401"/>
      <c r="C1318" s="401"/>
      <c r="D1318" s="401"/>
      <c r="E1318" s="401"/>
      <c r="F1318" s="401"/>
      <c r="G1318" s="417"/>
    </row>
    <row r="1319" spans="1:9" ht="12.75" customHeight="1" thickBot="1">
      <c r="A1319" s="411" t="s">
        <v>213</v>
      </c>
      <c r="B1319" s="412"/>
      <c r="C1319" s="412"/>
      <c r="D1319" s="412" t="s">
        <v>214</v>
      </c>
      <c r="E1319" s="412"/>
      <c r="F1319" s="412"/>
      <c r="G1319" s="418">
        <f t="shared" si="13"/>
        <v>16014.999999999996</v>
      </c>
    </row>
    <row r="1320" spans="1:9" ht="15" customHeight="1">
      <c r="A1320" s="468" t="s">
        <v>174</v>
      </c>
      <c r="B1320" s="457"/>
      <c r="C1320" s="457"/>
      <c r="D1320" s="457"/>
      <c r="E1320" s="457"/>
      <c r="F1320" s="457"/>
      <c r="G1320" s="457"/>
    </row>
    <row r="1321" spans="1:9" ht="12.75" customHeight="1" thickBot="1"/>
    <row r="1322" spans="1:9" ht="12.75" customHeight="1">
      <c r="A1322" s="404" t="s">
        <v>175</v>
      </c>
      <c r="B1322" s="405"/>
      <c r="C1322" s="405"/>
      <c r="D1322" s="428"/>
      <c r="E1322" s="428"/>
      <c r="F1322" s="428"/>
      <c r="G1322" s="429"/>
    </row>
    <row r="1323" spans="1:9" ht="12.75" customHeight="1">
      <c r="A1323" s="406" t="s">
        <v>368</v>
      </c>
      <c r="B1323" s="401"/>
      <c r="C1323" s="401"/>
      <c r="D1323" s="401"/>
      <c r="E1323" s="195"/>
      <c r="F1323" s="402" t="s">
        <v>177</v>
      </c>
      <c r="G1323" s="430">
        <f t="shared" ca="1" si="0"/>
        <v>46289</v>
      </c>
    </row>
    <row r="1324" spans="1:9" ht="12.75" customHeight="1">
      <c r="A1324" s="406"/>
      <c r="B1324" s="401"/>
      <c r="C1324" s="401"/>
      <c r="D1324" s="401"/>
      <c r="E1324" s="401"/>
      <c r="F1324" s="401"/>
      <c r="G1324" s="417"/>
    </row>
    <row r="1325" spans="1:9" ht="12.75" customHeight="1">
      <c r="A1325" s="406" t="s">
        <v>432</v>
      </c>
      <c r="B1325" s="401" t="str">
        <f>+Presupuesto!B89</f>
        <v>S.T. I Adhesivo (Soldadura líquida) para PVC  en 1/4 Gl</v>
      </c>
      <c r="C1325" s="401"/>
      <c r="D1325" s="401"/>
      <c r="E1325" s="401"/>
      <c r="F1325" s="401"/>
      <c r="G1325" s="417"/>
    </row>
    <row r="1326" spans="1:9" ht="12.75" customHeight="1">
      <c r="A1326" s="406"/>
      <c r="B1326" s="401"/>
      <c r="C1326" s="401" t="s">
        <v>179</v>
      </c>
      <c r="D1326" s="432">
        <v>9</v>
      </c>
      <c r="E1326" s="401" t="s">
        <v>180</v>
      </c>
      <c r="F1326" s="401" t="s">
        <v>262</v>
      </c>
      <c r="G1326" s="417"/>
    </row>
    <row r="1327" spans="1:9" ht="12.75" customHeight="1">
      <c r="A1327" s="406" t="s">
        <v>182</v>
      </c>
      <c r="B1327" s="401"/>
      <c r="C1327" s="401"/>
      <c r="D1327" s="401"/>
      <c r="E1327" s="401"/>
      <c r="F1327" s="401"/>
      <c r="G1327" s="417"/>
    </row>
    <row r="1328" spans="1:9" ht="12.75" customHeight="1">
      <c r="A1328" s="408" t="s">
        <v>111</v>
      </c>
      <c r="B1328" s="169" t="s">
        <v>183</v>
      </c>
      <c r="C1328" s="169" t="s">
        <v>184</v>
      </c>
      <c r="D1328" s="169" t="s">
        <v>185</v>
      </c>
      <c r="E1328" s="169" t="s">
        <v>186</v>
      </c>
      <c r="F1328" s="401"/>
      <c r="G1328" s="417"/>
    </row>
    <row r="1329" spans="1:7" ht="12.75" customHeight="1">
      <c r="A1329" s="406" t="s">
        <v>187</v>
      </c>
      <c r="B1329" s="401"/>
      <c r="C1329" s="401"/>
      <c r="D1329" s="401"/>
      <c r="E1329" s="403">
        <f t="shared" ref="E1329" si="141">G1357*0.05</f>
        <v>441.68518572404832</v>
      </c>
      <c r="F1329" s="401"/>
      <c r="G1329" s="417"/>
    </row>
    <row r="1330" spans="1:7" ht="12.75" customHeight="1">
      <c r="A1330" s="406"/>
      <c r="B1330" s="401"/>
      <c r="C1330" s="401"/>
      <c r="D1330" s="401"/>
      <c r="E1330" s="401"/>
      <c r="F1330" s="401"/>
      <c r="G1330" s="417"/>
    </row>
    <row r="1331" spans="1:7" ht="12.75" customHeight="1">
      <c r="A1331" s="406"/>
      <c r="B1331" s="401"/>
      <c r="C1331" s="401"/>
      <c r="D1331" s="401"/>
      <c r="E1331" s="401"/>
      <c r="F1331" s="401"/>
      <c r="G1331" s="417"/>
    </row>
    <row r="1332" spans="1:7" ht="12.75" customHeight="1">
      <c r="A1332" s="406"/>
      <c r="B1332" s="401"/>
      <c r="C1332" s="401"/>
      <c r="D1332" s="401"/>
      <c r="E1332" s="401"/>
      <c r="F1332" s="401" t="s">
        <v>189</v>
      </c>
      <c r="G1332" s="417">
        <f t="shared" ref="G1332" si="142">E1329+E1330+E1331+E1332</f>
        <v>441.68518572404832</v>
      </c>
    </row>
    <row r="1333" spans="1:7" ht="12.75" customHeight="1">
      <c r="A1333" s="406" t="s">
        <v>191</v>
      </c>
      <c r="B1333" s="401"/>
      <c r="C1333" s="401"/>
      <c r="D1333" s="401"/>
      <c r="E1333" s="401"/>
      <c r="F1333" s="401"/>
      <c r="G1333" s="417"/>
    </row>
    <row r="1334" spans="1:7" ht="12.75" customHeight="1">
      <c r="A1334" s="408" t="s">
        <v>111</v>
      </c>
      <c r="B1334" s="169" t="s">
        <v>193</v>
      </c>
      <c r="C1334" s="169" t="s">
        <v>194</v>
      </c>
      <c r="D1334" s="169" t="s">
        <v>195</v>
      </c>
      <c r="E1334" s="169" t="s">
        <v>186</v>
      </c>
      <c r="F1334" s="401"/>
      <c r="G1334" s="417"/>
    </row>
    <row r="1335" spans="1:7" ht="13.5" customHeight="1">
      <c r="A1335" s="406" t="s">
        <v>820</v>
      </c>
      <c r="B1335" s="169" t="s">
        <v>35</v>
      </c>
      <c r="C1335" s="403">
        <f>79900*1.05</f>
        <v>83895</v>
      </c>
      <c r="D1335" s="401">
        <v>1.05</v>
      </c>
      <c r="E1335" s="403">
        <f t="shared" ref="E1335" si="143">C1335*D1335</f>
        <v>88089.75</v>
      </c>
      <c r="F1335" s="401"/>
      <c r="G1335" s="417"/>
    </row>
    <row r="1336" spans="1:7" ht="15" customHeight="1">
      <c r="A1336" s="406"/>
      <c r="B1336" s="169"/>
      <c r="C1336" s="401"/>
      <c r="D1336" s="401"/>
      <c r="E1336" s="401"/>
      <c r="F1336" s="401"/>
      <c r="G1336" s="417"/>
    </row>
    <row r="1337" spans="1:7" ht="12.75" customHeight="1">
      <c r="A1337" s="406"/>
      <c r="B1337" s="169"/>
      <c r="C1337" s="401"/>
      <c r="D1337" s="401"/>
      <c r="E1337" s="401"/>
      <c r="F1337" s="401"/>
      <c r="G1337" s="417"/>
    </row>
    <row r="1338" spans="1:7" ht="12.75" customHeight="1">
      <c r="A1338" s="406"/>
      <c r="B1338" s="401"/>
      <c r="C1338" s="401"/>
      <c r="D1338" s="401"/>
      <c r="E1338" s="401"/>
      <c r="F1338" s="401"/>
      <c r="G1338" s="417"/>
    </row>
    <row r="1339" spans="1:7" ht="12.75" customHeight="1">
      <c r="A1339" s="406"/>
      <c r="B1339" s="401"/>
      <c r="C1339" s="401"/>
      <c r="D1339" s="401"/>
      <c r="E1339" s="401"/>
      <c r="F1339" s="401"/>
      <c r="G1339" s="417"/>
    </row>
    <row r="1340" spans="1:7" ht="12.75" customHeight="1">
      <c r="A1340" s="406"/>
      <c r="B1340" s="401"/>
      <c r="C1340" s="401"/>
      <c r="D1340" s="401"/>
      <c r="E1340" s="401"/>
      <c r="F1340" s="401"/>
      <c r="G1340" s="417"/>
    </row>
    <row r="1341" spans="1:7" ht="12.75" customHeight="1">
      <c r="A1341" s="406"/>
      <c r="B1341" s="401"/>
      <c r="C1341" s="401"/>
      <c r="D1341" s="401"/>
      <c r="E1341" s="401"/>
      <c r="F1341" s="401" t="s">
        <v>189</v>
      </c>
      <c r="G1341" s="417">
        <f t="shared" ref="G1341" si="144">E1335+E1336+E1337+E1338+E1339+E1340+E1341</f>
        <v>88089.75</v>
      </c>
    </row>
    <row r="1342" spans="1:7" ht="12.75" customHeight="1">
      <c r="A1342" s="406" t="s">
        <v>197</v>
      </c>
      <c r="B1342" s="401"/>
      <c r="C1342" s="401"/>
      <c r="D1342" s="401"/>
      <c r="E1342" s="401"/>
      <c r="F1342" s="401"/>
      <c r="G1342" s="417"/>
    </row>
    <row r="1343" spans="1:7" ht="12.75" customHeight="1">
      <c r="A1343" s="408" t="s">
        <v>198</v>
      </c>
      <c r="B1343" s="169" t="s">
        <v>199</v>
      </c>
      <c r="C1343" s="169" t="s">
        <v>200</v>
      </c>
      <c r="D1343" s="169" t="s">
        <v>201</v>
      </c>
      <c r="E1343" s="169" t="s">
        <v>186</v>
      </c>
      <c r="F1343" s="401"/>
      <c r="G1343" s="417"/>
    </row>
    <row r="1344" spans="1:7" ht="12.75" customHeight="1">
      <c r="A1344" s="406" t="s">
        <v>243</v>
      </c>
      <c r="B1344" s="401"/>
      <c r="C1344" s="401"/>
      <c r="D1344" s="401"/>
      <c r="E1344" s="403">
        <v>268.70725364113918</v>
      </c>
      <c r="F1344" s="401"/>
      <c r="G1344" s="417"/>
    </row>
    <row r="1345" spans="1:9" ht="12.75" customHeight="1">
      <c r="A1345" s="406"/>
      <c r="B1345" s="401"/>
      <c r="C1345" s="401"/>
      <c r="D1345" s="401"/>
      <c r="E1345" s="401"/>
      <c r="F1345" s="401"/>
      <c r="G1345" s="417"/>
    </row>
    <row r="1346" spans="1:9" ht="12.75" customHeight="1">
      <c r="A1346" s="406"/>
      <c r="B1346" s="401"/>
      <c r="C1346" s="401"/>
      <c r="D1346" s="401"/>
      <c r="E1346" s="401"/>
      <c r="F1346" s="401"/>
      <c r="G1346" s="417"/>
    </row>
    <row r="1347" spans="1:9" ht="12.75" customHeight="1">
      <c r="A1347" s="406"/>
      <c r="B1347" s="401"/>
      <c r="C1347" s="401"/>
      <c r="D1347" s="401"/>
      <c r="E1347" s="401"/>
      <c r="F1347" s="401"/>
      <c r="G1347" s="417"/>
    </row>
    <row r="1348" spans="1:9" ht="12.75" customHeight="1">
      <c r="A1348" s="406"/>
      <c r="B1348" s="401"/>
      <c r="C1348" s="401"/>
      <c r="D1348" s="401"/>
      <c r="E1348" s="401"/>
      <c r="F1348" s="401" t="s">
        <v>189</v>
      </c>
      <c r="G1348" s="417">
        <f t="shared" ref="G1348" si="145">E1344+E1345+E1346+E1347+E1348</f>
        <v>268.70725364113918</v>
      </c>
    </row>
    <row r="1349" spans="1:9" ht="12.75" customHeight="1">
      <c r="A1349" s="406" t="s">
        <v>202</v>
      </c>
      <c r="B1349" s="401"/>
      <c r="C1349" s="401"/>
      <c r="D1349" s="401"/>
      <c r="E1349" s="401"/>
      <c r="F1349" s="401"/>
      <c r="G1349" s="417"/>
    </row>
    <row r="1350" spans="1:9" ht="12.75" customHeight="1">
      <c r="A1350" s="408" t="s">
        <v>203</v>
      </c>
      <c r="B1350" s="169" t="s">
        <v>204</v>
      </c>
      <c r="C1350" s="169" t="s">
        <v>205</v>
      </c>
      <c r="D1350" s="169" t="s">
        <v>206</v>
      </c>
      <c r="E1350" s="169" t="s">
        <v>207</v>
      </c>
      <c r="F1350" s="169" t="s">
        <v>208</v>
      </c>
      <c r="G1350" s="417"/>
    </row>
    <row r="1351" spans="1:9" ht="12.75" customHeight="1">
      <c r="A1351" s="406" t="s">
        <v>188</v>
      </c>
      <c r="B1351" s="401">
        <f>+B1307</f>
        <v>140000</v>
      </c>
      <c r="C1351" s="401">
        <f t="shared" ref="C1351:C1352" si="146">0.75*B1351</f>
        <v>105000</v>
      </c>
      <c r="D1351" s="401">
        <f t="shared" ref="D1351:D1352" si="147">B1351+C1351</f>
        <v>245000</v>
      </c>
      <c r="E1351" s="401">
        <v>50</v>
      </c>
      <c r="F1351" s="403">
        <f>D1351/E1351</f>
        <v>4900</v>
      </c>
      <c r="G1351" s="417"/>
    </row>
    <row r="1352" spans="1:9" ht="12.75" customHeight="1">
      <c r="A1352" s="406" t="s">
        <v>307</v>
      </c>
      <c r="B1352" s="401">
        <f>+B1308</f>
        <v>91000</v>
      </c>
      <c r="C1352" s="403">
        <f t="shared" si="146"/>
        <v>68250</v>
      </c>
      <c r="D1352" s="403">
        <f t="shared" si="147"/>
        <v>159250</v>
      </c>
      <c r="E1352" s="403">
        <v>40.48347602127739</v>
      </c>
      <c r="F1352" s="403">
        <f t="shared" ref="F1352" si="148">D1352/E1352</f>
        <v>3933.7037144809665</v>
      </c>
      <c r="G1352" s="417"/>
    </row>
    <row r="1353" spans="1:9" ht="12.75" customHeight="1">
      <c r="A1353" s="406"/>
      <c r="B1353" s="401"/>
      <c r="C1353" s="401"/>
      <c r="D1353" s="401"/>
      <c r="E1353" s="401"/>
      <c r="F1353" s="401"/>
      <c r="G1353" s="417"/>
    </row>
    <row r="1354" spans="1:9" ht="12.75" customHeight="1">
      <c r="A1354" s="406"/>
      <c r="B1354" s="401"/>
      <c r="C1354" s="401"/>
      <c r="D1354" s="401"/>
      <c r="E1354" s="401"/>
      <c r="F1354" s="401"/>
      <c r="G1354" s="417"/>
    </row>
    <row r="1355" spans="1:9" ht="12.75" customHeight="1">
      <c r="A1355" s="406"/>
      <c r="B1355" s="401"/>
      <c r="C1355" s="401"/>
      <c r="D1355" s="401"/>
      <c r="E1355" s="401"/>
      <c r="F1355" s="401"/>
      <c r="G1355" s="417"/>
    </row>
    <row r="1356" spans="1:9" ht="12.75" customHeight="1">
      <c r="A1356" s="406"/>
      <c r="B1356" s="401"/>
      <c r="C1356" s="401"/>
      <c r="D1356" s="401"/>
      <c r="E1356" s="401"/>
      <c r="F1356" s="401"/>
      <c r="G1356" s="417"/>
    </row>
    <row r="1357" spans="1:9" ht="12.75" customHeight="1">
      <c r="A1357" s="406"/>
      <c r="B1357" s="401"/>
      <c r="C1357" s="401"/>
      <c r="D1357" s="401"/>
      <c r="E1357" s="401"/>
      <c r="F1357" s="401" t="s">
        <v>189</v>
      </c>
      <c r="G1357" s="417">
        <f t="shared" ref="G1357" si="149">F1351+F1352+F1353+F1354+F1355+F1356</f>
        <v>8833.7037144809656</v>
      </c>
    </row>
    <row r="1358" spans="1:9" ht="12.75" customHeight="1">
      <c r="A1358" s="406"/>
      <c r="B1358" s="401"/>
      <c r="C1358" s="401"/>
      <c r="D1358" s="401"/>
      <c r="E1358" s="401"/>
      <c r="F1358" s="401"/>
      <c r="G1358" s="417"/>
    </row>
    <row r="1359" spans="1:9" ht="12.75" customHeight="1">
      <c r="A1359" s="406" t="s">
        <v>209</v>
      </c>
      <c r="B1359" s="401"/>
      <c r="C1359" s="401" t="s">
        <v>210</v>
      </c>
      <c r="D1359" s="401" t="s">
        <v>211</v>
      </c>
      <c r="E1359" s="401"/>
      <c r="F1359" s="401"/>
      <c r="G1359" s="417">
        <f t="shared" si="11"/>
        <v>97633.846153846156</v>
      </c>
      <c r="I1359">
        <v>126574.68</v>
      </c>
    </row>
    <row r="1360" spans="1:9" ht="12.75" customHeight="1">
      <c r="A1360" s="406"/>
      <c r="B1360" s="401"/>
      <c r="C1360" s="401"/>
      <c r="D1360" s="401"/>
      <c r="E1360" s="401"/>
      <c r="F1360" s="401"/>
      <c r="G1360" s="417"/>
    </row>
    <row r="1361" spans="1:7" ht="12.75" customHeight="1">
      <c r="A1361" s="406"/>
      <c r="B1361" s="401"/>
      <c r="C1361" s="401"/>
      <c r="D1361" s="401"/>
      <c r="E1361" s="401" t="s">
        <v>212</v>
      </c>
      <c r="F1361" s="401"/>
      <c r="G1361" s="417">
        <f t="shared" si="12"/>
        <v>29290.153846153848</v>
      </c>
    </row>
    <row r="1362" spans="1:7" ht="12.75" customHeight="1">
      <c r="A1362" s="406"/>
      <c r="B1362" s="401"/>
      <c r="C1362" s="401"/>
      <c r="D1362" s="401"/>
      <c r="E1362" s="401"/>
      <c r="F1362" s="401"/>
      <c r="G1362" s="417"/>
    </row>
    <row r="1363" spans="1:7" ht="12.75" customHeight="1" thickBot="1">
      <c r="A1363" s="411" t="s">
        <v>213</v>
      </c>
      <c r="B1363" s="412"/>
      <c r="C1363" s="412"/>
      <c r="D1363" s="412" t="s">
        <v>214</v>
      </c>
      <c r="E1363" s="412"/>
      <c r="F1363" s="412"/>
      <c r="G1363" s="418">
        <f t="shared" si="13"/>
        <v>126924</v>
      </c>
    </row>
    <row r="1364" spans="1:7" ht="12.75" customHeight="1">
      <c r="A1364" s="1"/>
      <c r="B1364" s="1"/>
      <c r="C1364" s="1"/>
      <c r="D1364" s="1"/>
      <c r="E1364" s="1"/>
      <c r="F1364" s="1"/>
      <c r="G1364" s="420"/>
    </row>
    <row r="1365" spans="1:7" ht="12.75" hidden="1" customHeight="1">
      <c r="A1365" s="1"/>
      <c r="B1365" s="1"/>
      <c r="C1365" s="1"/>
      <c r="D1365" s="1"/>
      <c r="E1365" s="1"/>
      <c r="F1365" s="1"/>
      <c r="G1365" s="420"/>
    </row>
    <row r="1366" spans="1:7" ht="12.75" hidden="1" customHeight="1">
      <c r="A1366" s="1"/>
      <c r="B1366" s="1"/>
      <c r="C1366" s="1"/>
      <c r="D1366" s="1"/>
      <c r="E1366" s="1"/>
      <c r="F1366" s="1"/>
      <c r="G1366" s="420"/>
    </row>
    <row r="1367" spans="1:7" ht="12.75" hidden="1" customHeight="1">
      <c r="A1367" s="1"/>
      <c r="B1367" s="1"/>
      <c r="C1367" s="1"/>
      <c r="D1367" s="1"/>
      <c r="E1367" s="1"/>
      <c r="F1367" s="1"/>
      <c r="G1367" s="420"/>
    </row>
    <row r="1368" spans="1:7" ht="12.75" hidden="1" customHeight="1">
      <c r="A1368" s="1"/>
      <c r="B1368" s="1"/>
      <c r="C1368" s="1"/>
      <c r="D1368" s="1"/>
      <c r="E1368" s="1"/>
      <c r="F1368" s="1"/>
      <c r="G1368" s="420"/>
    </row>
    <row r="1369" spans="1:7" ht="12.75" hidden="1" customHeight="1">
      <c r="A1369" s="1"/>
      <c r="B1369" s="1"/>
      <c r="C1369" s="1"/>
      <c r="D1369" s="1"/>
      <c r="E1369" s="1"/>
      <c r="F1369" s="1"/>
      <c r="G1369" s="420"/>
    </row>
    <row r="1370" spans="1:7" ht="12.75" hidden="1" customHeight="1">
      <c r="A1370" s="1"/>
      <c r="B1370" s="1"/>
      <c r="C1370" s="1"/>
      <c r="D1370" s="1"/>
      <c r="E1370" s="1"/>
      <c r="F1370" s="1"/>
      <c r="G1370" s="420"/>
    </row>
    <row r="1371" spans="1:7" ht="12.75" hidden="1" customHeight="1">
      <c r="A1371" s="1"/>
      <c r="B1371" s="1"/>
      <c r="C1371" s="1"/>
      <c r="D1371" s="1"/>
      <c r="E1371" s="1"/>
      <c r="F1371" s="1"/>
      <c r="G1371" s="420"/>
    </row>
    <row r="1372" spans="1:7" ht="12.75" hidden="1" customHeight="1">
      <c r="A1372" s="1"/>
      <c r="B1372" s="1"/>
      <c r="C1372" s="1"/>
      <c r="D1372" s="1"/>
      <c r="E1372" s="1"/>
      <c r="F1372" s="1"/>
      <c r="G1372" s="420"/>
    </row>
    <row r="1373" spans="1:7" ht="12.75" hidden="1" customHeight="1">
      <c r="A1373" s="1"/>
      <c r="B1373" s="1"/>
      <c r="C1373" s="1"/>
      <c r="D1373" s="1"/>
      <c r="E1373" s="1"/>
      <c r="F1373" s="1"/>
      <c r="G1373" s="420"/>
    </row>
    <row r="1374" spans="1:7" ht="12.75" hidden="1" customHeight="1">
      <c r="A1374" s="1"/>
      <c r="B1374" s="1"/>
      <c r="C1374" s="1"/>
      <c r="D1374" s="1"/>
      <c r="E1374" s="1"/>
      <c r="F1374" s="1"/>
      <c r="G1374" s="420"/>
    </row>
    <row r="1375" spans="1:7" ht="12.75" hidden="1" customHeight="1">
      <c r="A1375" s="1"/>
      <c r="B1375" s="1"/>
      <c r="C1375" s="1"/>
      <c r="D1375" s="1"/>
      <c r="E1375" s="1"/>
      <c r="F1375" s="1"/>
      <c r="G1375" s="420"/>
    </row>
    <row r="1376" spans="1:7" ht="12.75" hidden="1" customHeight="1">
      <c r="A1376" s="1"/>
      <c r="B1376" s="1"/>
      <c r="C1376" s="1"/>
      <c r="D1376" s="1"/>
      <c r="E1376" s="1"/>
      <c r="F1376" s="1"/>
      <c r="G1376" s="420"/>
    </row>
    <row r="1377" spans="1:7" ht="12.75" hidden="1" customHeight="1">
      <c r="A1377" s="1"/>
      <c r="B1377" s="1"/>
      <c r="C1377" s="1"/>
      <c r="D1377" s="1"/>
      <c r="E1377" s="1"/>
      <c r="F1377" s="1"/>
      <c r="G1377" s="420"/>
    </row>
    <row r="1378" spans="1:7" ht="12.75" hidden="1" customHeight="1">
      <c r="A1378" s="1"/>
      <c r="B1378" s="1"/>
      <c r="C1378" s="1"/>
      <c r="D1378" s="1"/>
      <c r="E1378" s="1"/>
      <c r="F1378" s="1"/>
      <c r="G1378" s="420"/>
    </row>
    <row r="1379" spans="1:7" ht="12.75" hidden="1" customHeight="1">
      <c r="A1379" s="1"/>
      <c r="B1379" s="1"/>
      <c r="C1379" s="1"/>
      <c r="D1379" s="1"/>
      <c r="E1379" s="1"/>
      <c r="F1379" s="1"/>
      <c r="G1379" s="420"/>
    </row>
    <row r="1380" spans="1:7" ht="12.75" hidden="1" customHeight="1">
      <c r="A1380" s="1"/>
      <c r="B1380" s="1"/>
      <c r="C1380" s="1"/>
      <c r="D1380" s="1"/>
      <c r="E1380" s="1"/>
      <c r="F1380" s="1"/>
      <c r="G1380" s="420"/>
    </row>
    <row r="1381" spans="1:7" ht="12.75" hidden="1" customHeight="1">
      <c r="A1381" s="1"/>
      <c r="B1381" s="1"/>
      <c r="C1381" s="1"/>
      <c r="D1381" s="1"/>
      <c r="E1381" s="1"/>
      <c r="F1381" s="1"/>
      <c r="G1381" s="420"/>
    </row>
    <row r="1382" spans="1:7" ht="12.75" hidden="1" customHeight="1">
      <c r="A1382" s="1"/>
      <c r="B1382" s="1"/>
      <c r="C1382" s="1"/>
      <c r="D1382" s="1"/>
      <c r="E1382" s="1"/>
      <c r="F1382" s="1"/>
      <c r="G1382" s="420"/>
    </row>
    <row r="1383" spans="1:7" ht="12.75" hidden="1" customHeight="1">
      <c r="A1383" s="1"/>
      <c r="B1383" s="1"/>
      <c r="C1383" s="1"/>
      <c r="D1383" s="1"/>
      <c r="E1383" s="1"/>
      <c r="F1383" s="1"/>
      <c r="G1383" s="420"/>
    </row>
    <row r="1384" spans="1:7" ht="12.75" hidden="1" customHeight="1">
      <c r="A1384" s="1"/>
      <c r="B1384" s="1"/>
      <c r="C1384" s="1"/>
      <c r="D1384" s="1"/>
      <c r="E1384" s="1"/>
      <c r="F1384" s="1"/>
      <c r="G1384" s="420"/>
    </row>
    <row r="1385" spans="1:7" ht="12.75" hidden="1" customHeight="1">
      <c r="A1385" s="1"/>
      <c r="B1385" s="1"/>
      <c r="C1385" s="1"/>
      <c r="D1385" s="1"/>
      <c r="E1385" s="1"/>
      <c r="F1385" s="1"/>
      <c r="G1385" s="420"/>
    </row>
    <row r="1386" spans="1:7" ht="12.75" hidden="1" customHeight="1">
      <c r="A1386" s="1"/>
      <c r="B1386" s="1"/>
      <c r="C1386" s="1"/>
      <c r="D1386" s="1"/>
      <c r="E1386" s="1"/>
      <c r="F1386" s="1"/>
      <c r="G1386" s="420"/>
    </row>
    <row r="1387" spans="1:7" ht="12.75" hidden="1" customHeight="1">
      <c r="A1387" s="1"/>
      <c r="B1387" s="1"/>
      <c r="C1387" s="1"/>
      <c r="D1387" s="1"/>
      <c r="E1387" s="1"/>
      <c r="F1387" s="1"/>
      <c r="G1387" s="420"/>
    </row>
    <row r="1388" spans="1:7" ht="12.75" hidden="1" customHeight="1">
      <c r="A1388" s="1"/>
      <c r="B1388" s="1"/>
      <c r="C1388" s="1"/>
      <c r="D1388" s="1"/>
      <c r="E1388" s="1"/>
      <c r="F1388" s="1"/>
      <c r="G1388" s="420"/>
    </row>
    <row r="1389" spans="1:7" ht="12.75" hidden="1" customHeight="1">
      <c r="A1389" s="1"/>
      <c r="B1389" s="1"/>
      <c r="C1389" s="1"/>
      <c r="D1389" s="1"/>
      <c r="E1389" s="1"/>
      <c r="F1389" s="1"/>
      <c r="G1389" s="420"/>
    </row>
    <row r="1390" spans="1:7" ht="12.75" hidden="1" customHeight="1">
      <c r="A1390" s="1"/>
      <c r="B1390" s="1"/>
      <c r="C1390" s="1"/>
      <c r="D1390" s="1"/>
      <c r="E1390" s="1"/>
      <c r="F1390" s="1"/>
      <c r="G1390" s="420"/>
    </row>
    <row r="1391" spans="1:7" ht="12.75" hidden="1" customHeight="1">
      <c r="A1391" s="1"/>
      <c r="B1391" s="1"/>
      <c r="C1391" s="1"/>
      <c r="D1391" s="1"/>
      <c r="E1391" s="1"/>
      <c r="F1391" s="1"/>
      <c r="G1391" s="420"/>
    </row>
    <row r="1392" spans="1:7" ht="12.75" hidden="1" customHeight="1">
      <c r="A1392" s="1"/>
      <c r="B1392" s="1"/>
      <c r="C1392" s="1"/>
      <c r="D1392" s="1"/>
      <c r="E1392" s="1"/>
      <c r="F1392" s="1"/>
      <c r="G1392" s="420"/>
    </row>
    <row r="1393" spans="1:7" ht="12.75" hidden="1" customHeight="1">
      <c r="A1393" s="1"/>
      <c r="B1393" s="1"/>
      <c r="C1393" s="1"/>
      <c r="D1393" s="1"/>
      <c r="E1393" s="1"/>
      <c r="F1393" s="1"/>
      <c r="G1393" s="420"/>
    </row>
    <row r="1394" spans="1:7" ht="12.75" hidden="1" customHeight="1">
      <c r="A1394" s="1"/>
      <c r="B1394" s="1"/>
      <c r="C1394" s="1"/>
      <c r="D1394" s="1"/>
      <c r="E1394" s="1"/>
      <c r="F1394" s="1"/>
      <c r="G1394" s="420"/>
    </row>
    <row r="1395" spans="1:7" ht="12.75" hidden="1" customHeight="1">
      <c r="A1395" s="1"/>
      <c r="B1395" s="1"/>
      <c r="C1395" s="1"/>
      <c r="D1395" s="1"/>
      <c r="E1395" s="1"/>
      <c r="F1395" s="1"/>
      <c r="G1395" s="420"/>
    </row>
    <row r="1396" spans="1:7" ht="12.75" hidden="1" customHeight="1">
      <c r="A1396" s="1"/>
      <c r="B1396" s="1"/>
      <c r="C1396" s="1"/>
      <c r="D1396" s="1"/>
      <c r="E1396" s="1"/>
      <c r="F1396" s="1"/>
      <c r="G1396" s="420"/>
    </row>
    <row r="1397" spans="1:7" ht="12.75" hidden="1" customHeight="1">
      <c r="A1397" s="1"/>
      <c r="B1397" s="1"/>
      <c r="C1397" s="1"/>
      <c r="D1397" s="1"/>
      <c r="E1397" s="1"/>
      <c r="F1397" s="1"/>
      <c r="G1397" s="420"/>
    </row>
    <row r="1398" spans="1:7" ht="12.75" hidden="1" customHeight="1">
      <c r="A1398" s="1"/>
      <c r="B1398" s="1"/>
      <c r="C1398" s="1"/>
      <c r="D1398" s="1"/>
      <c r="E1398" s="1"/>
      <c r="F1398" s="1"/>
      <c r="G1398" s="420"/>
    </row>
    <row r="1399" spans="1:7" ht="12.75" hidden="1" customHeight="1">
      <c r="A1399" s="1"/>
      <c r="B1399" s="1"/>
      <c r="C1399" s="1"/>
      <c r="D1399" s="1"/>
      <c r="E1399" s="1"/>
      <c r="F1399" s="1"/>
      <c r="G1399" s="420"/>
    </row>
    <row r="1400" spans="1:7" ht="12.75" hidden="1" customHeight="1">
      <c r="A1400" s="1"/>
      <c r="B1400" s="1"/>
      <c r="C1400" s="1"/>
      <c r="D1400" s="1"/>
      <c r="E1400" s="1"/>
      <c r="F1400" s="1"/>
      <c r="G1400" s="420"/>
    </row>
    <row r="1401" spans="1:7" ht="12.75" hidden="1" customHeight="1">
      <c r="A1401" s="1"/>
      <c r="B1401" s="1"/>
      <c r="C1401" s="1"/>
      <c r="D1401" s="1"/>
      <c r="E1401" s="1"/>
      <c r="F1401" s="1"/>
      <c r="G1401" s="420"/>
    </row>
    <row r="1402" spans="1:7" ht="12.75" hidden="1" customHeight="1">
      <c r="A1402" s="1"/>
      <c r="B1402" s="1"/>
      <c r="C1402" s="1"/>
      <c r="D1402" s="1"/>
      <c r="E1402" s="1"/>
      <c r="F1402" s="1"/>
      <c r="G1402" s="420"/>
    </row>
    <row r="1403" spans="1:7" ht="12.75" hidden="1" customHeight="1">
      <c r="A1403" s="1"/>
      <c r="B1403" s="1"/>
      <c r="C1403" s="1"/>
      <c r="D1403" s="1"/>
      <c r="E1403" s="1"/>
      <c r="F1403" s="1"/>
      <c r="G1403" s="420"/>
    </row>
    <row r="1404" spans="1:7" ht="12.75" hidden="1" customHeight="1">
      <c r="A1404" s="1"/>
      <c r="B1404" s="1"/>
      <c r="C1404" s="1"/>
      <c r="D1404" s="1"/>
      <c r="E1404" s="1"/>
      <c r="F1404" s="1"/>
      <c r="G1404" s="420"/>
    </row>
    <row r="1405" spans="1:7" ht="12.75" hidden="1" customHeight="1">
      <c r="A1405" s="1"/>
      <c r="B1405" s="1"/>
      <c r="C1405" s="1"/>
      <c r="D1405" s="1"/>
      <c r="E1405" s="1"/>
      <c r="F1405" s="1"/>
      <c r="G1405" s="420"/>
    </row>
    <row r="1406" spans="1:7" ht="12.75" hidden="1" customHeight="1">
      <c r="A1406" s="1"/>
      <c r="B1406" s="1"/>
      <c r="C1406" s="1"/>
      <c r="D1406" s="1"/>
      <c r="E1406" s="1"/>
      <c r="F1406" s="1"/>
      <c r="G1406" s="420"/>
    </row>
    <row r="1407" spans="1:7" ht="12.75" hidden="1" customHeight="1">
      <c r="A1407" s="1"/>
      <c r="B1407" s="1"/>
      <c r="C1407" s="1"/>
      <c r="D1407" s="1"/>
      <c r="E1407" s="1"/>
      <c r="F1407" s="1"/>
      <c r="G1407" s="420"/>
    </row>
    <row r="1408" spans="1:7" ht="12.75" hidden="1" customHeight="1">
      <c r="A1408" s="1"/>
      <c r="B1408" s="1"/>
      <c r="C1408" s="1"/>
      <c r="D1408" s="1"/>
      <c r="E1408" s="1"/>
      <c r="F1408" s="1"/>
      <c r="G1408" s="420"/>
    </row>
    <row r="1409" spans="1:7" ht="12.75" hidden="1" customHeight="1">
      <c r="A1409" s="1"/>
      <c r="B1409" s="1"/>
      <c r="C1409" s="1"/>
      <c r="D1409" s="1"/>
      <c r="E1409" s="1"/>
      <c r="F1409" s="1"/>
      <c r="G1409" s="420"/>
    </row>
    <row r="1410" spans="1:7" ht="12.75" hidden="1" customHeight="1">
      <c r="A1410" s="1"/>
      <c r="B1410" s="1"/>
      <c r="C1410" s="1"/>
      <c r="D1410" s="1"/>
      <c r="E1410" s="1"/>
      <c r="F1410" s="1"/>
      <c r="G1410" s="420"/>
    </row>
    <row r="1411" spans="1:7" ht="12.75" hidden="1" customHeight="1">
      <c r="A1411" s="1"/>
      <c r="B1411" s="1"/>
      <c r="C1411" s="1"/>
      <c r="D1411" s="1"/>
      <c r="E1411" s="1"/>
      <c r="F1411" s="1"/>
      <c r="G1411" s="420"/>
    </row>
    <row r="1412" spans="1:7" ht="12.75" hidden="1" customHeight="1">
      <c r="A1412" s="1"/>
      <c r="B1412" s="1"/>
      <c r="C1412" s="1"/>
      <c r="D1412" s="1"/>
      <c r="E1412" s="1"/>
      <c r="F1412" s="1"/>
      <c r="G1412" s="420"/>
    </row>
    <row r="1413" spans="1:7" ht="12.75" hidden="1" customHeight="1">
      <c r="A1413" s="1"/>
      <c r="B1413" s="1"/>
      <c r="C1413" s="1"/>
      <c r="D1413" s="1"/>
      <c r="E1413" s="1"/>
      <c r="F1413" s="1"/>
      <c r="G1413" s="420"/>
    </row>
    <row r="1414" spans="1:7" ht="12.75" hidden="1" customHeight="1">
      <c r="A1414" s="1"/>
      <c r="B1414" s="1"/>
      <c r="C1414" s="1"/>
      <c r="D1414" s="1"/>
      <c r="E1414" s="1"/>
      <c r="F1414" s="1"/>
      <c r="G1414" s="420"/>
    </row>
    <row r="1415" spans="1:7" ht="12.75" hidden="1" customHeight="1">
      <c r="A1415" s="1"/>
      <c r="B1415" s="1"/>
      <c r="C1415" s="1"/>
      <c r="D1415" s="1"/>
      <c r="E1415" s="1"/>
      <c r="F1415" s="1"/>
      <c r="G1415" s="420"/>
    </row>
    <row r="1416" spans="1:7" ht="12.75" hidden="1" customHeight="1">
      <c r="A1416" s="1"/>
      <c r="B1416" s="1"/>
      <c r="C1416" s="1"/>
      <c r="D1416" s="1"/>
      <c r="E1416" s="1"/>
      <c r="F1416" s="1"/>
      <c r="G1416" s="420"/>
    </row>
    <row r="1417" spans="1:7" ht="12.75" hidden="1" customHeight="1">
      <c r="A1417" s="1"/>
      <c r="B1417" s="1"/>
      <c r="C1417" s="1"/>
      <c r="D1417" s="1"/>
      <c r="E1417" s="1"/>
      <c r="F1417" s="1"/>
      <c r="G1417" s="420"/>
    </row>
    <row r="1418" spans="1:7" ht="12.75" hidden="1" customHeight="1">
      <c r="A1418" s="1"/>
      <c r="B1418" s="1"/>
      <c r="C1418" s="1"/>
      <c r="D1418" s="1"/>
      <c r="E1418" s="1"/>
      <c r="F1418" s="1"/>
      <c r="G1418" s="420"/>
    </row>
    <row r="1419" spans="1:7" ht="12.75" hidden="1" customHeight="1">
      <c r="A1419" s="1"/>
      <c r="B1419" s="1"/>
      <c r="C1419" s="1"/>
      <c r="D1419" s="1"/>
      <c r="E1419" s="1"/>
      <c r="F1419" s="1"/>
      <c r="G1419" s="420"/>
    </row>
    <row r="1420" spans="1:7" ht="12.75" hidden="1" customHeight="1">
      <c r="A1420" s="1"/>
      <c r="B1420" s="1"/>
      <c r="C1420" s="1"/>
      <c r="D1420" s="1"/>
      <c r="E1420" s="1"/>
      <c r="F1420" s="1"/>
      <c r="G1420" s="420"/>
    </row>
    <row r="1421" spans="1:7" ht="12.75" hidden="1" customHeight="1">
      <c r="A1421" s="1"/>
      <c r="B1421" s="1"/>
      <c r="C1421" s="1"/>
      <c r="D1421" s="1"/>
      <c r="E1421" s="1"/>
      <c r="F1421" s="1"/>
      <c r="G1421" s="420"/>
    </row>
    <row r="1422" spans="1:7" ht="12.75" hidden="1" customHeight="1">
      <c r="A1422" s="1"/>
      <c r="B1422" s="1"/>
      <c r="C1422" s="1"/>
      <c r="D1422" s="1"/>
      <c r="E1422" s="1"/>
      <c r="F1422" s="1"/>
      <c r="G1422" s="420"/>
    </row>
    <row r="1423" spans="1:7" ht="12.75" hidden="1" customHeight="1">
      <c r="A1423" s="1"/>
      <c r="B1423" s="1"/>
      <c r="C1423" s="1"/>
      <c r="D1423" s="1"/>
      <c r="E1423" s="1"/>
      <c r="F1423" s="1"/>
      <c r="G1423" s="420"/>
    </row>
    <row r="1424" spans="1:7" ht="12.75" hidden="1" customHeight="1">
      <c r="A1424" s="1"/>
      <c r="B1424" s="1"/>
      <c r="C1424" s="1"/>
      <c r="D1424" s="1"/>
      <c r="E1424" s="1"/>
      <c r="F1424" s="1"/>
      <c r="G1424" s="420"/>
    </row>
    <row r="1425" spans="1:7" ht="12.75" hidden="1" customHeight="1">
      <c r="A1425" s="1"/>
      <c r="B1425" s="1"/>
      <c r="C1425" s="1"/>
      <c r="D1425" s="1"/>
      <c r="E1425" s="1"/>
      <c r="F1425" s="1"/>
      <c r="G1425" s="420"/>
    </row>
    <row r="1426" spans="1:7" ht="12.75" hidden="1" customHeight="1">
      <c r="A1426" s="1"/>
      <c r="B1426" s="1"/>
      <c r="C1426" s="1"/>
      <c r="D1426" s="1"/>
      <c r="E1426" s="1"/>
      <c r="F1426" s="1"/>
      <c r="G1426" s="420"/>
    </row>
    <row r="1427" spans="1:7" ht="12.75" hidden="1" customHeight="1">
      <c r="A1427" s="1"/>
      <c r="B1427" s="1"/>
      <c r="C1427" s="1"/>
      <c r="D1427" s="1"/>
      <c r="E1427" s="1"/>
      <c r="F1427" s="1"/>
      <c r="G1427" s="420"/>
    </row>
    <row r="1428" spans="1:7" ht="12.75" hidden="1" customHeight="1">
      <c r="A1428" s="1"/>
      <c r="B1428" s="1"/>
      <c r="C1428" s="1"/>
      <c r="D1428" s="1"/>
      <c r="E1428" s="1"/>
      <c r="F1428" s="1"/>
      <c r="G1428" s="420"/>
    </row>
    <row r="1429" spans="1:7" ht="12.75" hidden="1" customHeight="1">
      <c r="A1429" s="1"/>
      <c r="B1429" s="1"/>
      <c r="C1429" s="1"/>
      <c r="D1429" s="1"/>
      <c r="E1429" s="1"/>
      <c r="F1429" s="1"/>
      <c r="G1429" s="420"/>
    </row>
    <row r="1430" spans="1:7" ht="12.75" hidden="1" customHeight="1">
      <c r="A1430" s="1"/>
      <c r="B1430" s="1"/>
      <c r="C1430" s="1"/>
      <c r="D1430" s="1"/>
      <c r="E1430" s="1"/>
      <c r="F1430" s="1"/>
      <c r="G1430" s="420"/>
    </row>
    <row r="1431" spans="1:7" ht="12.75" hidden="1" customHeight="1">
      <c r="A1431" s="1"/>
      <c r="B1431" s="1"/>
      <c r="C1431" s="1"/>
      <c r="D1431" s="1"/>
      <c r="E1431" s="1"/>
      <c r="F1431" s="1"/>
      <c r="G1431" s="420"/>
    </row>
    <row r="1432" spans="1:7" ht="12.75" hidden="1" customHeight="1">
      <c r="A1432" s="1"/>
      <c r="B1432" s="1"/>
      <c r="C1432" s="1"/>
      <c r="D1432" s="1"/>
      <c r="E1432" s="1"/>
      <c r="F1432" s="1"/>
      <c r="G1432" s="420"/>
    </row>
    <row r="1433" spans="1:7" ht="12.75" hidden="1" customHeight="1">
      <c r="A1433" s="1"/>
      <c r="B1433" s="1"/>
      <c r="C1433" s="1"/>
      <c r="D1433" s="1"/>
      <c r="E1433" s="1"/>
      <c r="F1433" s="1"/>
      <c r="G1433" s="420"/>
    </row>
    <row r="1434" spans="1:7" ht="12.75" hidden="1" customHeight="1">
      <c r="A1434" s="1"/>
      <c r="B1434" s="1"/>
      <c r="C1434" s="1"/>
      <c r="D1434" s="1"/>
      <c r="E1434" s="1"/>
      <c r="F1434" s="1"/>
      <c r="G1434" s="420"/>
    </row>
    <row r="1435" spans="1:7" ht="12.75" hidden="1" customHeight="1">
      <c r="A1435" s="1"/>
      <c r="B1435" s="1"/>
      <c r="C1435" s="1"/>
      <c r="D1435" s="1"/>
      <c r="E1435" s="1"/>
      <c r="F1435" s="1"/>
      <c r="G1435" s="420"/>
    </row>
    <row r="1436" spans="1:7" ht="12.75" hidden="1" customHeight="1">
      <c r="A1436" s="1"/>
      <c r="B1436" s="1"/>
      <c r="C1436" s="1"/>
      <c r="D1436" s="1"/>
      <c r="E1436" s="1"/>
      <c r="F1436" s="1"/>
      <c r="G1436" s="420"/>
    </row>
    <row r="1437" spans="1:7" ht="12.75" hidden="1" customHeight="1">
      <c r="A1437" s="1"/>
      <c r="B1437" s="1"/>
      <c r="C1437" s="1"/>
      <c r="D1437" s="1"/>
      <c r="E1437" s="1"/>
      <c r="F1437" s="1"/>
      <c r="G1437" s="420"/>
    </row>
    <row r="1438" spans="1:7" ht="12.75" hidden="1" customHeight="1">
      <c r="A1438" s="1"/>
      <c r="B1438" s="1"/>
      <c r="C1438" s="1"/>
      <c r="D1438" s="1"/>
      <c r="E1438" s="1"/>
      <c r="F1438" s="1"/>
      <c r="G1438" s="420"/>
    </row>
    <row r="1439" spans="1:7" ht="12.75" hidden="1" customHeight="1">
      <c r="A1439" s="1"/>
      <c r="B1439" s="1"/>
      <c r="C1439" s="1"/>
      <c r="D1439" s="1"/>
      <c r="E1439" s="1"/>
      <c r="F1439" s="1"/>
      <c r="G1439" s="420"/>
    </row>
    <row r="1440" spans="1:7" ht="12.75" hidden="1" customHeight="1">
      <c r="A1440" s="1"/>
      <c r="B1440" s="1"/>
      <c r="C1440" s="1"/>
      <c r="D1440" s="1"/>
      <c r="E1440" s="1"/>
      <c r="F1440" s="1"/>
      <c r="G1440" s="420"/>
    </row>
    <row r="1441" spans="1:7" ht="12.75" hidden="1" customHeight="1">
      <c r="A1441" s="1"/>
      <c r="B1441" s="1"/>
      <c r="C1441" s="1"/>
      <c r="D1441" s="1"/>
      <c r="E1441" s="1"/>
      <c r="F1441" s="1"/>
      <c r="G1441" s="420"/>
    </row>
    <row r="1442" spans="1:7" ht="12.75" hidden="1" customHeight="1">
      <c r="A1442" s="1"/>
      <c r="B1442" s="1"/>
      <c r="C1442" s="1"/>
      <c r="D1442" s="1"/>
      <c r="E1442" s="1"/>
      <c r="F1442" s="1"/>
      <c r="G1442" s="420"/>
    </row>
    <row r="1443" spans="1:7" ht="12.75" hidden="1" customHeight="1">
      <c r="A1443" s="1"/>
      <c r="B1443" s="1"/>
      <c r="C1443" s="1"/>
      <c r="D1443" s="1"/>
      <c r="E1443" s="1"/>
      <c r="F1443" s="1"/>
      <c r="G1443" s="420"/>
    </row>
    <row r="1444" spans="1:7" ht="12.75" hidden="1" customHeight="1">
      <c r="A1444" s="1"/>
      <c r="B1444" s="1"/>
      <c r="C1444" s="1"/>
      <c r="D1444" s="1"/>
      <c r="E1444" s="1"/>
      <c r="F1444" s="1"/>
      <c r="G1444" s="420"/>
    </row>
    <row r="1445" spans="1:7" ht="12.75" hidden="1" customHeight="1">
      <c r="A1445" s="1"/>
      <c r="B1445" s="1"/>
      <c r="C1445" s="1"/>
      <c r="D1445" s="1"/>
      <c r="E1445" s="1"/>
      <c r="F1445" s="1"/>
      <c r="G1445" s="420"/>
    </row>
    <row r="1446" spans="1:7" ht="12.75" hidden="1" customHeight="1">
      <c r="A1446" s="1"/>
      <c r="B1446" s="1"/>
      <c r="C1446" s="1"/>
      <c r="D1446" s="1"/>
      <c r="E1446" s="1"/>
      <c r="F1446" s="1"/>
      <c r="G1446" s="420"/>
    </row>
    <row r="1447" spans="1:7" ht="12.75" hidden="1" customHeight="1">
      <c r="A1447" s="1"/>
      <c r="B1447" s="1"/>
      <c r="C1447" s="1"/>
      <c r="D1447" s="1"/>
      <c r="E1447" s="1"/>
      <c r="F1447" s="1"/>
      <c r="G1447" s="420"/>
    </row>
    <row r="1448" spans="1:7" ht="12.75" hidden="1" customHeight="1">
      <c r="A1448" s="1"/>
      <c r="B1448" s="1"/>
      <c r="C1448" s="1"/>
      <c r="D1448" s="1"/>
      <c r="E1448" s="1"/>
      <c r="F1448" s="1"/>
      <c r="G1448" s="420"/>
    </row>
    <row r="1449" spans="1:7" ht="12.75" hidden="1" customHeight="1">
      <c r="A1449" s="1"/>
      <c r="B1449" s="1"/>
      <c r="C1449" s="1"/>
      <c r="D1449" s="1"/>
      <c r="E1449" s="1"/>
      <c r="F1449" s="1"/>
      <c r="G1449" s="420"/>
    </row>
    <row r="1450" spans="1:7" ht="12.75" hidden="1" customHeight="1">
      <c r="A1450" s="1"/>
      <c r="B1450" s="1"/>
      <c r="C1450" s="1"/>
      <c r="D1450" s="1"/>
      <c r="E1450" s="1"/>
      <c r="F1450" s="1"/>
      <c r="G1450" s="420"/>
    </row>
    <row r="1451" spans="1:7" ht="12.75" hidden="1" customHeight="1">
      <c r="A1451" s="1"/>
      <c r="B1451" s="1"/>
      <c r="C1451" s="1"/>
      <c r="D1451" s="1"/>
      <c r="E1451" s="1"/>
      <c r="F1451" s="1"/>
      <c r="G1451" s="420"/>
    </row>
    <row r="1452" spans="1:7" ht="12.75" hidden="1" customHeight="1">
      <c r="A1452" s="1"/>
      <c r="B1452" s="1"/>
      <c r="C1452" s="1"/>
      <c r="D1452" s="1"/>
      <c r="E1452" s="1"/>
      <c r="F1452" s="1"/>
      <c r="G1452" s="420"/>
    </row>
    <row r="1453" spans="1:7" ht="12.75" hidden="1" customHeight="1">
      <c r="A1453" s="1"/>
      <c r="B1453" s="1"/>
      <c r="C1453" s="1"/>
      <c r="D1453" s="1"/>
      <c r="E1453" s="1"/>
      <c r="F1453" s="1"/>
      <c r="G1453" s="420"/>
    </row>
    <row r="1454" spans="1:7" ht="12.75" hidden="1" customHeight="1">
      <c r="A1454" s="1"/>
      <c r="B1454" s="1"/>
      <c r="C1454" s="1"/>
      <c r="D1454" s="1"/>
      <c r="E1454" s="1"/>
      <c r="F1454" s="1"/>
      <c r="G1454" s="420"/>
    </row>
    <row r="1455" spans="1:7" ht="12.75" hidden="1" customHeight="1">
      <c r="A1455" s="1"/>
      <c r="B1455" s="1"/>
      <c r="C1455" s="1"/>
      <c r="D1455" s="1"/>
      <c r="E1455" s="1"/>
      <c r="F1455" s="1"/>
      <c r="G1455" s="420"/>
    </row>
    <row r="1456" spans="1:7" ht="12.75" hidden="1" customHeight="1">
      <c r="A1456" s="1"/>
      <c r="B1456" s="1"/>
      <c r="C1456" s="1"/>
      <c r="D1456" s="1"/>
      <c r="E1456" s="1"/>
      <c r="F1456" s="1"/>
      <c r="G1456" s="420"/>
    </row>
    <row r="1457" spans="1:7" ht="12.75" hidden="1" customHeight="1">
      <c r="A1457" s="1"/>
      <c r="B1457" s="1"/>
      <c r="C1457" s="1"/>
      <c r="D1457" s="1"/>
      <c r="E1457" s="1"/>
      <c r="F1457" s="1"/>
      <c r="G1457" s="420"/>
    </row>
    <row r="1458" spans="1:7" ht="12.75" hidden="1" customHeight="1">
      <c r="A1458" s="1"/>
      <c r="B1458" s="1"/>
      <c r="C1458" s="1"/>
      <c r="D1458" s="1"/>
      <c r="E1458" s="1"/>
      <c r="F1458" s="1"/>
      <c r="G1458" s="420"/>
    </row>
    <row r="1459" spans="1:7" ht="12.75" hidden="1" customHeight="1">
      <c r="A1459" s="1"/>
      <c r="B1459" s="1"/>
      <c r="C1459" s="1"/>
      <c r="D1459" s="1"/>
      <c r="E1459" s="1"/>
      <c r="F1459" s="1"/>
      <c r="G1459" s="420"/>
    </row>
    <row r="1460" spans="1:7" ht="12.75" hidden="1" customHeight="1">
      <c r="A1460" s="1"/>
      <c r="B1460" s="1"/>
      <c r="C1460" s="1"/>
      <c r="D1460" s="1"/>
      <c r="E1460" s="1"/>
      <c r="F1460" s="1"/>
      <c r="G1460" s="420"/>
    </row>
    <row r="1461" spans="1:7" ht="12.75" hidden="1" customHeight="1">
      <c r="A1461" s="1"/>
      <c r="B1461" s="1"/>
      <c r="C1461" s="1"/>
      <c r="D1461" s="1"/>
      <c r="E1461" s="1"/>
      <c r="F1461" s="1"/>
      <c r="G1461" s="420"/>
    </row>
    <row r="1462" spans="1:7" ht="12.75" hidden="1" customHeight="1">
      <c r="A1462" s="1"/>
      <c r="B1462" s="1"/>
      <c r="C1462" s="1"/>
      <c r="D1462" s="1"/>
      <c r="E1462" s="1"/>
      <c r="F1462" s="1"/>
      <c r="G1462" s="420"/>
    </row>
    <row r="1463" spans="1:7" ht="12.75" hidden="1" customHeight="1">
      <c r="A1463" s="1"/>
      <c r="B1463" s="1"/>
      <c r="C1463" s="1"/>
      <c r="D1463" s="1"/>
      <c r="E1463" s="1"/>
      <c r="F1463" s="1"/>
      <c r="G1463" s="420"/>
    </row>
    <row r="1464" spans="1:7" ht="12.75" hidden="1" customHeight="1">
      <c r="A1464" s="1"/>
      <c r="B1464" s="1"/>
      <c r="C1464" s="1"/>
      <c r="D1464" s="1"/>
      <c r="E1464" s="1"/>
      <c r="F1464" s="1"/>
      <c r="G1464" s="420"/>
    </row>
    <row r="1465" spans="1:7" ht="12.75" hidden="1" customHeight="1">
      <c r="A1465" s="1"/>
      <c r="B1465" s="1"/>
      <c r="C1465" s="1"/>
      <c r="D1465" s="1"/>
      <c r="E1465" s="1"/>
      <c r="F1465" s="1"/>
      <c r="G1465" s="420"/>
    </row>
    <row r="1466" spans="1:7" ht="12.75" hidden="1" customHeight="1">
      <c r="A1466" s="1"/>
      <c r="B1466" s="1"/>
      <c r="C1466" s="1"/>
      <c r="D1466" s="1"/>
      <c r="E1466" s="1"/>
      <c r="F1466" s="1"/>
      <c r="G1466" s="420"/>
    </row>
    <row r="1467" spans="1:7" ht="12.75" hidden="1" customHeight="1">
      <c r="A1467" s="1"/>
      <c r="B1467" s="1"/>
      <c r="C1467" s="1"/>
      <c r="D1467" s="1"/>
      <c r="E1467" s="1"/>
      <c r="F1467" s="1"/>
      <c r="G1467" s="420"/>
    </row>
    <row r="1468" spans="1:7" ht="12.75" hidden="1" customHeight="1">
      <c r="A1468" s="1"/>
      <c r="B1468" s="1"/>
      <c r="C1468" s="1"/>
      <c r="D1468" s="1"/>
      <c r="E1468" s="1"/>
      <c r="F1468" s="1"/>
      <c r="G1468" s="420"/>
    </row>
    <row r="1469" spans="1:7" ht="12.75" hidden="1" customHeight="1">
      <c r="A1469" s="1"/>
      <c r="B1469" s="1"/>
      <c r="C1469" s="1"/>
      <c r="D1469" s="1"/>
      <c r="E1469" s="1"/>
      <c r="F1469" s="1"/>
      <c r="G1469" s="420"/>
    </row>
    <row r="1470" spans="1:7" ht="12.75" hidden="1" customHeight="1">
      <c r="A1470" s="1"/>
      <c r="B1470" s="1"/>
      <c r="C1470" s="1"/>
      <c r="D1470" s="1"/>
      <c r="E1470" s="1"/>
      <c r="F1470" s="1"/>
      <c r="G1470" s="420"/>
    </row>
    <row r="1471" spans="1:7" ht="12.75" hidden="1" customHeight="1">
      <c r="A1471" s="1"/>
      <c r="B1471" s="1"/>
      <c r="C1471" s="1"/>
      <c r="D1471" s="1"/>
      <c r="E1471" s="1"/>
      <c r="F1471" s="1"/>
      <c r="G1471" s="420"/>
    </row>
    <row r="1472" spans="1:7" ht="12.75" hidden="1" customHeight="1">
      <c r="A1472" s="1"/>
      <c r="B1472" s="1"/>
      <c r="C1472" s="1"/>
      <c r="D1472" s="1"/>
      <c r="E1472" s="1"/>
      <c r="F1472" s="1"/>
      <c r="G1472" s="420"/>
    </row>
    <row r="1473" spans="1:7" ht="12.75" hidden="1" customHeight="1">
      <c r="A1473" s="1"/>
      <c r="B1473" s="1"/>
      <c r="C1473" s="1"/>
      <c r="D1473" s="1"/>
      <c r="E1473" s="1"/>
      <c r="F1473" s="1"/>
      <c r="G1473" s="420"/>
    </row>
    <row r="1474" spans="1:7" ht="12.75" hidden="1" customHeight="1">
      <c r="A1474" s="1"/>
      <c r="B1474" s="1"/>
      <c r="C1474" s="1"/>
      <c r="D1474" s="1"/>
      <c r="E1474" s="1"/>
      <c r="F1474" s="1"/>
      <c r="G1474" s="420"/>
    </row>
    <row r="1475" spans="1:7" ht="12.75" hidden="1" customHeight="1">
      <c r="A1475" s="1"/>
      <c r="B1475" s="1"/>
      <c r="C1475" s="1"/>
      <c r="D1475" s="1"/>
      <c r="E1475" s="1"/>
      <c r="F1475" s="1"/>
      <c r="G1475" s="420"/>
    </row>
    <row r="1476" spans="1:7" ht="12.75" hidden="1" customHeight="1">
      <c r="A1476" s="1"/>
      <c r="B1476" s="1"/>
      <c r="C1476" s="1"/>
      <c r="D1476" s="1"/>
      <c r="E1476" s="1"/>
      <c r="F1476" s="1"/>
      <c r="G1476" s="420"/>
    </row>
    <row r="1477" spans="1:7" ht="12.75" hidden="1" customHeight="1">
      <c r="A1477" s="1"/>
      <c r="B1477" s="1"/>
      <c r="C1477" s="1"/>
      <c r="D1477" s="1"/>
      <c r="E1477" s="1"/>
      <c r="F1477" s="1"/>
      <c r="G1477" s="420"/>
    </row>
    <row r="1478" spans="1:7" ht="12.75" hidden="1" customHeight="1">
      <c r="A1478" s="1"/>
      <c r="B1478" s="1"/>
      <c r="C1478" s="1"/>
      <c r="D1478" s="1"/>
      <c r="E1478" s="1"/>
      <c r="F1478" s="1"/>
      <c r="G1478" s="420"/>
    </row>
    <row r="1479" spans="1:7" ht="12.75" hidden="1" customHeight="1">
      <c r="A1479" s="1"/>
      <c r="B1479" s="1"/>
      <c r="C1479" s="1"/>
      <c r="D1479" s="1"/>
      <c r="E1479" s="1"/>
      <c r="F1479" s="1"/>
      <c r="G1479" s="420"/>
    </row>
    <row r="1480" spans="1:7" ht="12.75" hidden="1" customHeight="1">
      <c r="A1480" s="1"/>
      <c r="B1480" s="1"/>
      <c r="C1480" s="1"/>
      <c r="D1480" s="1"/>
      <c r="E1480" s="1"/>
      <c r="F1480" s="1"/>
      <c r="G1480" s="420"/>
    </row>
    <row r="1481" spans="1:7" ht="12.75" hidden="1" customHeight="1">
      <c r="A1481" s="1"/>
      <c r="B1481" s="1"/>
      <c r="C1481" s="1"/>
      <c r="D1481" s="1"/>
      <c r="E1481" s="1"/>
      <c r="F1481" s="1"/>
      <c r="G1481" s="420"/>
    </row>
    <row r="1482" spans="1:7" ht="12.75" hidden="1" customHeight="1">
      <c r="A1482" s="1"/>
      <c r="B1482" s="1"/>
      <c r="C1482" s="1"/>
      <c r="D1482" s="1"/>
      <c r="E1482" s="1"/>
      <c r="F1482" s="1"/>
      <c r="G1482" s="420"/>
    </row>
    <row r="1483" spans="1:7" ht="12.75" hidden="1" customHeight="1">
      <c r="A1483" s="1"/>
      <c r="B1483" s="1"/>
      <c r="C1483" s="1"/>
      <c r="D1483" s="1"/>
      <c r="E1483" s="1"/>
      <c r="F1483" s="1"/>
      <c r="G1483" s="420"/>
    </row>
    <row r="1484" spans="1:7" ht="12.75" hidden="1" customHeight="1">
      <c r="A1484" s="1"/>
      <c r="B1484" s="1"/>
      <c r="C1484" s="1"/>
      <c r="D1484" s="1"/>
      <c r="E1484" s="1"/>
      <c r="F1484" s="1"/>
      <c r="G1484" s="420"/>
    </row>
    <row r="1485" spans="1:7" ht="12.75" hidden="1" customHeight="1">
      <c r="A1485" s="1"/>
      <c r="B1485" s="1"/>
      <c r="C1485" s="1"/>
      <c r="D1485" s="1"/>
      <c r="E1485" s="1"/>
      <c r="F1485" s="1"/>
      <c r="G1485" s="420"/>
    </row>
    <row r="1486" spans="1:7" ht="12.75" hidden="1" customHeight="1">
      <c r="A1486" s="1"/>
      <c r="B1486" s="1"/>
      <c r="C1486" s="1"/>
      <c r="D1486" s="1"/>
      <c r="E1486" s="1"/>
      <c r="F1486" s="1"/>
      <c r="G1486" s="420"/>
    </row>
    <row r="1487" spans="1:7" ht="12.75" hidden="1" customHeight="1">
      <c r="A1487" s="1"/>
      <c r="B1487" s="1"/>
      <c r="C1487" s="1"/>
      <c r="D1487" s="1"/>
      <c r="E1487" s="1"/>
      <c r="F1487" s="1"/>
      <c r="G1487" s="420"/>
    </row>
    <row r="1488" spans="1:7" ht="12.75" hidden="1" customHeight="1">
      <c r="A1488" s="1"/>
      <c r="B1488" s="1"/>
      <c r="C1488" s="1"/>
      <c r="D1488" s="1"/>
      <c r="E1488" s="1"/>
      <c r="F1488" s="1"/>
      <c r="G1488" s="420"/>
    </row>
    <row r="1489" spans="1:7" ht="12.75" hidden="1" customHeight="1">
      <c r="A1489" s="1"/>
      <c r="B1489" s="1"/>
      <c r="C1489" s="1"/>
      <c r="D1489" s="1"/>
      <c r="E1489" s="1"/>
      <c r="F1489" s="1"/>
      <c r="G1489" s="420"/>
    </row>
    <row r="1490" spans="1:7" ht="12.75" hidden="1" customHeight="1">
      <c r="A1490" s="1"/>
      <c r="B1490" s="1"/>
      <c r="C1490" s="1"/>
      <c r="D1490" s="1"/>
      <c r="E1490" s="1"/>
      <c r="F1490" s="1"/>
      <c r="G1490" s="420"/>
    </row>
    <row r="1491" spans="1:7" ht="12.75" hidden="1" customHeight="1">
      <c r="A1491" s="1"/>
      <c r="B1491" s="1"/>
      <c r="C1491" s="1"/>
      <c r="D1491" s="1"/>
      <c r="E1491" s="1"/>
      <c r="F1491" s="1"/>
      <c r="G1491" s="420"/>
    </row>
    <row r="1492" spans="1:7" ht="12.75" hidden="1" customHeight="1">
      <c r="A1492" s="1"/>
      <c r="B1492" s="1"/>
      <c r="C1492" s="1"/>
      <c r="D1492" s="1"/>
      <c r="E1492" s="1"/>
      <c r="F1492" s="1"/>
      <c r="G1492" s="420"/>
    </row>
    <row r="1493" spans="1:7" ht="12.75" hidden="1" customHeight="1">
      <c r="A1493" s="1"/>
      <c r="B1493" s="1"/>
      <c r="C1493" s="1"/>
      <c r="D1493" s="1"/>
      <c r="E1493" s="1"/>
      <c r="F1493" s="1"/>
      <c r="G1493" s="420"/>
    </row>
    <row r="1494" spans="1:7" ht="12.75" hidden="1" customHeight="1">
      <c r="A1494" s="1"/>
      <c r="B1494" s="1"/>
      <c r="C1494" s="1"/>
      <c r="D1494" s="1"/>
      <c r="E1494" s="1"/>
      <c r="F1494" s="1"/>
      <c r="G1494" s="420"/>
    </row>
    <row r="1495" spans="1:7" ht="12.75" hidden="1" customHeight="1">
      <c r="A1495" s="1"/>
      <c r="B1495" s="1"/>
      <c r="C1495" s="1"/>
      <c r="D1495" s="1"/>
      <c r="E1495" s="1"/>
      <c r="F1495" s="1"/>
      <c r="G1495" s="420"/>
    </row>
    <row r="1496" spans="1:7" ht="12.75" hidden="1" customHeight="1">
      <c r="A1496" s="1"/>
      <c r="B1496" s="1"/>
      <c r="C1496" s="1"/>
      <c r="D1496" s="1"/>
      <c r="E1496" s="1"/>
      <c r="F1496" s="1"/>
      <c r="G1496" s="420"/>
    </row>
    <row r="1497" spans="1:7" ht="12.75" hidden="1" customHeight="1">
      <c r="A1497" s="1"/>
      <c r="B1497" s="1"/>
      <c r="C1497" s="1"/>
      <c r="D1497" s="1"/>
      <c r="E1497" s="1"/>
      <c r="F1497" s="1"/>
      <c r="G1497" s="420"/>
    </row>
    <row r="1498" spans="1:7" ht="12.75" hidden="1" customHeight="1">
      <c r="A1498" s="1"/>
      <c r="B1498" s="1"/>
      <c r="C1498" s="1"/>
      <c r="D1498" s="1"/>
      <c r="E1498" s="1"/>
      <c r="F1498" s="1"/>
      <c r="G1498" s="420"/>
    </row>
    <row r="1499" spans="1:7" ht="12.75" hidden="1" customHeight="1">
      <c r="A1499" s="1"/>
      <c r="B1499" s="1"/>
      <c r="C1499" s="1"/>
      <c r="D1499" s="1"/>
      <c r="E1499" s="1"/>
      <c r="F1499" s="1"/>
      <c r="G1499" s="420"/>
    </row>
    <row r="1500" spans="1:7" ht="12.75" hidden="1" customHeight="1">
      <c r="A1500" s="1"/>
      <c r="B1500" s="1"/>
      <c r="C1500" s="1"/>
      <c r="D1500" s="1"/>
      <c r="E1500" s="1"/>
      <c r="F1500" s="1"/>
      <c r="G1500" s="420"/>
    </row>
    <row r="1501" spans="1:7" ht="12.75" hidden="1" customHeight="1">
      <c r="A1501" s="1"/>
      <c r="B1501" s="1"/>
      <c r="C1501" s="1"/>
      <c r="D1501" s="1"/>
      <c r="E1501" s="1"/>
      <c r="F1501" s="1"/>
      <c r="G1501" s="420"/>
    </row>
    <row r="1502" spans="1:7" ht="12.75" hidden="1" customHeight="1">
      <c r="A1502" s="1"/>
      <c r="B1502" s="1"/>
      <c r="C1502" s="1"/>
      <c r="D1502" s="1"/>
      <c r="E1502" s="1"/>
      <c r="F1502" s="1"/>
      <c r="G1502" s="420"/>
    </row>
    <row r="1503" spans="1:7" ht="12.75" hidden="1" customHeight="1">
      <c r="A1503" s="1"/>
      <c r="B1503" s="1"/>
      <c r="C1503" s="1"/>
      <c r="D1503" s="1"/>
      <c r="E1503" s="1"/>
      <c r="F1503" s="1"/>
      <c r="G1503" s="420"/>
    </row>
    <row r="1504" spans="1:7" ht="12.75" hidden="1" customHeight="1">
      <c r="A1504" s="1"/>
      <c r="B1504" s="1"/>
      <c r="C1504" s="1"/>
      <c r="D1504" s="1"/>
      <c r="E1504" s="1"/>
      <c r="F1504" s="1"/>
      <c r="G1504" s="420"/>
    </row>
    <row r="1505" spans="1:7" ht="12.75" hidden="1" customHeight="1">
      <c r="A1505" s="1"/>
      <c r="B1505" s="1"/>
      <c r="C1505" s="1"/>
      <c r="D1505" s="1"/>
      <c r="E1505" s="1"/>
      <c r="F1505" s="1"/>
      <c r="G1505" s="420"/>
    </row>
    <row r="1506" spans="1:7" ht="12.75" hidden="1" customHeight="1">
      <c r="A1506" s="1"/>
      <c r="B1506" s="1"/>
      <c r="C1506" s="1"/>
      <c r="D1506" s="1"/>
      <c r="E1506" s="1"/>
      <c r="F1506" s="1"/>
      <c r="G1506" s="420"/>
    </row>
    <row r="1507" spans="1:7" ht="12.75" hidden="1" customHeight="1">
      <c r="A1507" s="1"/>
      <c r="B1507" s="1"/>
      <c r="C1507" s="1"/>
      <c r="D1507" s="1"/>
      <c r="E1507" s="1"/>
      <c r="F1507" s="1"/>
      <c r="G1507" s="420"/>
    </row>
    <row r="1508" spans="1:7" ht="12.75" hidden="1" customHeight="1">
      <c r="A1508" s="1"/>
      <c r="B1508" s="1"/>
      <c r="C1508" s="1"/>
      <c r="D1508" s="1"/>
      <c r="E1508" s="1"/>
      <c r="F1508" s="1"/>
      <c r="G1508" s="420"/>
    </row>
    <row r="1509" spans="1:7" ht="12.75" hidden="1" customHeight="1">
      <c r="A1509" s="1"/>
      <c r="B1509" s="1"/>
      <c r="C1509" s="1"/>
      <c r="D1509" s="1"/>
      <c r="E1509" s="1"/>
      <c r="F1509" s="1"/>
      <c r="G1509" s="420"/>
    </row>
    <row r="1510" spans="1:7" ht="12.75" hidden="1" customHeight="1">
      <c r="A1510" s="1"/>
      <c r="B1510" s="1"/>
      <c r="C1510" s="1"/>
      <c r="D1510" s="1"/>
      <c r="E1510" s="1"/>
      <c r="F1510" s="1"/>
      <c r="G1510" s="420"/>
    </row>
    <row r="1511" spans="1:7" ht="12.75" hidden="1" customHeight="1">
      <c r="A1511" s="1"/>
      <c r="B1511" s="1"/>
      <c r="C1511" s="1"/>
      <c r="D1511" s="1"/>
      <c r="E1511" s="1"/>
      <c r="F1511" s="1"/>
      <c r="G1511" s="420"/>
    </row>
    <row r="1512" spans="1:7" ht="12.75" hidden="1" customHeight="1">
      <c r="A1512" s="1"/>
      <c r="B1512" s="1"/>
      <c r="C1512" s="1"/>
      <c r="D1512" s="1"/>
      <c r="E1512" s="1"/>
      <c r="F1512" s="1"/>
      <c r="G1512" s="420"/>
    </row>
    <row r="1513" spans="1:7" ht="12.75" hidden="1" customHeight="1">
      <c r="A1513" s="1"/>
      <c r="B1513" s="1"/>
      <c r="C1513" s="1"/>
      <c r="D1513" s="1"/>
      <c r="E1513" s="1"/>
      <c r="F1513" s="1"/>
      <c r="G1513" s="420"/>
    </row>
    <row r="1514" spans="1:7" ht="12.75" hidden="1" customHeight="1">
      <c r="A1514" s="1"/>
      <c r="B1514" s="1"/>
      <c r="C1514" s="1"/>
      <c r="D1514" s="1"/>
      <c r="E1514" s="1"/>
      <c r="F1514" s="1"/>
      <c r="G1514" s="420"/>
    </row>
    <row r="1515" spans="1:7" ht="12.75" hidden="1" customHeight="1">
      <c r="A1515" s="1"/>
      <c r="B1515" s="1"/>
      <c r="C1515" s="1"/>
      <c r="D1515" s="1"/>
      <c r="E1515" s="1"/>
      <c r="F1515" s="1"/>
      <c r="G1515" s="420"/>
    </row>
    <row r="1516" spans="1:7" ht="12.75" hidden="1" customHeight="1">
      <c r="A1516" s="1"/>
      <c r="B1516" s="1"/>
      <c r="C1516" s="1"/>
      <c r="D1516" s="1"/>
      <c r="E1516" s="1"/>
      <c r="F1516" s="1"/>
      <c r="G1516" s="420"/>
    </row>
    <row r="1517" spans="1:7" ht="12.75" hidden="1" customHeight="1">
      <c r="A1517" s="1"/>
      <c r="B1517" s="1"/>
      <c r="C1517" s="1"/>
      <c r="D1517" s="1"/>
      <c r="E1517" s="1"/>
      <c r="F1517" s="1"/>
      <c r="G1517" s="420"/>
    </row>
    <row r="1518" spans="1:7" ht="12.75" hidden="1" customHeight="1">
      <c r="A1518" s="1"/>
      <c r="B1518" s="1"/>
      <c r="C1518" s="1"/>
      <c r="D1518" s="1"/>
      <c r="E1518" s="1"/>
      <c r="F1518" s="1"/>
      <c r="G1518" s="420"/>
    </row>
    <row r="1519" spans="1:7" ht="12.75" hidden="1" customHeight="1">
      <c r="A1519" s="1"/>
      <c r="B1519" s="1"/>
      <c r="C1519" s="1"/>
      <c r="D1519" s="1"/>
      <c r="E1519" s="1"/>
      <c r="F1519" s="1"/>
      <c r="G1519" s="420"/>
    </row>
    <row r="1520" spans="1:7" ht="12.75" hidden="1" customHeight="1">
      <c r="A1520" s="1"/>
      <c r="B1520" s="1"/>
      <c r="C1520" s="1"/>
      <c r="D1520" s="1"/>
      <c r="E1520" s="1"/>
      <c r="F1520" s="1"/>
      <c r="G1520" s="420"/>
    </row>
    <row r="1521" spans="1:7" ht="12.75" hidden="1" customHeight="1">
      <c r="A1521" s="1"/>
      <c r="B1521" s="1"/>
      <c r="C1521" s="1"/>
      <c r="D1521" s="1"/>
      <c r="E1521" s="1"/>
      <c r="F1521" s="1"/>
      <c r="G1521" s="420"/>
    </row>
    <row r="1522" spans="1:7" ht="12.75" hidden="1" customHeight="1">
      <c r="A1522" s="1"/>
      <c r="B1522" s="1"/>
      <c r="C1522" s="1"/>
      <c r="D1522" s="1"/>
      <c r="E1522" s="1"/>
      <c r="F1522" s="1"/>
      <c r="G1522" s="420"/>
    </row>
    <row r="1523" spans="1:7" ht="12.75" hidden="1" customHeight="1">
      <c r="A1523" s="1"/>
      <c r="B1523" s="1"/>
      <c r="C1523" s="1"/>
      <c r="D1523" s="1"/>
      <c r="E1523" s="1"/>
      <c r="F1523" s="1"/>
      <c r="G1523" s="420"/>
    </row>
    <row r="1524" spans="1:7" ht="12.75" hidden="1" customHeight="1">
      <c r="A1524" s="1"/>
      <c r="B1524" s="1"/>
      <c r="C1524" s="1"/>
      <c r="D1524" s="1"/>
      <c r="E1524" s="1"/>
      <c r="F1524" s="1"/>
      <c r="G1524" s="420"/>
    </row>
    <row r="1525" spans="1:7" ht="12.75" hidden="1" customHeight="1">
      <c r="A1525" s="1"/>
      <c r="B1525" s="1"/>
      <c r="C1525" s="1"/>
      <c r="D1525" s="1"/>
      <c r="E1525" s="1"/>
      <c r="F1525" s="1"/>
      <c r="G1525" s="420"/>
    </row>
    <row r="1526" spans="1:7" ht="12.75" hidden="1" customHeight="1">
      <c r="A1526" s="1"/>
      <c r="B1526" s="1"/>
      <c r="C1526" s="1"/>
      <c r="D1526" s="1"/>
      <c r="E1526" s="1"/>
      <c r="F1526" s="1"/>
      <c r="G1526" s="420"/>
    </row>
    <row r="1527" spans="1:7" ht="12.75" hidden="1" customHeight="1">
      <c r="A1527" s="1"/>
      <c r="B1527" s="1"/>
      <c r="C1527" s="1"/>
      <c r="D1527" s="1"/>
      <c r="E1527" s="1"/>
      <c r="F1527" s="1"/>
      <c r="G1527" s="420"/>
    </row>
    <row r="1528" spans="1:7" ht="12.75" hidden="1" customHeight="1">
      <c r="A1528" s="1"/>
      <c r="B1528" s="1"/>
      <c r="C1528" s="1"/>
      <c r="D1528" s="1"/>
      <c r="E1528" s="1"/>
      <c r="F1528" s="1"/>
      <c r="G1528" s="420"/>
    </row>
    <row r="1529" spans="1:7" ht="12.75" hidden="1" customHeight="1">
      <c r="A1529" s="1"/>
      <c r="B1529" s="1"/>
      <c r="C1529" s="1"/>
      <c r="D1529" s="1"/>
      <c r="E1529" s="1"/>
      <c r="F1529" s="1"/>
      <c r="G1529" s="420"/>
    </row>
    <row r="1530" spans="1:7" ht="12.75" hidden="1" customHeight="1">
      <c r="A1530" s="1"/>
      <c r="B1530" s="1"/>
      <c r="C1530" s="1"/>
      <c r="D1530" s="1"/>
      <c r="E1530" s="1"/>
      <c r="F1530" s="1"/>
      <c r="G1530" s="420"/>
    </row>
    <row r="1531" spans="1:7" ht="12.75" hidden="1" customHeight="1">
      <c r="A1531" s="1"/>
      <c r="B1531" s="1"/>
      <c r="C1531" s="1"/>
      <c r="D1531" s="1"/>
      <c r="E1531" s="1"/>
      <c r="F1531" s="1"/>
      <c r="G1531" s="420"/>
    </row>
    <row r="1532" spans="1:7" ht="12.75" hidden="1" customHeight="1">
      <c r="A1532" s="1"/>
      <c r="B1532" s="1"/>
      <c r="C1532" s="1"/>
      <c r="D1532" s="1"/>
      <c r="E1532" s="1"/>
      <c r="F1532" s="1"/>
      <c r="G1532" s="420"/>
    </row>
    <row r="1533" spans="1:7" ht="12.75" hidden="1" customHeight="1">
      <c r="A1533" s="1"/>
      <c r="B1533" s="1"/>
      <c r="C1533" s="1"/>
      <c r="D1533" s="1"/>
      <c r="E1533" s="1"/>
      <c r="F1533" s="1"/>
      <c r="G1533" s="420"/>
    </row>
    <row r="1534" spans="1:7" ht="12.75" hidden="1" customHeight="1">
      <c r="A1534" s="1"/>
      <c r="B1534" s="1"/>
      <c r="C1534" s="1"/>
      <c r="D1534" s="1"/>
      <c r="E1534" s="1"/>
      <c r="F1534" s="1"/>
      <c r="G1534" s="420"/>
    </row>
    <row r="1535" spans="1:7" ht="12.75" hidden="1" customHeight="1">
      <c r="A1535" s="1"/>
      <c r="B1535" s="1"/>
      <c r="C1535" s="1"/>
      <c r="D1535" s="1"/>
      <c r="E1535" s="1"/>
      <c r="F1535" s="1"/>
      <c r="G1535" s="420"/>
    </row>
    <row r="1536" spans="1:7" ht="12.75" hidden="1" customHeight="1">
      <c r="A1536" s="1"/>
      <c r="B1536" s="1"/>
      <c r="C1536" s="1"/>
      <c r="D1536" s="77"/>
      <c r="G1536" s="420"/>
    </row>
    <row r="1537" spans="1:7" ht="12.75" hidden="1" customHeight="1">
      <c r="A1537" s="1"/>
      <c r="B1537" s="1"/>
      <c r="C1537" s="1"/>
      <c r="D1537" s="77"/>
      <c r="G1537" s="420"/>
    </row>
    <row r="1538" spans="1:7" ht="12.75" hidden="1" customHeight="1">
      <c r="A1538" s="1"/>
      <c r="B1538" s="1"/>
      <c r="C1538" s="1"/>
      <c r="D1538" s="1"/>
      <c r="E1538" s="1"/>
      <c r="F1538" s="1"/>
      <c r="G1538" s="420"/>
    </row>
    <row r="1539" spans="1:7" ht="15" hidden="1" customHeight="1">
      <c r="A1539" s="468" t="s">
        <v>174</v>
      </c>
      <c r="B1539" s="457"/>
      <c r="C1539" s="457"/>
      <c r="D1539" s="457"/>
      <c r="E1539" s="457"/>
      <c r="F1539" s="457"/>
      <c r="G1539" s="457"/>
    </row>
    <row r="1540" spans="1:7" ht="12.75" hidden="1" customHeight="1"/>
    <row r="1541" spans="1:7" ht="12.75" hidden="1" customHeight="1">
      <c r="A1541" s="1" t="s">
        <v>175</v>
      </c>
      <c r="B1541" s="1"/>
      <c r="C1541" s="1"/>
      <c r="D1541" s="94"/>
      <c r="E1541" s="94"/>
      <c r="F1541" s="94"/>
      <c r="G1541" s="414"/>
    </row>
    <row r="1542" spans="1:7" ht="12.75" hidden="1" customHeight="1">
      <c r="A1542" s="1" t="s">
        <v>368</v>
      </c>
      <c r="B1542" s="1"/>
      <c r="C1542" s="1"/>
      <c r="D1542" s="1"/>
      <c r="F1542" s="95" t="s">
        <v>177</v>
      </c>
      <c r="G1542" s="415">
        <f t="shared" ca="1" si="0"/>
        <v>46289</v>
      </c>
    </row>
    <row r="1543" spans="1:7" ht="12.75" hidden="1" customHeight="1">
      <c r="A1543" s="1"/>
      <c r="B1543" s="1"/>
      <c r="C1543" s="1"/>
      <c r="D1543" s="1"/>
      <c r="E1543" s="1"/>
      <c r="F1543" s="1"/>
      <c r="G1543" s="420"/>
    </row>
    <row r="1544" spans="1:7" ht="12.75" hidden="1" customHeight="1">
      <c r="A1544" s="99" t="s">
        <v>418</v>
      </c>
      <c r="B1544" s="100" t="s">
        <v>419</v>
      </c>
      <c r="C1544" s="100"/>
      <c r="D1544" s="100"/>
      <c r="E1544" s="100"/>
      <c r="F1544" s="100"/>
      <c r="G1544" s="138"/>
    </row>
    <row r="1545" spans="1:7" ht="12.75" hidden="1" customHeight="1">
      <c r="A1545" s="102" t="s">
        <v>420</v>
      </c>
      <c r="B1545" s="103"/>
      <c r="C1545" s="103"/>
      <c r="D1545" s="103"/>
      <c r="E1545" s="103"/>
      <c r="F1545" s="103"/>
      <c r="G1545" s="419"/>
    </row>
    <row r="1546" spans="1:7" ht="12.75" hidden="1" customHeight="1">
      <c r="A1546" s="102"/>
      <c r="B1546" s="103"/>
      <c r="C1546" s="103" t="s">
        <v>179</v>
      </c>
      <c r="D1546" s="126">
        <v>1</v>
      </c>
      <c r="E1546" s="103" t="s">
        <v>180</v>
      </c>
      <c r="F1546" s="103" t="s">
        <v>262</v>
      </c>
      <c r="G1546" s="419"/>
    </row>
    <row r="1547" spans="1:7" ht="12.75" hidden="1" customHeight="1">
      <c r="A1547" s="1" t="s">
        <v>182</v>
      </c>
      <c r="B1547" s="1"/>
      <c r="C1547" s="1"/>
      <c r="D1547" s="1"/>
      <c r="E1547" s="1"/>
      <c r="F1547" s="1"/>
      <c r="G1547" s="420"/>
    </row>
    <row r="1548" spans="1:7" ht="12.75" hidden="1" customHeight="1">
      <c r="A1548" s="106" t="s">
        <v>111</v>
      </c>
      <c r="B1548" s="107" t="s">
        <v>183</v>
      </c>
      <c r="C1548" s="106" t="s">
        <v>184</v>
      </c>
      <c r="D1548" s="107" t="s">
        <v>185</v>
      </c>
      <c r="E1548" s="106" t="s">
        <v>186</v>
      </c>
      <c r="F1548" s="108"/>
      <c r="G1548" s="421"/>
    </row>
    <row r="1549" spans="1:7" ht="12.75" hidden="1" customHeight="1">
      <c r="A1549" s="110" t="s">
        <v>187</v>
      </c>
      <c r="B1549" s="100"/>
      <c r="C1549" s="110"/>
      <c r="D1549" s="100"/>
      <c r="E1549" s="111">
        <f t="shared" si="16"/>
        <v>20212.5</v>
      </c>
      <c r="F1549" s="112"/>
      <c r="G1549" s="422"/>
    </row>
    <row r="1550" spans="1:7" ht="12.75" hidden="1" customHeight="1">
      <c r="A1550" s="110"/>
      <c r="B1550" s="110"/>
      <c r="C1550" s="110"/>
      <c r="D1550" s="110"/>
      <c r="E1550" s="101"/>
      <c r="F1550" s="112"/>
      <c r="G1550" s="422"/>
    </row>
    <row r="1551" spans="1:7" ht="12.75" hidden="1" customHeight="1">
      <c r="A1551" s="110"/>
      <c r="B1551" s="110"/>
      <c r="C1551" s="110"/>
      <c r="D1551" s="110"/>
      <c r="E1551" s="101"/>
      <c r="F1551" s="112"/>
      <c r="G1551" s="422"/>
    </row>
    <row r="1552" spans="1:7" ht="12.75" hidden="1" customHeight="1">
      <c r="A1552" s="110"/>
      <c r="B1552" s="110"/>
      <c r="C1552" s="110"/>
      <c r="D1552" s="110"/>
      <c r="E1552" s="101"/>
      <c r="F1552" s="102" t="s">
        <v>189</v>
      </c>
      <c r="G1552" s="419">
        <f t="shared" si="2"/>
        <v>20212.5</v>
      </c>
    </row>
    <row r="1553" spans="1:7" ht="12.75" hidden="1" customHeight="1">
      <c r="A1553" s="1" t="s">
        <v>191</v>
      </c>
      <c r="B1553" s="1"/>
      <c r="C1553" s="1"/>
      <c r="D1553" s="1"/>
      <c r="E1553" s="1"/>
      <c r="F1553" s="1"/>
      <c r="G1553" s="420"/>
    </row>
    <row r="1554" spans="1:7" ht="12.75" hidden="1" customHeight="1">
      <c r="A1554" s="115" t="s">
        <v>111</v>
      </c>
      <c r="B1554" s="106" t="s">
        <v>193</v>
      </c>
      <c r="C1554" s="80" t="s">
        <v>194</v>
      </c>
      <c r="D1554" s="106" t="s">
        <v>195</v>
      </c>
      <c r="E1554" s="81" t="s">
        <v>186</v>
      </c>
      <c r="F1554" s="108"/>
      <c r="G1554" s="421"/>
    </row>
    <row r="1555" spans="1:7" ht="12.75" hidden="1" customHeight="1">
      <c r="A1555" s="110" t="s">
        <v>421</v>
      </c>
      <c r="B1555" s="106" t="s">
        <v>193</v>
      </c>
      <c r="C1555" s="111">
        <f t="shared" ref="C1555:C1774" si="150">1.19*650000</f>
        <v>773500</v>
      </c>
      <c r="D1555" s="110">
        <v>1</v>
      </c>
      <c r="E1555" s="119">
        <f t="shared" si="14"/>
        <v>773500</v>
      </c>
      <c r="F1555" s="112"/>
      <c r="G1555" s="422"/>
    </row>
    <row r="1556" spans="1:7" ht="12.75" hidden="1" customHeight="1">
      <c r="A1556" s="63"/>
      <c r="B1556" s="123"/>
      <c r="C1556" s="63"/>
      <c r="D1556" s="63"/>
      <c r="E1556" s="101"/>
      <c r="F1556" s="112"/>
      <c r="G1556" s="422"/>
    </row>
    <row r="1557" spans="1:7" ht="12.75" hidden="1" customHeight="1">
      <c r="A1557" s="63"/>
      <c r="B1557" s="63"/>
      <c r="C1557" s="63"/>
      <c r="D1557" s="63"/>
      <c r="E1557" s="101"/>
      <c r="F1557" s="112"/>
      <c r="G1557" s="422"/>
    </row>
    <row r="1558" spans="1:7" ht="12.75" hidden="1" customHeight="1">
      <c r="A1558" s="110"/>
      <c r="B1558" s="110"/>
      <c r="C1558" s="110"/>
      <c r="D1558" s="110"/>
      <c r="E1558" s="101"/>
      <c r="F1558" s="112"/>
      <c r="G1558" s="422"/>
    </row>
    <row r="1559" spans="1:7" ht="12.75" hidden="1" customHeight="1">
      <c r="A1559" s="110"/>
      <c r="B1559" s="110"/>
      <c r="C1559" s="110"/>
      <c r="D1559" s="110"/>
      <c r="E1559" s="101"/>
      <c r="F1559" s="112"/>
      <c r="G1559" s="422"/>
    </row>
    <row r="1560" spans="1:7" ht="12.75" hidden="1" customHeight="1">
      <c r="A1560" s="116"/>
      <c r="B1560" s="116"/>
      <c r="C1560" s="116"/>
      <c r="D1560" s="116"/>
      <c r="E1560" s="101"/>
      <c r="F1560" s="102" t="s">
        <v>189</v>
      </c>
      <c r="G1560" s="419">
        <f t="shared" ref="G1560:G1648" si="151">+E1555</f>
        <v>773500</v>
      </c>
    </row>
    <row r="1561" spans="1:7" ht="12.75" hidden="1" customHeight="1">
      <c r="A1561" s="1" t="s">
        <v>197</v>
      </c>
      <c r="B1561" s="1"/>
      <c r="C1561" s="1"/>
      <c r="D1561" s="1"/>
      <c r="E1561" s="1"/>
      <c r="F1561" s="1"/>
      <c r="G1561" s="420"/>
    </row>
    <row r="1562" spans="1:7" ht="12.75" hidden="1" customHeight="1">
      <c r="A1562" s="117" t="s">
        <v>198</v>
      </c>
      <c r="B1562" s="117" t="s">
        <v>199</v>
      </c>
      <c r="C1562" s="117" t="s">
        <v>200</v>
      </c>
      <c r="D1562" s="117" t="s">
        <v>201</v>
      </c>
      <c r="E1562" s="81" t="s">
        <v>186</v>
      </c>
      <c r="F1562" s="108"/>
      <c r="G1562" s="421"/>
    </row>
    <row r="1563" spans="1:7" ht="12.75" hidden="1" customHeight="1">
      <c r="A1563" s="110" t="s">
        <v>243</v>
      </c>
      <c r="B1563" s="110"/>
      <c r="C1563" s="110"/>
      <c r="D1563" s="110"/>
      <c r="E1563" s="101">
        <v>200000</v>
      </c>
      <c r="F1563" s="112"/>
      <c r="G1563" s="422"/>
    </row>
    <row r="1564" spans="1:7" ht="12.75" hidden="1" customHeight="1">
      <c r="A1564" s="63"/>
      <c r="B1564" s="63"/>
      <c r="C1564" s="63"/>
      <c r="D1564" s="63"/>
      <c r="E1564" s="113"/>
      <c r="F1564" s="112"/>
      <c r="G1564" s="422"/>
    </row>
    <row r="1565" spans="1:7" ht="12.75" hidden="1" customHeight="1">
      <c r="A1565" s="110"/>
      <c r="B1565" s="110"/>
      <c r="C1565" s="110"/>
      <c r="D1565" s="110"/>
      <c r="E1565" s="101"/>
      <c r="F1565" s="112"/>
      <c r="G1565" s="422"/>
    </row>
    <row r="1566" spans="1:7" ht="12.75" hidden="1" customHeight="1">
      <c r="A1566" s="110"/>
      <c r="B1566" s="110"/>
      <c r="C1566" s="110"/>
      <c r="D1566" s="110"/>
      <c r="E1566" s="101"/>
      <c r="F1566" s="112"/>
      <c r="G1566" s="422"/>
    </row>
    <row r="1567" spans="1:7" ht="12.75" hidden="1" customHeight="1">
      <c r="A1567" s="116"/>
      <c r="B1567" s="116"/>
      <c r="C1567" s="116"/>
      <c r="D1567" s="116"/>
      <c r="E1567" s="105"/>
      <c r="F1567" s="102" t="s">
        <v>189</v>
      </c>
      <c r="G1567" s="419">
        <f t="shared" si="6"/>
        <v>200000</v>
      </c>
    </row>
    <row r="1568" spans="1:7" ht="12.75" hidden="1" customHeight="1">
      <c r="A1568" s="1" t="s">
        <v>202</v>
      </c>
      <c r="B1568" s="1"/>
      <c r="C1568" s="1"/>
      <c r="D1568" s="1"/>
      <c r="E1568" s="1"/>
      <c r="F1568" s="1"/>
      <c r="G1568" s="420"/>
    </row>
    <row r="1569" spans="1:7" ht="12.75" hidden="1" customHeight="1">
      <c r="A1569" s="117" t="s">
        <v>203</v>
      </c>
      <c r="B1569" s="80" t="s">
        <v>204</v>
      </c>
      <c r="C1569" s="117" t="s">
        <v>205</v>
      </c>
      <c r="D1569" s="80" t="s">
        <v>206</v>
      </c>
      <c r="E1569" s="117" t="s">
        <v>207</v>
      </c>
      <c r="F1569" s="80" t="s">
        <v>208</v>
      </c>
      <c r="G1569" s="423"/>
    </row>
    <row r="1570" spans="1:7" ht="12.75" hidden="1" customHeight="1">
      <c r="A1570" s="110" t="s">
        <v>188</v>
      </c>
      <c r="B1570" s="100">
        <f>+B32</f>
        <v>140000</v>
      </c>
      <c r="C1570" s="110">
        <f t="shared" si="7"/>
        <v>105000</v>
      </c>
      <c r="D1570" s="100">
        <f t="shared" si="8"/>
        <v>245000</v>
      </c>
      <c r="E1570" s="110">
        <v>1</v>
      </c>
      <c r="F1570" s="119">
        <f t="shared" si="22"/>
        <v>245000</v>
      </c>
      <c r="G1570" s="424"/>
    </row>
    <row r="1571" spans="1:7" ht="12.75" hidden="1" customHeight="1">
      <c r="A1571" s="63" t="s">
        <v>190</v>
      </c>
      <c r="B1571" s="100">
        <f>+B33</f>
        <v>91000</v>
      </c>
      <c r="C1571" s="111">
        <f t="shared" si="7"/>
        <v>68250</v>
      </c>
      <c r="D1571" s="120">
        <f t="shared" si="8"/>
        <v>159250</v>
      </c>
      <c r="E1571" s="110">
        <v>1</v>
      </c>
      <c r="F1571" s="119">
        <f t="shared" si="22"/>
        <v>159250</v>
      </c>
      <c r="G1571" s="424"/>
    </row>
    <row r="1572" spans="1:7" ht="12.75" hidden="1" customHeight="1">
      <c r="A1572" s="110"/>
      <c r="B1572" s="100"/>
      <c r="C1572" s="110"/>
      <c r="D1572" s="100"/>
      <c r="E1572" s="110"/>
      <c r="F1572" s="101"/>
      <c r="G1572" s="424"/>
    </row>
    <row r="1573" spans="1:7" ht="12.75" hidden="1" customHeight="1">
      <c r="A1573" s="63"/>
      <c r="B1573" s="1"/>
      <c r="C1573" s="63"/>
      <c r="D1573" s="1"/>
      <c r="E1573" s="63"/>
      <c r="F1573" s="101"/>
      <c r="G1573" s="424"/>
    </row>
    <row r="1574" spans="1:7" ht="12.75" hidden="1" customHeight="1">
      <c r="A1574" s="110"/>
      <c r="B1574" s="100"/>
      <c r="C1574" s="110"/>
      <c r="D1574" s="100"/>
      <c r="E1574" s="110"/>
      <c r="F1574" s="101"/>
      <c r="G1574" s="424"/>
    </row>
    <row r="1575" spans="1:7" ht="12.75" hidden="1" customHeight="1">
      <c r="A1575" s="116"/>
      <c r="B1575" s="103"/>
      <c r="C1575" s="116"/>
      <c r="D1575" s="103"/>
      <c r="E1575" s="116"/>
      <c r="F1575" s="101"/>
      <c r="G1575" s="425"/>
    </row>
    <row r="1576" spans="1:7" ht="12.75" hidden="1" customHeight="1">
      <c r="A1576" s="1"/>
      <c r="B1576" s="1"/>
      <c r="C1576" s="1"/>
      <c r="D1576" s="1"/>
      <c r="E1576" s="1"/>
      <c r="F1576" s="1" t="s">
        <v>189</v>
      </c>
      <c r="G1576" s="225">
        <f t="shared" si="10"/>
        <v>404250</v>
      </c>
    </row>
    <row r="1577" spans="1:7" ht="12.75" hidden="1" customHeight="1">
      <c r="A1577" s="1"/>
      <c r="B1577" s="1"/>
      <c r="C1577" s="1"/>
      <c r="D1577" s="1"/>
      <c r="E1577" s="1"/>
      <c r="F1577" s="1"/>
      <c r="G1577" s="420"/>
    </row>
    <row r="1578" spans="1:7" ht="12.75" hidden="1" customHeight="1">
      <c r="A1578" s="103" t="s">
        <v>209</v>
      </c>
      <c r="B1578" s="1"/>
      <c r="C1578" s="1" t="s">
        <v>210</v>
      </c>
      <c r="D1578" s="1" t="s">
        <v>211</v>
      </c>
      <c r="E1578" s="1"/>
      <c r="F1578" s="1"/>
      <c r="G1578" s="225">
        <f t="shared" si="18"/>
        <v>1397962.5</v>
      </c>
    </row>
    <row r="1579" spans="1:7" ht="12.75" hidden="1" customHeight="1">
      <c r="A1579" s="1"/>
      <c r="B1579" s="1"/>
      <c r="C1579" s="1"/>
      <c r="D1579" s="1"/>
      <c r="E1579" s="1"/>
      <c r="F1579" s="1"/>
      <c r="G1579" s="420"/>
    </row>
    <row r="1580" spans="1:7" ht="12.75" hidden="1" customHeight="1">
      <c r="A1580" s="1"/>
      <c r="B1580" s="1"/>
      <c r="C1580" s="1"/>
      <c r="D1580" s="1"/>
      <c r="E1580" s="1" t="s">
        <v>212</v>
      </c>
      <c r="F1580" s="1"/>
      <c r="G1580" s="225">
        <f t="shared" si="12"/>
        <v>419388.75</v>
      </c>
    </row>
    <row r="1581" spans="1:7" ht="12.75" hidden="1" customHeight="1">
      <c r="A1581" s="1"/>
      <c r="B1581" s="1"/>
      <c r="C1581" s="1"/>
      <c r="D1581" s="1"/>
      <c r="E1581" s="1"/>
      <c r="F1581" s="1"/>
      <c r="G1581" s="420"/>
    </row>
    <row r="1582" spans="1:7" ht="12.75" hidden="1" customHeight="1">
      <c r="A1582" s="103" t="s">
        <v>213</v>
      </c>
      <c r="B1582" s="1"/>
      <c r="C1582" s="1"/>
      <c r="D1582" s="1" t="s">
        <v>214</v>
      </c>
      <c r="E1582" s="1"/>
      <c r="F1582" s="1"/>
      <c r="G1582" s="225">
        <f t="shared" si="13"/>
        <v>1817351.25</v>
      </c>
    </row>
    <row r="1583" spans="1:7" ht="15" hidden="1" customHeight="1">
      <c r="A1583" s="468" t="s">
        <v>174</v>
      </c>
      <c r="B1583" s="457"/>
      <c r="C1583" s="457"/>
      <c r="D1583" s="457"/>
      <c r="E1583" s="457"/>
      <c r="F1583" s="457"/>
      <c r="G1583" s="457"/>
    </row>
    <row r="1584" spans="1:7" ht="12.75" hidden="1" customHeight="1"/>
    <row r="1585" spans="1:7" ht="12.75" hidden="1" customHeight="1">
      <c r="A1585" s="1" t="s">
        <v>175</v>
      </c>
      <c r="B1585" s="1"/>
      <c r="C1585" s="1"/>
      <c r="D1585" s="94"/>
      <c r="E1585" s="94"/>
      <c r="F1585" s="94"/>
      <c r="G1585" s="414"/>
    </row>
    <row r="1586" spans="1:7" ht="12.75" hidden="1" customHeight="1">
      <c r="A1586" s="1" t="s">
        <v>368</v>
      </c>
      <c r="B1586" s="1"/>
      <c r="C1586" s="1"/>
      <c r="D1586" s="1"/>
      <c r="F1586" s="95" t="s">
        <v>177</v>
      </c>
      <c r="G1586" s="415">
        <f t="shared" ca="1" si="0"/>
        <v>46289</v>
      </c>
    </row>
    <row r="1587" spans="1:7" ht="12.75" hidden="1" customHeight="1">
      <c r="A1587" s="1"/>
      <c r="B1587" s="1"/>
      <c r="C1587" s="1"/>
      <c r="D1587" s="1"/>
      <c r="E1587" s="1"/>
      <c r="F1587" s="1"/>
      <c r="G1587" s="420"/>
    </row>
    <row r="1588" spans="1:7" ht="12.75" hidden="1" customHeight="1">
      <c r="A1588" s="99" t="s">
        <v>422</v>
      </c>
      <c r="B1588" s="100" t="s">
        <v>423</v>
      </c>
      <c r="C1588" s="100"/>
      <c r="D1588" s="100"/>
      <c r="E1588" s="100"/>
      <c r="F1588" s="100"/>
      <c r="G1588" s="138"/>
    </row>
    <row r="1589" spans="1:7" ht="12.75" hidden="1" customHeight="1">
      <c r="A1589" s="102"/>
      <c r="B1589" s="103"/>
      <c r="C1589" s="103" t="s">
        <v>179</v>
      </c>
      <c r="D1589" s="126">
        <v>0.3</v>
      </c>
      <c r="E1589" s="103" t="s">
        <v>180</v>
      </c>
      <c r="F1589" s="103" t="s">
        <v>226</v>
      </c>
      <c r="G1589" s="419"/>
    </row>
    <row r="1590" spans="1:7" ht="12.75" hidden="1" customHeight="1">
      <c r="A1590" s="1" t="s">
        <v>182</v>
      </c>
      <c r="B1590" s="1"/>
      <c r="C1590" s="1"/>
      <c r="D1590" s="1"/>
      <c r="E1590" s="1"/>
      <c r="F1590" s="1"/>
      <c r="G1590" s="420"/>
    </row>
    <row r="1591" spans="1:7" ht="12.75" hidden="1" customHeight="1">
      <c r="A1591" s="106" t="s">
        <v>111</v>
      </c>
      <c r="B1591" s="107" t="s">
        <v>183</v>
      </c>
      <c r="C1591" s="106" t="s">
        <v>184</v>
      </c>
      <c r="D1591" s="107" t="s">
        <v>185</v>
      </c>
      <c r="E1591" s="106" t="s">
        <v>186</v>
      </c>
      <c r="F1591" s="108"/>
      <c r="G1591" s="421"/>
    </row>
    <row r="1592" spans="1:7" ht="12.75" hidden="1" customHeight="1">
      <c r="A1592" s="110" t="s">
        <v>187</v>
      </c>
      <c r="B1592" s="100"/>
      <c r="C1592" s="110"/>
      <c r="D1592" s="100"/>
      <c r="E1592" s="111">
        <f t="shared" si="1"/>
        <v>20212.5</v>
      </c>
      <c r="F1592" s="112"/>
      <c r="G1592" s="422"/>
    </row>
    <row r="1593" spans="1:7" ht="12.75" hidden="1" customHeight="1">
      <c r="A1593" s="110"/>
      <c r="B1593" s="110"/>
      <c r="C1593" s="110"/>
      <c r="D1593" s="110"/>
      <c r="E1593" s="101"/>
      <c r="F1593" s="112"/>
      <c r="G1593" s="422"/>
    </row>
    <row r="1594" spans="1:7" ht="12.75" hidden="1" customHeight="1">
      <c r="A1594" s="110"/>
      <c r="B1594" s="110"/>
      <c r="C1594" s="110"/>
      <c r="D1594" s="110"/>
      <c r="E1594" s="101"/>
      <c r="F1594" s="112"/>
      <c r="G1594" s="422"/>
    </row>
    <row r="1595" spans="1:7" ht="12.75" hidden="1" customHeight="1">
      <c r="A1595" s="110"/>
      <c r="B1595" s="110"/>
      <c r="C1595" s="110"/>
      <c r="D1595" s="110"/>
      <c r="E1595" s="101"/>
      <c r="F1595" s="102" t="s">
        <v>189</v>
      </c>
      <c r="G1595" s="419">
        <f t="shared" si="2"/>
        <v>20212.5</v>
      </c>
    </row>
    <row r="1596" spans="1:7" ht="12.75" hidden="1" customHeight="1">
      <c r="A1596" s="1" t="s">
        <v>191</v>
      </c>
      <c r="B1596" s="1"/>
      <c r="C1596" s="1"/>
      <c r="D1596" s="1"/>
      <c r="E1596" s="1"/>
      <c r="F1596" s="1"/>
      <c r="G1596" s="420"/>
    </row>
    <row r="1597" spans="1:7" ht="12.75" hidden="1" customHeight="1">
      <c r="A1597" s="115" t="s">
        <v>111</v>
      </c>
      <c r="B1597" s="106" t="s">
        <v>193</v>
      </c>
      <c r="C1597" s="80" t="s">
        <v>194</v>
      </c>
      <c r="D1597" s="106" t="s">
        <v>195</v>
      </c>
      <c r="E1597" s="81" t="s">
        <v>186</v>
      </c>
      <c r="F1597" s="108"/>
      <c r="G1597" s="421"/>
    </row>
    <row r="1598" spans="1:7" ht="12.75" hidden="1" customHeight="1">
      <c r="A1598" s="110" t="s">
        <v>424</v>
      </c>
      <c r="B1598" s="106" t="s">
        <v>226</v>
      </c>
      <c r="C1598" s="133">
        <f>+Bocatoma!C237</f>
        <v>200000</v>
      </c>
      <c r="D1598" s="110">
        <f t="shared" ref="D1598:D1774" si="152">1*1.05</f>
        <v>1.05</v>
      </c>
      <c r="E1598" s="119">
        <f t="shared" si="14"/>
        <v>210000</v>
      </c>
      <c r="F1598" s="112"/>
      <c r="G1598" s="422"/>
    </row>
    <row r="1599" spans="1:7" ht="12.75" hidden="1" customHeight="1">
      <c r="A1599" s="63"/>
      <c r="B1599" s="123"/>
      <c r="C1599" s="63"/>
      <c r="D1599" s="63"/>
      <c r="E1599" s="101"/>
      <c r="F1599" s="112"/>
      <c r="G1599" s="422"/>
    </row>
    <row r="1600" spans="1:7" ht="12.75" hidden="1" customHeight="1">
      <c r="A1600" s="110"/>
      <c r="B1600" s="106"/>
      <c r="C1600" s="110"/>
      <c r="D1600" s="110"/>
      <c r="E1600" s="119"/>
      <c r="F1600" s="112"/>
      <c r="G1600" s="422"/>
    </row>
    <row r="1601" spans="1:7" ht="12.75" hidden="1" customHeight="1">
      <c r="A1601" s="63"/>
      <c r="B1601" s="63"/>
      <c r="C1601" s="63"/>
      <c r="D1601" s="63"/>
      <c r="E1601" s="101"/>
      <c r="F1601" s="112"/>
      <c r="G1601" s="422"/>
    </row>
    <row r="1602" spans="1:7" ht="12.75" hidden="1" customHeight="1">
      <c r="A1602" s="110"/>
      <c r="B1602" s="110"/>
      <c r="C1602" s="110"/>
      <c r="D1602" s="110"/>
      <c r="E1602" s="101"/>
      <c r="F1602" s="112"/>
      <c r="G1602" s="422"/>
    </row>
    <row r="1603" spans="1:7" ht="12.75" hidden="1" customHeight="1">
      <c r="A1603" s="110"/>
      <c r="B1603" s="110"/>
      <c r="C1603" s="110"/>
      <c r="D1603" s="110"/>
      <c r="E1603" s="101"/>
      <c r="F1603" s="112"/>
      <c r="G1603" s="422"/>
    </row>
    <row r="1604" spans="1:7" ht="12.75" hidden="1" customHeight="1">
      <c r="A1604" s="116"/>
      <c r="B1604" s="116"/>
      <c r="C1604" s="116"/>
      <c r="D1604" s="116"/>
      <c r="E1604" s="101"/>
      <c r="F1604" s="102" t="s">
        <v>189</v>
      </c>
      <c r="G1604" s="419">
        <f t="shared" si="5"/>
        <v>210000</v>
      </c>
    </row>
    <row r="1605" spans="1:7" ht="12.75" hidden="1" customHeight="1">
      <c r="A1605" s="1" t="s">
        <v>197</v>
      </c>
      <c r="B1605" s="1"/>
      <c r="C1605" s="1"/>
      <c r="D1605" s="1"/>
      <c r="E1605" s="1"/>
      <c r="F1605" s="1"/>
      <c r="G1605" s="420"/>
    </row>
    <row r="1606" spans="1:7" ht="12.75" hidden="1" customHeight="1">
      <c r="A1606" s="117" t="s">
        <v>198</v>
      </c>
      <c r="B1606" s="117" t="s">
        <v>199</v>
      </c>
      <c r="C1606" s="117" t="s">
        <v>200</v>
      </c>
      <c r="D1606" s="117" t="s">
        <v>201</v>
      </c>
      <c r="E1606" s="81" t="s">
        <v>186</v>
      </c>
      <c r="F1606" s="108"/>
      <c r="G1606" s="421"/>
    </row>
    <row r="1607" spans="1:7" ht="12.75" hidden="1" customHeight="1">
      <c r="A1607" s="110" t="s">
        <v>243</v>
      </c>
      <c r="B1607" s="110"/>
      <c r="C1607" s="110"/>
      <c r="D1607" s="110"/>
      <c r="E1607" s="101">
        <v>200000</v>
      </c>
      <c r="F1607" s="112"/>
      <c r="G1607" s="422"/>
    </row>
    <row r="1608" spans="1:7" ht="12.75" hidden="1" customHeight="1">
      <c r="A1608" s="63"/>
      <c r="B1608" s="63"/>
      <c r="C1608" s="63"/>
      <c r="D1608" s="63"/>
      <c r="E1608" s="113"/>
      <c r="F1608" s="112"/>
      <c r="G1608" s="422"/>
    </row>
    <row r="1609" spans="1:7" ht="12.75" hidden="1" customHeight="1">
      <c r="A1609" s="110"/>
      <c r="B1609" s="110"/>
      <c r="C1609" s="110"/>
      <c r="D1609" s="110"/>
      <c r="E1609" s="101"/>
      <c r="F1609" s="112"/>
      <c r="G1609" s="422"/>
    </row>
    <row r="1610" spans="1:7" ht="12.75" hidden="1" customHeight="1">
      <c r="A1610" s="110"/>
      <c r="B1610" s="110"/>
      <c r="C1610" s="110"/>
      <c r="D1610" s="110"/>
      <c r="E1610" s="101"/>
      <c r="F1610" s="112"/>
      <c r="G1610" s="422"/>
    </row>
    <row r="1611" spans="1:7" ht="12.75" hidden="1" customHeight="1">
      <c r="A1611" s="116"/>
      <c r="B1611" s="116"/>
      <c r="C1611" s="116"/>
      <c r="D1611" s="116"/>
      <c r="E1611" s="105"/>
      <c r="F1611" s="102" t="s">
        <v>189</v>
      </c>
      <c r="G1611" s="419">
        <f t="shared" si="6"/>
        <v>200000</v>
      </c>
    </row>
    <row r="1612" spans="1:7" ht="12.75" hidden="1" customHeight="1">
      <c r="A1612" s="1" t="s">
        <v>202</v>
      </c>
      <c r="B1612" s="1"/>
      <c r="C1612" s="1"/>
      <c r="D1612" s="1"/>
      <c r="E1612" s="1"/>
      <c r="F1612" s="1"/>
      <c r="G1612" s="420"/>
    </row>
    <row r="1613" spans="1:7" ht="12.75" hidden="1" customHeight="1">
      <c r="A1613" s="117" t="s">
        <v>203</v>
      </c>
      <c r="B1613" s="80" t="s">
        <v>204</v>
      </c>
      <c r="C1613" s="117" t="s">
        <v>205</v>
      </c>
      <c r="D1613" s="80" t="s">
        <v>206</v>
      </c>
      <c r="E1613" s="117" t="s">
        <v>207</v>
      </c>
      <c r="F1613" s="80" t="s">
        <v>208</v>
      </c>
      <c r="G1613" s="423"/>
    </row>
    <row r="1614" spans="1:7" ht="12.75" hidden="1" customHeight="1">
      <c r="A1614" s="110" t="s">
        <v>188</v>
      </c>
      <c r="B1614" s="100">
        <f>+B32</f>
        <v>140000</v>
      </c>
      <c r="C1614" s="110">
        <f t="shared" si="7"/>
        <v>105000</v>
      </c>
      <c r="D1614" s="100">
        <f t="shared" si="8"/>
        <v>245000</v>
      </c>
      <c r="E1614" s="110">
        <v>1</v>
      </c>
      <c r="F1614" s="119">
        <f t="shared" si="22"/>
        <v>245000</v>
      </c>
      <c r="G1614" s="424"/>
    </row>
    <row r="1615" spans="1:7" ht="12.75" hidden="1" customHeight="1">
      <c r="A1615" s="63" t="s">
        <v>227</v>
      </c>
      <c r="B1615" s="100">
        <f>+B33</f>
        <v>91000</v>
      </c>
      <c r="C1615" s="111">
        <f t="shared" si="7"/>
        <v>68250</v>
      </c>
      <c r="D1615" s="120">
        <f t="shared" si="8"/>
        <v>159250</v>
      </c>
      <c r="E1615" s="110">
        <v>1</v>
      </c>
      <c r="F1615" s="119">
        <f t="shared" si="22"/>
        <v>159250</v>
      </c>
      <c r="G1615" s="424"/>
    </row>
    <row r="1616" spans="1:7" ht="12.75" hidden="1" customHeight="1">
      <c r="A1616" s="110"/>
      <c r="B1616" s="100"/>
      <c r="C1616" s="110"/>
      <c r="D1616" s="100"/>
      <c r="E1616" s="110"/>
      <c r="F1616" s="101"/>
      <c r="G1616" s="424"/>
    </row>
    <row r="1617" spans="1:7" ht="12.75" hidden="1" customHeight="1">
      <c r="A1617" s="63"/>
      <c r="B1617" s="1"/>
      <c r="C1617" s="63"/>
      <c r="D1617" s="1"/>
      <c r="E1617" s="63"/>
      <c r="F1617" s="101"/>
      <c r="G1617" s="424"/>
    </row>
    <row r="1618" spans="1:7" ht="12.75" hidden="1" customHeight="1">
      <c r="A1618" s="110"/>
      <c r="B1618" s="100"/>
      <c r="C1618" s="110"/>
      <c r="D1618" s="100"/>
      <c r="E1618" s="110"/>
      <c r="F1618" s="101"/>
      <c r="G1618" s="424"/>
    </row>
    <row r="1619" spans="1:7" ht="12.75" hidden="1" customHeight="1">
      <c r="A1619" s="116"/>
      <c r="B1619" s="103"/>
      <c r="C1619" s="116"/>
      <c r="D1619" s="103"/>
      <c r="E1619" s="116"/>
      <c r="F1619" s="101"/>
      <c r="G1619" s="425"/>
    </row>
    <row r="1620" spans="1:7" ht="12.75" hidden="1" customHeight="1">
      <c r="A1620" s="1"/>
      <c r="B1620" s="1"/>
      <c r="C1620" s="1"/>
      <c r="D1620" s="1"/>
      <c r="E1620" s="1"/>
      <c r="F1620" s="1" t="s">
        <v>189</v>
      </c>
      <c r="G1620" s="225">
        <f t="shared" si="10"/>
        <v>404250</v>
      </c>
    </row>
    <row r="1621" spans="1:7" ht="12.75" hidden="1" customHeight="1">
      <c r="A1621" s="1"/>
      <c r="B1621" s="1"/>
      <c r="C1621" s="1"/>
      <c r="D1621" s="1"/>
      <c r="E1621" s="1"/>
      <c r="F1621" s="1"/>
      <c r="G1621" s="420"/>
    </row>
    <row r="1622" spans="1:7" ht="12.75" hidden="1" customHeight="1">
      <c r="A1622" s="103" t="s">
        <v>209</v>
      </c>
      <c r="B1622" s="1"/>
      <c r="C1622" s="1" t="s">
        <v>210</v>
      </c>
      <c r="D1622" s="1" t="s">
        <v>211</v>
      </c>
      <c r="E1622" s="1"/>
      <c r="F1622" s="1"/>
      <c r="G1622" s="225">
        <f t="shared" si="11"/>
        <v>834462.5</v>
      </c>
    </row>
    <row r="1623" spans="1:7" ht="12.75" hidden="1" customHeight="1">
      <c r="A1623" s="1"/>
      <c r="B1623" s="1"/>
      <c r="C1623" s="1"/>
      <c r="D1623" s="1"/>
      <c r="E1623" s="1"/>
      <c r="F1623" s="1"/>
      <c r="G1623" s="420"/>
    </row>
    <row r="1624" spans="1:7" ht="12.75" hidden="1" customHeight="1">
      <c r="A1624" s="1"/>
      <c r="B1624" s="1"/>
      <c r="C1624" s="1"/>
      <c r="D1624" s="1"/>
      <c r="E1624" s="1" t="s">
        <v>212</v>
      </c>
      <c r="F1624" s="1"/>
      <c r="G1624" s="225">
        <f t="shared" si="12"/>
        <v>250338.75</v>
      </c>
    </row>
    <row r="1625" spans="1:7" ht="12.75" hidden="1" customHeight="1">
      <c r="A1625" s="1"/>
      <c r="B1625" s="1"/>
      <c r="C1625" s="1"/>
      <c r="D1625" s="1"/>
      <c r="E1625" s="1"/>
      <c r="F1625" s="1"/>
      <c r="G1625" s="420"/>
    </row>
    <row r="1626" spans="1:7" ht="12.75" hidden="1" customHeight="1">
      <c r="A1626" s="103" t="s">
        <v>213</v>
      </c>
      <c r="B1626" s="1"/>
      <c r="C1626" s="1"/>
      <c r="D1626" s="1" t="s">
        <v>214</v>
      </c>
      <c r="E1626" s="1"/>
      <c r="F1626" s="1"/>
      <c r="G1626" s="225">
        <f t="shared" si="13"/>
        <v>1084801.25</v>
      </c>
    </row>
    <row r="1627" spans="1:7" ht="15" hidden="1" customHeight="1">
      <c r="A1627" s="468" t="s">
        <v>174</v>
      </c>
      <c r="B1627" s="457"/>
      <c r="C1627" s="457"/>
      <c r="D1627" s="457"/>
      <c r="E1627" s="457"/>
      <c r="F1627" s="457"/>
      <c r="G1627" s="457"/>
    </row>
    <row r="1628" spans="1:7" ht="12.75" hidden="1" customHeight="1"/>
    <row r="1629" spans="1:7" ht="12.75" hidden="1" customHeight="1">
      <c r="A1629" s="1" t="s">
        <v>175</v>
      </c>
      <c r="B1629" s="1"/>
      <c r="C1629" s="1"/>
      <c r="D1629" s="94"/>
      <c r="E1629" s="94"/>
      <c r="F1629" s="94"/>
      <c r="G1629" s="414"/>
    </row>
    <row r="1630" spans="1:7" ht="12.75" hidden="1" customHeight="1">
      <c r="A1630" s="1" t="s">
        <v>368</v>
      </c>
      <c r="B1630" s="1"/>
      <c r="C1630" s="1"/>
      <c r="D1630" s="1"/>
      <c r="F1630" s="95" t="s">
        <v>177</v>
      </c>
      <c r="G1630" s="415">
        <f t="shared" ca="1" si="0"/>
        <v>46289</v>
      </c>
    </row>
    <row r="1631" spans="1:7" ht="12.75" hidden="1" customHeight="1">
      <c r="A1631" s="1"/>
      <c r="B1631" s="1"/>
      <c r="C1631" s="1"/>
      <c r="D1631" s="1"/>
      <c r="E1631" s="1"/>
      <c r="F1631" s="1"/>
      <c r="G1631" s="420"/>
    </row>
    <row r="1632" spans="1:7" ht="12.75" hidden="1" customHeight="1">
      <c r="A1632" s="99" t="s">
        <v>425</v>
      </c>
      <c r="B1632" s="100" t="s">
        <v>89</v>
      </c>
      <c r="C1632" s="100"/>
      <c r="D1632" s="100"/>
      <c r="E1632" s="100"/>
      <c r="F1632" s="100"/>
      <c r="G1632" s="138"/>
    </row>
    <row r="1633" spans="1:7" ht="12.75" hidden="1" customHeight="1">
      <c r="A1633" s="102"/>
      <c r="B1633" s="103"/>
      <c r="C1633" s="103" t="s">
        <v>179</v>
      </c>
      <c r="D1633" s="140">
        <v>0.15</v>
      </c>
      <c r="E1633" s="103" t="s">
        <v>180</v>
      </c>
      <c r="F1633" s="103" t="s">
        <v>226</v>
      </c>
      <c r="G1633" s="419"/>
    </row>
    <row r="1634" spans="1:7" ht="12.75" hidden="1" customHeight="1">
      <c r="A1634" s="1" t="s">
        <v>182</v>
      </c>
      <c r="B1634" s="1"/>
      <c r="C1634" s="1"/>
      <c r="D1634" s="1"/>
      <c r="E1634" s="1"/>
      <c r="F1634" s="1"/>
      <c r="G1634" s="420"/>
    </row>
    <row r="1635" spans="1:7" ht="12.75" hidden="1" customHeight="1">
      <c r="A1635" s="106" t="s">
        <v>111</v>
      </c>
      <c r="B1635" s="107" t="s">
        <v>183</v>
      </c>
      <c r="C1635" s="106" t="s">
        <v>184</v>
      </c>
      <c r="D1635" s="107" t="s">
        <v>185</v>
      </c>
      <c r="E1635" s="106" t="s">
        <v>186</v>
      </c>
      <c r="F1635" s="108"/>
      <c r="G1635" s="421"/>
    </row>
    <row r="1636" spans="1:7" ht="12.75" hidden="1" customHeight="1">
      <c r="A1636" s="110" t="s">
        <v>187</v>
      </c>
      <c r="B1636" s="100"/>
      <c r="C1636" s="110"/>
      <c r="D1636" s="100"/>
      <c r="E1636" s="111">
        <f t="shared" si="1"/>
        <v>40425</v>
      </c>
      <c r="F1636" s="112"/>
      <c r="G1636" s="422"/>
    </row>
    <row r="1637" spans="1:7" ht="12.75" hidden="1" customHeight="1">
      <c r="A1637" s="110"/>
      <c r="B1637" s="110"/>
      <c r="C1637" s="110"/>
      <c r="D1637" s="110"/>
      <c r="E1637" s="101"/>
      <c r="F1637" s="112"/>
      <c r="G1637" s="422"/>
    </row>
    <row r="1638" spans="1:7" ht="12.75" hidden="1" customHeight="1">
      <c r="A1638" s="110"/>
      <c r="B1638" s="110"/>
      <c r="C1638" s="110"/>
      <c r="D1638" s="110"/>
      <c r="E1638" s="101"/>
      <c r="F1638" s="112"/>
      <c r="G1638" s="422"/>
    </row>
    <row r="1639" spans="1:7" ht="12.75" hidden="1" customHeight="1">
      <c r="A1639" s="110"/>
      <c r="B1639" s="110"/>
      <c r="C1639" s="110"/>
      <c r="D1639" s="110"/>
      <c r="E1639" s="101"/>
      <c r="F1639" s="102" t="s">
        <v>189</v>
      </c>
      <c r="G1639" s="419">
        <f t="shared" si="2"/>
        <v>40425</v>
      </c>
    </row>
    <row r="1640" spans="1:7" ht="12.75" hidden="1" customHeight="1">
      <c r="A1640" s="1"/>
      <c r="B1640" s="1"/>
      <c r="C1640" s="1"/>
      <c r="D1640" s="1"/>
      <c r="E1640" s="1"/>
      <c r="F1640" s="1"/>
      <c r="G1640" s="420"/>
    </row>
    <row r="1641" spans="1:7" ht="12.75" hidden="1" customHeight="1">
      <c r="A1641" s="1" t="s">
        <v>191</v>
      </c>
      <c r="B1641" s="1"/>
      <c r="C1641" s="1"/>
      <c r="D1641" s="1"/>
      <c r="E1641" s="1"/>
      <c r="F1641" s="1"/>
      <c r="G1641" s="420"/>
    </row>
    <row r="1642" spans="1:7" ht="12.75" hidden="1" customHeight="1">
      <c r="A1642" s="115" t="s">
        <v>111</v>
      </c>
      <c r="B1642" s="106" t="s">
        <v>193</v>
      </c>
      <c r="C1642" s="80" t="s">
        <v>194</v>
      </c>
      <c r="D1642" s="106" t="s">
        <v>195</v>
      </c>
      <c r="E1642" s="81" t="s">
        <v>186</v>
      </c>
      <c r="F1642" s="108"/>
      <c r="G1642" s="421"/>
    </row>
    <row r="1643" spans="1:7" ht="12.75" hidden="1" customHeight="1">
      <c r="A1643" s="110" t="s">
        <v>426</v>
      </c>
      <c r="B1643" s="106" t="s">
        <v>226</v>
      </c>
      <c r="C1643" s="133">
        <f t="shared" ref="C1643:C1730" si="153">(566670*1.19)</f>
        <v>674337.29999999993</v>
      </c>
      <c r="D1643" s="110">
        <f t="shared" si="152"/>
        <v>1.05</v>
      </c>
      <c r="E1643" s="119">
        <f t="shared" si="14"/>
        <v>708054.16499999992</v>
      </c>
      <c r="F1643" s="112"/>
      <c r="G1643" s="422"/>
    </row>
    <row r="1644" spans="1:7" ht="12.75" hidden="1" customHeight="1">
      <c r="A1644" s="63"/>
      <c r="B1644" s="123"/>
      <c r="C1644" s="63"/>
      <c r="D1644" s="63"/>
      <c r="E1644" s="101"/>
      <c r="F1644" s="112"/>
      <c r="G1644" s="422"/>
    </row>
    <row r="1645" spans="1:7" ht="12.75" hidden="1" customHeight="1">
      <c r="A1645" s="63"/>
      <c r="B1645" s="63"/>
      <c r="C1645" s="63"/>
      <c r="D1645" s="63"/>
      <c r="E1645" s="101"/>
      <c r="F1645" s="112"/>
      <c r="G1645" s="422"/>
    </row>
    <row r="1646" spans="1:7" ht="12.75" hidden="1" customHeight="1">
      <c r="A1646" s="110"/>
      <c r="B1646" s="110"/>
      <c r="C1646" s="110"/>
      <c r="D1646" s="110"/>
      <c r="E1646" s="101"/>
      <c r="F1646" s="112"/>
      <c r="G1646" s="422"/>
    </row>
    <row r="1647" spans="1:7" ht="12.75" hidden="1" customHeight="1">
      <c r="A1647" s="110"/>
      <c r="B1647" s="110"/>
      <c r="C1647" s="110"/>
      <c r="D1647" s="110"/>
      <c r="E1647" s="101"/>
      <c r="F1647" s="112"/>
      <c r="G1647" s="422"/>
    </row>
    <row r="1648" spans="1:7" ht="12.75" hidden="1" customHeight="1">
      <c r="A1648" s="116"/>
      <c r="B1648" s="116"/>
      <c r="C1648" s="116"/>
      <c r="D1648" s="116"/>
      <c r="E1648" s="101"/>
      <c r="F1648" s="102" t="s">
        <v>189</v>
      </c>
      <c r="G1648" s="419">
        <f t="shared" si="151"/>
        <v>708054.16499999992</v>
      </c>
    </row>
    <row r="1649" spans="1:7" ht="12.75" hidden="1" customHeight="1">
      <c r="A1649" s="1" t="s">
        <v>197</v>
      </c>
      <c r="B1649" s="1"/>
      <c r="C1649" s="1"/>
      <c r="D1649" s="1"/>
      <c r="E1649" s="1"/>
      <c r="F1649" s="1"/>
      <c r="G1649" s="420"/>
    </row>
    <row r="1650" spans="1:7" ht="12.75" hidden="1" customHeight="1">
      <c r="A1650" s="117" t="s">
        <v>198</v>
      </c>
      <c r="B1650" s="117" t="s">
        <v>199</v>
      </c>
      <c r="C1650" s="117" t="s">
        <v>200</v>
      </c>
      <c r="D1650" s="117" t="s">
        <v>201</v>
      </c>
      <c r="E1650" s="81" t="s">
        <v>186</v>
      </c>
      <c r="F1650" s="108"/>
      <c r="G1650" s="421"/>
    </row>
    <row r="1651" spans="1:7" ht="12.75" hidden="1" customHeight="1">
      <c r="A1651" s="110" t="s">
        <v>243</v>
      </c>
      <c r="B1651" s="110"/>
      <c r="C1651" s="110"/>
      <c r="D1651" s="110"/>
      <c r="E1651" s="101">
        <f t="shared" ref="E1651:E1783" si="154">189000+100000</f>
        <v>289000</v>
      </c>
      <c r="F1651" s="112"/>
      <c r="G1651" s="422"/>
    </row>
    <row r="1652" spans="1:7" ht="12.75" hidden="1" customHeight="1">
      <c r="A1652" s="63"/>
      <c r="B1652" s="63"/>
      <c r="C1652" s="63"/>
      <c r="D1652" s="63"/>
      <c r="E1652" s="113"/>
      <c r="F1652" s="112"/>
      <c r="G1652" s="422"/>
    </row>
    <row r="1653" spans="1:7" ht="12.75" hidden="1" customHeight="1">
      <c r="A1653" s="110"/>
      <c r="B1653" s="110"/>
      <c r="C1653" s="110"/>
      <c r="D1653" s="110"/>
      <c r="E1653" s="101"/>
      <c r="F1653" s="112"/>
      <c r="G1653" s="422"/>
    </row>
    <row r="1654" spans="1:7" ht="12.75" hidden="1" customHeight="1">
      <c r="A1654" s="110"/>
      <c r="B1654" s="110"/>
      <c r="C1654" s="110"/>
      <c r="D1654" s="110"/>
      <c r="E1654" s="101"/>
      <c r="F1654" s="112"/>
      <c r="G1654" s="422"/>
    </row>
    <row r="1655" spans="1:7" ht="12.75" hidden="1" customHeight="1">
      <c r="A1655" s="116"/>
      <c r="B1655" s="116"/>
      <c r="C1655" s="116"/>
      <c r="D1655" s="116"/>
      <c r="E1655" s="105"/>
      <c r="F1655" s="102" t="s">
        <v>189</v>
      </c>
      <c r="G1655" s="419">
        <f t="shared" si="6"/>
        <v>289000</v>
      </c>
    </row>
    <row r="1656" spans="1:7" ht="12.75" hidden="1" customHeight="1">
      <c r="A1656" s="1" t="s">
        <v>202</v>
      </c>
      <c r="B1656" s="1"/>
      <c r="C1656" s="1"/>
      <c r="D1656" s="1"/>
      <c r="E1656" s="1"/>
      <c r="F1656" s="1"/>
      <c r="G1656" s="420"/>
    </row>
    <row r="1657" spans="1:7" ht="12.75" hidden="1" customHeight="1">
      <c r="A1657" s="117" t="s">
        <v>203</v>
      </c>
      <c r="B1657" s="80" t="s">
        <v>204</v>
      </c>
      <c r="C1657" s="117" t="s">
        <v>205</v>
      </c>
      <c r="D1657" s="80" t="s">
        <v>206</v>
      </c>
      <c r="E1657" s="117" t="s">
        <v>207</v>
      </c>
      <c r="F1657" s="80" t="s">
        <v>208</v>
      </c>
      <c r="G1657" s="423"/>
    </row>
    <row r="1658" spans="1:7" ht="12.75" hidden="1" customHeight="1">
      <c r="A1658" s="110" t="s">
        <v>188</v>
      </c>
      <c r="B1658" s="100">
        <f>+B32</f>
        <v>140000</v>
      </c>
      <c r="C1658" s="110">
        <f t="shared" si="7"/>
        <v>105000</v>
      </c>
      <c r="D1658" s="100">
        <f t="shared" si="8"/>
        <v>245000</v>
      </c>
      <c r="E1658" s="110">
        <v>0.5</v>
      </c>
      <c r="F1658" s="119">
        <f t="shared" si="22"/>
        <v>490000</v>
      </c>
      <c r="G1658" s="424"/>
    </row>
    <row r="1659" spans="1:7" ht="12.75" hidden="1" customHeight="1">
      <c r="A1659" s="63" t="s">
        <v>190</v>
      </c>
      <c r="B1659" s="100">
        <f>+B33</f>
        <v>91000</v>
      </c>
      <c r="C1659" s="111">
        <f t="shared" si="7"/>
        <v>68250</v>
      </c>
      <c r="D1659" s="120">
        <f t="shared" si="8"/>
        <v>159250</v>
      </c>
      <c r="E1659" s="110">
        <v>0.5</v>
      </c>
      <c r="F1659" s="119">
        <f t="shared" si="22"/>
        <v>318500</v>
      </c>
      <c r="G1659" s="424"/>
    </row>
    <row r="1660" spans="1:7" ht="12.75" hidden="1" customHeight="1">
      <c r="A1660" s="110"/>
      <c r="B1660" s="100"/>
      <c r="C1660" s="110"/>
      <c r="D1660" s="100"/>
      <c r="E1660" s="110"/>
      <c r="F1660" s="101"/>
      <c r="G1660" s="424"/>
    </row>
    <row r="1661" spans="1:7" ht="12.75" hidden="1" customHeight="1">
      <c r="A1661" s="63"/>
      <c r="B1661" s="1"/>
      <c r="C1661" s="63"/>
      <c r="D1661" s="1"/>
      <c r="E1661" s="63"/>
      <c r="F1661" s="101"/>
      <c r="G1661" s="424"/>
    </row>
    <row r="1662" spans="1:7" ht="12.75" hidden="1" customHeight="1">
      <c r="A1662" s="110"/>
      <c r="B1662" s="100"/>
      <c r="C1662" s="110"/>
      <c r="D1662" s="100"/>
      <c r="E1662" s="110"/>
      <c r="F1662" s="101"/>
      <c r="G1662" s="424"/>
    </row>
    <row r="1663" spans="1:7" ht="12.75" hidden="1" customHeight="1">
      <c r="A1663" s="116"/>
      <c r="B1663" s="103"/>
      <c r="C1663" s="116"/>
      <c r="D1663" s="103"/>
      <c r="E1663" s="116"/>
      <c r="F1663" s="101"/>
      <c r="G1663" s="425"/>
    </row>
    <row r="1664" spans="1:7" ht="12.75" hidden="1" customHeight="1">
      <c r="A1664" s="1"/>
      <c r="B1664" s="1"/>
      <c r="C1664" s="1"/>
      <c r="D1664" s="1"/>
      <c r="E1664" s="1"/>
      <c r="F1664" s="1" t="s">
        <v>189</v>
      </c>
      <c r="G1664" s="225">
        <f t="shared" si="10"/>
        <v>808500</v>
      </c>
    </row>
    <row r="1665" spans="1:7" ht="12.75" hidden="1" customHeight="1">
      <c r="A1665" s="1"/>
      <c r="B1665" s="1"/>
      <c r="C1665" s="1"/>
      <c r="D1665" s="1"/>
      <c r="E1665" s="1"/>
      <c r="F1665" s="1"/>
      <c r="G1665" s="420"/>
    </row>
    <row r="1666" spans="1:7" ht="12.75" hidden="1" customHeight="1">
      <c r="A1666" s="103" t="s">
        <v>209</v>
      </c>
      <c r="B1666" s="1"/>
      <c r="C1666" s="1" t="s">
        <v>210</v>
      </c>
      <c r="D1666" s="1" t="s">
        <v>211</v>
      </c>
      <c r="E1666" s="1"/>
      <c r="F1666" s="1"/>
      <c r="G1666" s="225">
        <f t="shared" si="11"/>
        <v>1845979.165</v>
      </c>
    </row>
    <row r="1667" spans="1:7" ht="12.75" hidden="1" customHeight="1">
      <c r="A1667" s="1"/>
      <c r="B1667" s="1"/>
      <c r="C1667" s="1"/>
      <c r="D1667" s="1"/>
      <c r="E1667" s="1"/>
      <c r="F1667" s="1"/>
      <c r="G1667" s="420"/>
    </row>
    <row r="1668" spans="1:7" ht="12.75" hidden="1" customHeight="1">
      <c r="A1668" s="1"/>
      <c r="B1668" s="1"/>
      <c r="C1668" s="1"/>
      <c r="D1668" s="1"/>
      <c r="E1668" s="1" t="s">
        <v>212</v>
      </c>
      <c r="F1668" s="1"/>
      <c r="G1668" s="225">
        <f t="shared" si="12"/>
        <v>553793.74950000003</v>
      </c>
    </row>
    <row r="1669" spans="1:7" ht="12.75" hidden="1" customHeight="1">
      <c r="A1669" s="1"/>
      <c r="B1669" s="1"/>
      <c r="C1669" s="1"/>
      <c r="D1669" s="1"/>
      <c r="E1669" s="1"/>
      <c r="F1669" s="1"/>
      <c r="G1669" s="420"/>
    </row>
    <row r="1670" spans="1:7" ht="12.75" hidden="1" customHeight="1">
      <c r="A1670" s="103" t="s">
        <v>213</v>
      </c>
      <c r="B1670" s="1"/>
      <c r="C1670" s="1"/>
      <c r="D1670" s="1" t="s">
        <v>214</v>
      </c>
      <c r="E1670" s="1"/>
      <c r="F1670" s="1"/>
      <c r="G1670" s="225">
        <f t="shared" si="13"/>
        <v>2399772.9145</v>
      </c>
    </row>
    <row r="1671" spans="1:7" ht="15" hidden="1" customHeight="1">
      <c r="A1671" s="468" t="s">
        <v>174</v>
      </c>
      <c r="B1671" s="457"/>
      <c r="C1671" s="457"/>
      <c r="D1671" s="457"/>
      <c r="E1671" s="457"/>
      <c r="F1671" s="457"/>
      <c r="G1671" s="457"/>
    </row>
    <row r="1672" spans="1:7" ht="12.75" hidden="1" customHeight="1"/>
    <row r="1673" spans="1:7" ht="12.75" hidden="1" customHeight="1">
      <c r="A1673" s="1" t="s">
        <v>175</v>
      </c>
      <c r="B1673" s="1"/>
      <c r="C1673" s="1"/>
      <c r="D1673" s="94"/>
      <c r="E1673" s="94"/>
      <c r="F1673" s="94"/>
      <c r="G1673" s="414"/>
    </row>
    <row r="1674" spans="1:7" ht="12.75" hidden="1" customHeight="1">
      <c r="A1674" s="1" t="s">
        <v>368</v>
      </c>
      <c r="B1674" s="1"/>
      <c r="C1674" s="1"/>
      <c r="D1674" s="1"/>
      <c r="F1674" s="95" t="s">
        <v>177</v>
      </c>
      <c r="G1674" s="415">
        <f t="shared" ca="1" si="0"/>
        <v>46289</v>
      </c>
    </row>
    <row r="1675" spans="1:7" ht="12.75" hidden="1" customHeight="1">
      <c r="A1675" s="1"/>
      <c r="B1675" s="1"/>
      <c r="C1675" s="1"/>
      <c r="D1675" s="1"/>
      <c r="E1675" s="1"/>
      <c r="F1675" s="1"/>
      <c r="G1675" s="420"/>
    </row>
    <row r="1676" spans="1:7" ht="12.75" hidden="1" customHeight="1">
      <c r="A1676" s="99" t="s">
        <v>427</v>
      </c>
      <c r="B1676" s="100" t="s">
        <v>90</v>
      </c>
      <c r="C1676" s="100"/>
      <c r="D1676" s="100"/>
      <c r="E1676" s="100"/>
      <c r="F1676" s="100"/>
      <c r="G1676" s="138"/>
    </row>
    <row r="1677" spans="1:7" ht="12.75" hidden="1" customHeight="1">
      <c r="A1677" s="102"/>
      <c r="B1677" s="103"/>
      <c r="C1677" s="103" t="s">
        <v>179</v>
      </c>
      <c r="D1677" s="137">
        <v>0.03</v>
      </c>
      <c r="E1677" s="103" t="s">
        <v>180</v>
      </c>
      <c r="F1677" s="103" t="s">
        <v>226</v>
      </c>
      <c r="G1677" s="419"/>
    </row>
    <row r="1678" spans="1:7" ht="12.75" hidden="1" customHeight="1">
      <c r="A1678" s="1" t="s">
        <v>182</v>
      </c>
      <c r="B1678" s="1"/>
      <c r="C1678" s="1"/>
      <c r="D1678" s="1"/>
      <c r="E1678" s="1"/>
      <c r="F1678" s="1"/>
      <c r="G1678" s="420"/>
    </row>
    <row r="1679" spans="1:7" ht="12.75" hidden="1" customHeight="1">
      <c r="A1679" s="106" t="s">
        <v>111</v>
      </c>
      <c r="B1679" s="107" t="s">
        <v>183</v>
      </c>
      <c r="C1679" s="106" t="s">
        <v>184</v>
      </c>
      <c r="D1679" s="107" t="s">
        <v>185</v>
      </c>
      <c r="E1679" s="106" t="s">
        <v>186</v>
      </c>
      <c r="F1679" s="108"/>
      <c r="G1679" s="421"/>
    </row>
    <row r="1680" spans="1:7" ht="12.75" hidden="1" customHeight="1">
      <c r="A1680" s="110" t="s">
        <v>187</v>
      </c>
      <c r="B1680" s="100"/>
      <c r="C1680" s="110"/>
      <c r="D1680" s="100"/>
      <c r="E1680" s="111">
        <f t="shared" si="1"/>
        <v>40425</v>
      </c>
      <c r="F1680" s="112"/>
      <c r="G1680" s="422"/>
    </row>
    <row r="1681" spans="1:7" ht="12.75" hidden="1" customHeight="1">
      <c r="A1681" s="110"/>
      <c r="B1681" s="110"/>
      <c r="C1681" s="110"/>
      <c r="D1681" s="110"/>
      <c r="E1681" s="101"/>
      <c r="F1681" s="112"/>
      <c r="G1681" s="422"/>
    </row>
    <row r="1682" spans="1:7" ht="12.75" hidden="1" customHeight="1">
      <c r="A1682" s="110"/>
      <c r="B1682" s="110"/>
      <c r="C1682" s="110"/>
      <c r="D1682" s="110"/>
      <c r="E1682" s="101"/>
      <c r="F1682" s="112"/>
      <c r="G1682" s="422"/>
    </row>
    <row r="1683" spans="1:7" ht="12.75" hidden="1" customHeight="1">
      <c r="A1683" s="110"/>
      <c r="B1683" s="110"/>
      <c r="C1683" s="110"/>
      <c r="D1683" s="110"/>
      <c r="E1683" s="101"/>
      <c r="F1683" s="102" t="s">
        <v>189</v>
      </c>
      <c r="G1683" s="419">
        <f t="shared" si="2"/>
        <v>40425</v>
      </c>
    </row>
    <row r="1684" spans="1:7" ht="12.75" hidden="1" customHeight="1">
      <c r="A1684" s="1" t="s">
        <v>191</v>
      </c>
      <c r="B1684" s="1"/>
      <c r="C1684" s="1"/>
      <c r="D1684" s="1"/>
      <c r="E1684" s="1"/>
      <c r="F1684" s="1"/>
      <c r="G1684" s="420"/>
    </row>
    <row r="1685" spans="1:7" ht="12.75" hidden="1" customHeight="1">
      <c r="A1685" s="115" t="s">
        <v>111</v>
      </c>
      <c r="B1685" s="106" t="s">
        <v>193</v>
      </c>
      <c r="C1685" s="80" t="s">
        <v>194</v>
      </c>
      <c r="D1685" s="106" t="s">
        <v>195</v>
      </c>
      <c r="E1685" s="81" t="s">
        <v>186</v>
      </c>
      <c r="F1685" s="108"/>
      <c r="G1685" s="421"/>
    </row>
    <row r="1686" spans="1:7" ht="12.75" hidden="1" customHeight="1">
      <c r="A1686" s="110" t="s">
        <v>90</v>
      </c>
      <c r="B1686" s="106" t="s">
        <v>226</v>
      </c>
      <c r="C1686" s="133">
        <f t="shared" si="153"/>
        <v>674337.29999999993</v>
      </c>
      <c r="D1686" s="110">
        <f t="shared" si="152"/>
        <v>1.05</v>
      </c>
      <c r="E1686" s="119">
        <f t="shared" si="14"/>
        <v>708054.16499999992</v>
      </c>
      <c r="F1686" s="112"/>
      <c r="G1686" s="422"/>
    </row>
    <row r="1687" spans="1:7" ht="12.75" hidden="1" customHeight="1">
      <c r="A1687" s="63"/>
      <c r="B1687" s="123"/>
      <c r="C1687" s="63"/>
      <c r="D1687" s="63"/>
      <c r="E1687" s="101"/>
      <c r="F1687" s="112"/>
      <c r="G1687" s="422"/>
    </row>
    <row r="1688" spans="1:7" ht="12.75" hidden="1" customHeight="1">
      <c r="A1688" s="110"/>
      <c r="B1688" s="106"/>
      <c r="C1688" s="110"/>
      <c r="D1688" s="110"/>
      <c r="E1688" s="119"/>
      <c r="F1688" s="112"/>
      <c r="G1688" s="422"/>
    </row>
    <row r="1689" spans="1:7" ht="12.75" hidden="1" customHeight="1">
      <c r="A1689" s="63"/>
      <c r="B1689" s="63"/>
      <c r="C1689" s="63"/>
      <c r="D1689" s="63"/>
      <c r="E1689" s="101"/>
      <c r="F1689" s="112"/>
      <c r="G1689" s="422"/>
    </row>
    <row r="1690" spans="1:7" ht="12.75" hidden="1" customHeight="1">
      <c r="A1690" s="110"/>
      <c r="B1690" s="110"/>
      <c r="C1690" s="110"/>
      <c r="D1690" s="110"/>
      <c r="E1690" s="101"/>
      <c r="F1690" s="112"/>
      <c r="G1690" s="422"/>
    </row>
    <row r="1691" spans="1:7" ht="12.75" hidden="1" customHeight="1">
      <c r="A1691" s="110"/>
      <c r="B1691" s="110"/>
      <c r="C1691" s="110"/>
      <c r="D1691" s="110"/>
      <c r="E1691" s="101"/>
      <c r="F1691" s="112"/>
      <c r="G1691" s="422"/>
    </row>
    <row r="1692" spans="1:7" ht="12.75" hidden="1" customHeight="1">
      <c r="A1692" s="116"/>
      <c r="B1692" s="116"/>
      <c r="C1692" s="116"/>
      <c r="D1692" s="116"/>
      <c r="E1692" s="101"/>
      <c r="F1692" s="102" t="s">
        <v>189</v>
      </c>
      <c r="G1692" s="419">
        <f t="shared" si="5"/>
        <v>708054.16499999992</v>
      </c>
    </row>
    <row r="1693" spans="1:7" ht="12.75" hidden="1" customHeight="1">
      <c r="A1693" s="1" t="s">
        <v>197</v>
      </c>
      <c r="B1693" s="1"/>
      <c r="C1693" s="1"/>
      <c r="D1693" s="1"/>
      <c r="E1693" s="1"/>
      <c r="F1693" s="1"/>
      <c r="G1693" s="420"/>
    </row>
    <row r="1694" spans="1:7" ht="12.75" hidden="1" customHeight="1">
      <c r="A1694" s="117" t="s">
        <v>198</v>
      </c>
      <c r="B1694" s="117" t="s">
        <v>199</v>
      </c>
      <c r="C1694" s="117" t="s">
        <v>200</v>
      </c>
      <c r="D1694" s="117" t="s">
        <v>201</v>
      </c>
      <c r="E1694" s="81" t="s">
        <v>186</v>
      </c>
      <c r="F1694" s="108"/>
      <c r="G1694" s="421"/>
    </row>
    <row r="1695" spans="1:7" ht="12.75" hidden="1" customHeight="1">
      <c r="A1695" s="110" t="s">
        <v>243</v>
      </c>
      <c r="B1695" s="110"/>
      <c r="C1695" s="110"/>
      <c r="D1695" s="110"/>
      <c r="E1695" s="101">
        <f t="shared" si="154"/>
        <v>289000</v>
      </c>
      <c r="F1695" s="112"/>
      <c r="G1695" s="422"/>
    </row>
    <row r="1696" spans="1:7" ht="12.75" hidden="1" customHeight="1">
      <c r="A1696" s="63"/>
      <c r="B1696" s="63"/>
      <c r="C1696" s="63"/>
      <c r="D1696" s="63"/>
      <c r="E1696" s="113"/>
      <c r="F1696" s="112"/>
      <c r="G1696" s="422"/>
    </row>
    <row r="1697" spans="1:7" ht="12.75" hidden="1" customHeight="1">
      <c r="A1697" s="110"/>
      <c r="B1697" s="110"/>
      <c r="C1697" s="110"/>
      <c r="D1697" s="110"/>
      <c r="E1697" s="101"/>
      <c r="F1697" s="112"/>
      <c r="G1697" s="422"/>
    </row>
    <row r="1698" spans="1:7" ht="12.75" hidden="1" customHeight="1">
      <c r="A1698" s="110"/>
      <c r="B1698" s="110"/>
      <c r="C1698" s="110"/>
      <c r="D1698" s="110"/>
      <c r="E1698" s="101"/>
      <c r="F1698" s="112"/>
      <c r="G1698" s="422"/>
    </row>
    <row r="1699" spans="1:7" ht="12.75" hidden="1" customHeight="1">
      <c r="A1699" s="116"/>
      <c r="B1699" s="116"/>
      <c r="C1699" s="116"/>
      <c r="D1699" s="116"/>
      <c r="E1699" s="105"/>
      <c r="F1699" s="102" t="s">
        <v>189</v>
      </c>
      <c r="G1699" s="419">
        <f t="shared" si="6"/>
        <v>289000</v>
      </c>
    </row>
    <row r="1700" spans="1:7" ht="12.75" hidden="1" customHeight="1">
      <c r="A1700" s="1" t="s">
        <v>202</v>
      </c>
      <c r="B1700" s="1"/>
      <c r="C1700" s="1"/>
      <c r="D1700" s="1"/>
      <c r="E1700" s="1"/>
      <c r="F1700" s="1"/>
      <c r="G1700" s="420"/>
    </row>
    <row r="1701" spans="1:7" ht="12.75" hidden="1" customHeight="1">
      <c r="A1701" s="117" t="s">
        <v>203</v>
      </c>
      <c r="B1701" s="80" t="s">
        <v>204</v>
      </c>
      <c r="C1701" s="117" t="s">
        <v>205</v>
      </c>
      <c r="D1701" s="80" t="s">
        <v>206</v>
      </c>
      <c r="E1701" s="117" t="s">
        <v>207</v>
      </c>
      <c r="F1701" s="80" t="s">
        <v>208</v>
      </c>
      <c r="G1701" s="423"/>
    </row>
    <row r="1702" spans="1:7" ht="12.75" hidden="1" customHeight="1">
      <c r="A1702" s="110" t="s">
        <v>188</v>
      </c>
      <c r="B1702" s="100">
        <f>+B32</f>
        <v>140000</v>
      </c>
      <c r="C1702" s="110">
        <f t="shared" si="7"/>
        <v>105000</v>
      </c>
      <c r="D1702" s="100">
        <f t="shared" si="8"/>
        <v>245000</v>
      </c>
      <c r="E1702" s="110">
        <v>0.5</v>
      </c>
      <c r="F1702" s="119">
        <f t="shared" si="22"/>
        <v>490000</v>
      </c>
      <c r="G1702" s="424"/>
    </row>
    <row r="1703" spans="1:7" ht="12.75" hidden="1" customHeight="1">
      <c r="A1703" s="63" t="s">
        <v>190</v>
      </c>
      <c r="B1703" s="100">
        <f>+B33</f>
        <v>91000</v>
      </c>
      <c r="C1703" s="111">
        <f t="shared" si="7"/>
        <v>68250</v>
      </c>
      <c r="D1703" s="120">
        <f t="shared" si="8"/>
        <v>159250</v>
      </c>
      <c r="E1703" s="110">
        <v>0.5</v>
      </c>
      <c r="F1703" s="119">
        <f t="shared" si="22"/>
        <v>318500</v>
      </c>
      <c r="G1703" s="424"/>
    </row>
    <row r="1704" spans="1:7" ht="12.75" hidden="1" customHeight="1">
      <c r="A1704" s="110"/>
      <c r="B1704" s="100"/>
      <c r="C1704" s="110"/>
      <c r="D1704" s="100"/>
      <c r="E1704" s="110"/>
      <c r="F1704" s="101"/>
      <c r="G1704" s="424"/>
    </row>
    <row r="1705" spans="1:7" ht="12.75" hidden="1" customHeight="1">
      <c r="A1705" s="63"/>
      <c r="B1705" s="1"/>
      <c r="C1705" s="63"/>
      <c r="D1705" s="1"/>
      <c r="E1705" s="63"/>
      <c r="F1705" s="101"/>
      <c r="G1705" s="424"/>
    </row>
    <row r="1706" spans="1:7" ht="12.75" hidden="1" customHeight="1">
      <c r="A1706" s="110"/>
      <c r="B1706" s="100"/>
      <c r="C1706" s="110"/>
      <c r="D1706" s="100"/>
      <c r="E1706" s="110"/>
      <c r="F1706" s="101"/>
      <c r="G1706" s="424"/>
    </row>
    <row r="1707" spans="1:7" ht="12.75" hidden="1" customHeight="1">
      <c r="A1707" s="116"/>
      <c r="B1707" s="103"/>
      <c r="C1707" s="116"/>
      <c r="D1707" s="103"/>
      <c r="E1707" s="116"/>
      <c r="F1707" s="101"/>
      <c r="G1707" s="425"/>
    </row>
    <row r="1708" spans="1:7" ht="12.75" hidden="1" customHeight="1">
      <c r="A1708" s="1"/>
      <c r="B1708" s="1"/>
      <c r="C1708" s="1"/>
      <c r="D1708" s="1"/>
      <c r="E1708" s="1"/>
      <c r="F1708" s="1" t="s">
        <v>189</v>
      </c>
      <c r="G1708" s="225">
        <f t="shared" si="10"/>
        <v>808500</v>
      </c>
    </row>
    <row r="1709" spans="1:7" ht="12.75" hidden="1" customHeight="1">
      <c r="A1709" s="1"/>
      <c r="B1709" s="1"/>
      <c r="C1709" s="1"/>
      <c r="D1709" s="1"/>
      <c r="E1709" s="1"/>
      <c r="F1709" s="1"/>
      <c r="G1709" s="420"/>
    </row>
    <row r="1710" spans="1:7" ht="12.75" hidden="1" customHeight="1">
      <c r="A1710" s="103" t="s">
        <v>209</v>
      </c>
      <c r="B1710" s="1"/>
      <c r="C1710" s="1" t="s">
        <v>210</v>
      </c>
      <c r="D1710" s="1" t="s">
        <v>211</v>
      </c>
      <c r="E1710" s="1"/>
      <c r="F1710" s="1"/>
      <c r="G1710" s="225">
        <f t="shared" si="11"/>
        <v>1845979.165</v>
      </c>
    </row>
    <row r="1711" spans="1:7" ht="12.75" hidden="1" customHeight="1">
      <c r="A1711" s="1"/>
      <c r="B1711" s="1"/>
      <c r="C1711" s="1"/>
      <c r="D1711" s="1"/>
      <c r="E1711" s="1"/>
      <c r="F1711" s="1"/>
      <c r="G1711" s="420"/>
    </row>
    <row r="1712" spans="1:7" ht="12.75" hidden="1" customHeight="1">
      <c r="A1712" s="1"/>
      <c r="B1712" s="1"/>
      <c r="C1712" s="1"/>
      <c r="D1712" s="1"/>
      <c r="E1712" s="1" t="s">
        <v>212</v>
      </c>
      <c r="F1712" s="1"/>
      <c r="G1712" s="225">
        <f t="shared" si="12"/>
        <v>553793.74950000003</v>
      </c>
    </row>
    <row r="1713" spans="1:7" ht="12.75" hidden="1" customHeight="1">
      <c r="A1713" s="1"/>
      <c r="B1713" s="1"/>
      <c r="C1713" s="1"/>
      <c r="D1713" s="1"/>
      <c r="E1713" s="1"/>
      <c r="F1713" s="1"/>
      <c r="G1713" s="420"/>
    </row>
    <row r="1714" spans="1:7" ht="12.75" hidden="1" customHeight="1">
      <c r="A1714" s="103" t="s">
        <v>213</v>
      </c>
      <c r="B1714" s="1"/>
      <c r="C1714" s="1"/>
      <c r="D1714" s="1" t="s">
        <v>214</v>
      </c>
      <c r="E1714" s="1"/>
      <c r="F1714" s="1"/>
      <c r="G1714" s="225">
        <f t="shared" si="13"/>
        <v>2399772.9145</v>
      </c>
    </row>
    <row r="1715" spans="1:7" ht="15" hidden="1" customHeight="1">
      <c r="A1715" s="468" t="s">
        <v>174</v>
      </c>
      <c r="B1715" s="457"/>
      <c r="C1715" s="457"/>
      <c r="D1715" s="457"/>
      <c r="E1715" s="457"/>
      <c r="F1715" s="457"/>
      <c r="G1715" s="457"/>
    </row>
    <row r="1716" spans="1:7" ht="12.75" hidden="1" customHeight="1"/>
    <row r="1717" spans="1:7" ht="12.75" hidden="1" customHeight="1">
      <c r="A1717" s="1" t="s">
        <v>175</v>
      </c>
      <c r="B1717" s="1"/>
      <c r="C1717" s="1"/>
      <c r="D1717" s="94"/>
      <c r="E1717" s="94"/>
      <c r="F1717" s="94"/>
      <c r="G1717" s="414"/>
    </row>
    <row r="1718" spans="1:7" ht="12.75" hidden="1" customHeight="1">
      <c r="A1718" s="1" t="s">
        <v>368</v>
      </c>
      <c r="B1718" s="1"/>
      <c r="C1718" s="1"/>
      <c r="D1718" s="1"/>
      <c r="F1718" s="95"/>
      <c r="G1718" s="415" t="s">
        <v>428</v>
      </c>
    </row>
    <row r="1719" spans="1:7" ht="12.75" hidden="1" customHeight="1">
      <c r="A1719" s="1"/>
      <c r="B1719" s="1"/>
      <c r="C1719" s="1"/>
      <c r="D1719" s="1"/>
      <c r="E1719" s="1"/>
      <c r="F1719" s="1"/>
      <c r="G1719" s="420"/>
    </row>
    <row r="1720" spans="1:7" ht="12.75" hidden="1" customHeight="1">
      <c r="A1720" s="99" t="s">
        <v>429</v>
      </c>
      <c r="B1720" s="100" t="s">
        <v>430</v>
      </c>
      <c r="C1720" s="100"/>
      <c r="D1720" s="100"/>
      <c r="E1720" s="100"/>
      <c r="F1720" s="100"/>
      <c r="G1720" s="138"/>
    </row>
    <row r="1721" spans="1:7" ht="12.75" hidden="1" customHeight="1">
      <c r="A1721" s="102"/>
      <c r="B1721" s="103"/>
      <c r="C1721" s="103" t="s">
        <v>179</v>
      </c>
      <c r="D1721" s="137">
        <v>0.06</v>
      </c>
      <c r="E1721" s="103" t="s">
        <v>180</v>
      </c>
      <c r="F1721" s="103" t="s">
        <v>226</v>
      </c>
      <c r="G1721" s="419"/>
    </row>
    <row r="1722" spans="1:7" ht="12.75" hidden="1" customHeight="1">
      <c r="A1722" s="1" t="s">
        <v>182</v>
      </c>
      <c r="B1722" s="1"/>
      <c r="C1722" s="1"/>
      <c r="D1722" s="1"/>
      <c r="E1722" s="1"/>
      <c r="F1722" s="1"/>
      <c r="G1722" s="420"/>
    </row>
    <row r="1723" spans="1:7" ht="12.75" hidden="1" customHeight="1">
      <c r="A1723" s="106" t="s">
        <v>111</v>
      </c>
      <c r="B1723" s="107" t="s">
        <v>183</v>
      </c>
      <c r="C1723" s="106" t="s">
        <v>184</v>
      </c>
      <c r="D1723" s="107" t="s">
        <v>185</v>
      </c>
      <c r="E1723" s="106" t="s">
        <v>186</v>
      </c>
      <c r="F1723" s="108"/>
      <c r="G1723" s="421"/>
    </row>
    <row r="1724" spans="1:7" ht="12.75" hidden="1" customHeight="1">
      <c r="A1724" s="110" t="s">
        <v>187</v>
      </c>
      <c r="B1724" s="100"/>
      <c r="C1724" s="110"/>
      <c r="D1724" s="100"/>
      <c r="E1724" s="111">
        <f t="shared" si="1"/>
        <v>40425</v>
      </c>
      <c r="F1724" s="112"/>
      <c r="G1724" s="422"/>
    </row>
    <row r="1725" spans="1:7" ht="12.75" hidden="1" customHeight="1">
      <c r="A1725" s="110"/>
      <c r="B1725" s="110"/>
      <c r="C1725" s="110"/>
      <c r="D1725" s="110"/>
      <c r="E1725" s="101"/>
      <c r="F1725" s="112"/>
      <c r="G1725" s="422"/>
    </row>
    <row r="1726" spans="1:7" ht="12.75" hidden="1" customHeight="1">
      <c r="A1726" s="110"/>
      <c r="B1726" s="110"/>
      <c r="C1726" s="110"/>
      <c r="D1726" s="110"/>
      <c r="E1726" s="101"/>
      <c r="F1726" s="112"/>
      <c r="G1726" s="422"/>
    </row>
    <row r="1727" spans="1:7" ht="12.75" hidden="1" customHeight="1">
      <c r="A1727" s="110"/>
      <c r="B1727" s="110"/>
      <c r="C1727" s="110"/>
      <c r="D1727" s="110"/>
      <c r="E1727" s="101"/>
      <c r="F1727" s="102" t="s">
        <v>189</v>
      </c>
      <c r="G1727" s="419">
        <f t="shared" si="2"/>
        <v>40425</v>
      </c>
    </row>
    <row r="1728" spans="1:7" ht="12.75" hidden="1" customHeight="1">
      <c r="A1728" s="1" t="s">
        <v>191</v>
      </c>
      <c r="B1728" s="1"/>
      <c r="C1728" s="1"/>
      <c r="D1728" s="1"/>
      <c r="E1728" s="1"/>
      <c r="F1728" s="1"/>
      <c r="G1728" s="420"/>
    </row>
    <row r="1729" spans="1:7" ht="12.75" hidden="1" customHeight="1">
      <c r="A1729" s="115" t="s">
        <v>111</v>
      </c>
      <c r="B1729" s="106" t="s">
        <v>193</v>
      </c>
      <c r="C1729" s="80" t="s">
        <v>194</v>
      </c>
      <c r="D1729" s="106" t="s">
        <v>195</v>
      </c>
      <c r="E1729" s="81" t="s">
        <v>186</v>
      </c>
      <c r="F1729" s="108"/>
      <c r="G1729" s="421"/>
    </row>
    <row r="1730" spans="1:7" ht="12.75" hidden="1" customHeight="1">
      <c r="A1730" s="110" t="s">
        <v>431</v>
      </c>
      <c r="B1730" s="106" t="s">
        <v>226</v>
      </c>
      <c r="C1730" s="133">
        <f t="shared" si="153"/>
        <v>674337.29999999993</v>
      </c>
      <c r="D1730" s="110">
        <f t="shared" si="152"/>
        <v>1.05</v>
      </c>
      <c r="E1730" s="119">
        <f t="shared" si="14"/>
        <v>708054.16499999992</v>
      </c>
      <c r="F1730" s="112"/>
      <c r="G1730" s="422"/>
    </row>
    <row r="1731" spans="1:7" ht="12.75" hidden="1" customHeight="1">
      <c r="A1731" s="63"/>
      <c r="B1731" s="123"/>
      <c r="C1731" s="63"/>
      <c r="D1731" s="63"/>
      <c r="E1731" s="101"/>
      <c r="F1731" s="112"/>
      <c r="G1731" s="422"/>
    </row>
    <row r="1732" spans="1:7" ht="12.75" hidden="1" customHeight="1">
      <c r="A1732" s="110"/>
      <c r="B1732" s="106"/>
      <c r="C1732" s="110"/>
      <c r="D1732" s="110"/>
      <c r="E1732" s="119"/>
      <c r="F1732" s="112"/>
      <c r="G1732" s="422"/>
    </row>
    <row r="1733" spans="1:7" ht="12.75" hidden="1" customHeight="1">
      <c r="A1733" s="63"/>
      <c r="B1733" s="63"/>
      <c r="C1733" s="63"/>
      <c r="D1733" s="63"/>
      <c r="E1733" s="101"/>
      <c r="F1733" s="112"/>
      <c r="G1733" s="422"/>
    </row>
    <row r="1734" spans="1:7" ht="12.75" hidden="1" customHeight="1">
      <c r="A1734" s="110"/>
      <c r="B1734" s="110"/>
      <c r="C1734" s="110"/>
      <c r="D1734" s="110"/>
      <c r="E1734" s="101"/>
      <c r="F1734" s="112"/>
      <c r="G1734" s="422"/>
    </row>
    <row r="1735" spans="1:7" ht="12.75" hidden="1" customHeight="1">
      <c r="A1735" s="110"/>
      <c r="B1735" s="110"/>
      <c r="C1735" s="110"/>
      <c r="D1735" s="110"/>
      <c r="E1735" s="101"/>
      <c r="F1735" s="112"/>
      <c r="G1735" s="422"/>
    </row>
    <row r="1736" spans="1:7" ht="12.75" hidden="1" customHeight="1">
      <c r="A1736" s="116"/>
      <c r="B1736" s="116"/>
      <c r="C1736" s="116"/>
      <c r="D1736" s="116"/>
      <c r="E1736" s="101"/>
      <c r="F1736" s="102" t="s">
        <v>189</v>
      </c>
      <c r="G1736" s="419">
        <f t="shared" si="5"/>
        <v>708054.16499999992</v>
      </c>
    </row>
    <row r="1737" spans="1:7" ht="12.75" hidden="1" customHeight="1">
      <c r="A1737" s="1" t="s">
        <v>197</v>
      </c>
      <c r="B1737" s="1"/>
      <c r="C1737" s="1"/>
      <c r="D1737" s="1"/>
      <c r="E1737" s="1"/>
      <c r="F1737" s="1"/>
      <c r="G1737" s="420"/>
    </row>
    <row r="1738" spans="1:7" ht="12.75" hidden="1" customHeight="1">
      <c r="A1738" s="117" t="s">
        <v>198</v>
      </c>
      <c r="B1738" s="117" t="s">
        <v>199</v>
      </c>
      <c r="C1738" s="117" t="s">
        <v>200</v>
      </c>
      <c r="D1738" s="117" t="s">
        <v>201</v>
      </c>
      <c r="E1738" s="81" t="s">
        <v>186</v>
      </c>
      <c r="F1738" s="108"/>
      <c r="G1738" s="421"/>
    </row>
    <row r="1739" spans="1:7" ht="12.75" hidden="1" customHeight="1">
      <c r="A1739" s="110" t="s">
        <v>243</v>
      </c>
      <c r="B1739" s="110"/>
      <c r="C1739" s="110"/>
      <c r="D1739" s="110"/>
      <c r="E1739" s="101">
        <f t="shared" si="154"/>
        <v>289000</v>
      </c>
      <c r="F1739" s="112"/>
      <c r="G1739" s="422"/>
    </row>
    <row r="1740" spans="1:7" ht="12.75" hidden="1" customHeight="1">
      <c r="A1740" s="63"/>
      <c r="B1740" s="63"/>
      <c r="C1740" s="63"/>
      <c r="D1740" s="63"/>
      <c r="E1740" s="113"/>
      <c r="F1740" s="112"/>
      <c r="G1740" s="422"/>
    </row>
    <row r="1741" spans="1:7" ht="12.75" hidden="1" customHeight="1">
      <c r="A1741" s="110"/>
      <c r="B1741" s="110"/>
      <c r="C1741" s="110"/>
      <c r="D1741" s="110"/>
      <c r="E1741" s="101"/>
      <c r="F1741" s="112"/>
      <c r="G1741" s="422"/>
    </row>
    <row r="1742" spans="1:7" ht="12.75" hidden="1" customHeight="1">
      <c r="A1742" s="110"/>
      <c r="B1742" s="110"/>
      <c r="C1742" s="110"/>
      <c r="D1742" s="110"/>
      <c r="E1742" s="101"/>
      <c r="F1742" s="112"/>
      <c r="G1742" s="422"/>
    </row>
    <row r="1743" spans="1:7" ht="12.75" hidden="1" customHeight="1">
      <c r="A1743" s="116"/>
      <c r="B1743" s="116"/>
      <c r="C1743" s="116"/>
      <c r="D1743" s="116"/>
      <c r="E1743" s="105"/>
      <c r="F1743" s="102" t="s">
        <v>189</v>
      </c>
      <c r="G1743" s="419">
        <f t="shared" si="6"/>
        <v>289000</v>
      </c>
    </row>
    <row r="1744" spans="1:7" ht="12.75" hidden="1" customHeight="1">
      <c r="A1744" s="1" t="s">
        <v>202</v>
      </c>
      <c r="B1744" s="1"/>
      <c r="C1744" s="1"/>
      <c r="D1744" s="1"/>
      <c r="E1744" s="1"/>
      <c r="F1744" s="1"/>
      <c r="G1744" s="420"/>
    </row>
    <row r="1745" spans="1:7" ht="12.75" hidden="1" customHeight="1">
      <c r="A1745" s="117" t="s">
        <v>203</v>
      </c>
      <c r="B1745" s="80" t="s">
        <v>204</v>
      </c>
      <c r="C1745" s="117" t="s">
        <v>205</v>
      </c>
      <c r="D1745" s="80" t="s">
        <v>206</v>
      </c>
      <c r="E1745" s="117" t="s">
        <v>207</v>
      </c>
      <c r="F1745" s="80" t="s">
        <v>208</v>
      </c>
      <c r="G1745" s="423"/>
    </row>
    <row r="1746" spans="1:7" ht="12.75" hidden="1" customHeight="1">
      <c r="A1746" s="110" t="s">
        <v>188</v>
      </c>
      <c r="B1746" s="100">
        <f>+B32</f>
        <v>140000</v>
      </c>
      <c r="C1746" s="110">
        <f t="shared" si="7"/>
        <v>105000</v>
      </c>
      <c r="D1746" s="100">
        <f t="shared" si="8"/>
        <v>245000</v>
      </c>
      <c r="E1746" s="110">
        <v>0.5</v>
      </c>
      <c r="F1746" s="119">
        <f t="shared" si="22"/>
        <v>490000</v>
      </c>
      <c r="G1746" s="424"/>
    </row>
    <row r="1747" spans="1:7" ht="12.75" hidden="1" customHeight="1">
      <c r="A1747" s="63" t="s">
        <v>190</v>
      </c>
      <c r="B1747" s="100">
        <f>+B33</f>
        <v>91000</v>
      </c>
      <c r="C1747" s="111">
        <f t="shared" si="7"/>
        <v>68250</v>
      </c>
      <c r="D1747" s="120">
        <f t="shared" si="8"/>
        <v>159250</v>
      </c>
      <c r="E1747" s="110">
        <v>0.5</v>
      </c>
      <c r="F1747" s="119">
        <f t="shared" si="22"/>
        <v>318500</v>
      </c>
      <c r="G1747" s="424"/>
    </row>
    <row r="1748" spans="1:7" ht="12.75" hidden="1" customHeight="1">
      <c r="A1748" s="110"/>
      <c r="B1748" s="100"/>
      <c r="C1748" s="110"/>
      <c r="D1748" s="100"/>
      <c r="E1748" s="110"/>
      <c r="F1748" s="101"/>
      <c r="G1748" s="424"/>
    </row>
    <row r="1749" spans="1:7" ht="12.75" hidden="1" customHeight="1">
      <c r="A1749" s="63"/>
      <c r="B1749" s="1"/>
      <c r="C1749" s="63"/>
      <c r="D1749" s="1"/>
      <c r="E1749" s="63"/>
      <c r="F1749" s="101"/>
      <c r="G1749" s="424"/>
    </row>
    <row r="1750" spans="1:7" ht="12.75" hidden="1" customHeight="1">
      <c r="A1750" s="110"/>
      <c r="B1750" s="100"/>
      <c r="C1750" s="110"/>
      <c r="D1750" s="100"/>
      <c r="E1750" s="110"/>
      <c r="F1750" s="101"/>
      <c r="G1750" s="424"/>
    </row>
    <row r="1751" spans="1:7" ht="12.75" hidden="1" customHeight="1">
      <c r="A1751" s="116"/>
      <c r="B1751" s="103"/>
      <c r="C1751" s="116"/>
      <c r="D1751" s="103"/>
      <c r="E1751" s="116"/>
      <c r="F1751" s="101"/>
      <c r="G1751" s="425"/>
    </row>
    <row r="1752" spans="1:7" ht="12.75" hidden="1" customHeight="1">
      <c r="A1752" s="1"/>
      <c r="B1752" s="1"/>
      <c r="C1752" s="1"/>
      <c r="D1752" s="1"/>
      <c r="E1752" s="1"/>
      <c r="F1752" s="1" t="s">
        <v>189</v>
      </c>
      <c r="G1752" s="225">
        <f t="shared" si="10"/>
        <v>808500</v>
      </c>
    </row>
    <row r="1753" spans="1:7" ht="12.75" hidden="1" customHeight="1">
      <c r="A1753" s="1"/>
      <c r="B1753" s="1"/>
      <c r="C1753" s="1"/>
      <c r="D1753" s="1"/>
      <c r="E1753" s="1"/>
      <c r="F1753" s="1"/>
      <c r="G1753" s="420"/>
    </row>
    <row r="1754" spans="1:7" ht="12.75" hidden="1" customHeight="1">
      <c r="A1754" s="103" t="s">
        <v>209</v>
      </c>
      <c r="B1754" s="1"/>
      <c r="C1754" s="1" t="s">
        <v>210</v>
      </c>
      <c r="D1754" s="1" t="s">
        <v>211</v>
      </c>
      <c r="E1754" s="1"/>
      <c r="F1754" s="1"/>
      <c r="G1754" s="225">
        <f t="shared" si="11"/>
        <v>1845979.165</v>
      </c>
    </row>
    <row r="1755" spans="1:7" ht="12.75" hidden="1" customHeight="1">
      <c r="A1755" s="1"/>
      <c r="B1755" s="1"/>
      <c r="C1755" s="1"/>
      <c r="D1755" s="1"/>
      <c r="E1755" s="1"/>
      <c r="F1755" s="1"/>
      <c r="G1755" s="420"/>
    </row>
    <row r="1756" spans="1:7" ht="12.75" hidden="1" customHeight="1">
      <c r="A1756" s="1"/>
      <c r="B1756" s="1"/>
      <c r="C1756" s="1"/>
      <c r="D1756" s="1"/>
      <c r="E1756" s="1" t="s">
        <v>212</v>
      </c>
      <c r="F1756" s="1"/>
      <c r="G1756" s="225">
        <f t="shared" si="12"/>
        <v>553793.74950000003</v>
      </c>
    </row>
    <row r="1757" spans="1:7" ht="12.75" hidden="1" customHeight="1">
      <c r="A1757" s="1"/>
      <c r="B1757" s="1"/>
      <c r="C1757" s="1"/>
      <c r="D1757" s="1"/>
      <c r="E1757" s="1"/>
      <c r="F1757" s="1"/>
      <c r="G1757" s="420"/>
    </row>
    <row r="1758" spans="1:7" ht="12.75" hidden="1" customHeight="1">
      <c r="A1758" s="103" t="s">
        <v>213</v>
      </c>
      <c r="B1758" s="1"/>
      <c r="C1758" s="1"/>
      <c r="D1758" s="1" t="s">
        <v>214</v>
      </c>
      <c r="E1758" s="1"/>
      <c r="F1758" s="1"/>
      <c r="G1758" s="225">
        <f t="shared" si="13"/>
        <v>2399772.9145</v>
      </c>
    </row>
    <row r="1759" spans="1:7" ht="15" hidden="1" customHeight="1">
      <c r="A1759" s="468" t="s">
        <v>174</v>
      </c>
      <c r="B1759" s="457"/>
      <c r="C1759" s="457"/>
      <c r="D1759" s="457"/>
      <c r="E1759" s="457"/>
      <c r="F1759" s="457"/>
      <c r="G1759" s="457"/>
    </row>
    <row r="1760" spans="1:7" ht="12.75" hidden="1" customHeight="1"/>
    <row r="1761" spans="1:9" ht="12.75" hidden="1" customHeight="1">
      <c r="A1761" s="1" t="s">
        <v>175</v>
      </c>
      <c r="B1761" s="1"/>
      <c r="C1761" s="1"/>
      <c r="D1761" s="94"/>
      <c r="E1761" s="94"/>
      <c r="F1761" s="94"/>
      <c r="G1761" s="414"/>
    </row>
    <row r="1762" spans="1:9" ht="12.75" hidden="1" customHeight="1">
      <c r="A1762" s="1" t="s">
        <v>368</v>
      </c>
      <c r="B1762" s="1"/>
      <c r="C1762" s="1"/>
      <c r="D1762" s="1"/>
      <c r="F1762" s="95" t="s">
        <v>177</v>
      </c>
      <c r="G1762" s="415">
        <f t="shared" ca="1" si="0"/>
        <v>46289</v>
      </c>
    </row>
    <row r="1763" spans="1:9" ht="12.75" hidden="1" customHeight="1">
      <c r="A1763" s="1"/>
      <c r="B1763" s="1"/>
      <c r="C1763" s="1"/>
      <c r="D1763" s="1"/>
      <c r="E1763" s="1"/>
      <c r="F1763" s="1"/>
      <c r="G1763" s="420"/>
    </row>
    <row r="1764" spans="1:9" ht="12.75" hidden="1" customHeight="1">
      <c r="A1764" s="99" t="s">
        <v>432</v>
      </c>
      <c r="B1764" s="100" t="s">
        <v>433</v>
      </c>
      <c r="C1764" s="100"/>
      <c r="D1764" s="100"/>
      <c r="E1764" s="100"/>
      <c r="F1764" s="100"/>
      <c r="G1764" s="138"/>
    </row>
    <row r="1765" spans="1:9" ht="12.75" hidden="1" customHeight="1">
      <c r="A1765" s="102"/>
      <c r="B1765" s="103"/>
      <c r="C1765" s="103" t="s">
        <v>179</v>
      </c>
      <c r="D1765" s="140">
        <v>0.12</v>
      </c>
      <c r="E1765" s="103" t="s">
        <v>180</v>
      </c>
      <c r="F1765" s="103" t="s">
        <v>226</v>
      </c>
      <c r="G1765" s="419"/>
    </row>
    <row r="1766" spans="1:9" ht="12.75" hidden="1" customHeight="1">
      <c r="A1766" s="1" t="s">
        <v>182</v>
      </c>
      <c r="B1766" s="1"/>
      <c r="C1766" s="1"/>
      <c r="D1766" s="1"/>
      <c r="E1766" s="1"/>
      <c r="F1766" s="1"/>
      <c r="G1766" s="420"/>
    </row>
    <row r="1767" spans="1:9" ht="12.75" hidden="1" customHeight="1">
      <c r="A1767" s="106" t="s">
        <v>111</v>
      </c>
      <c r="B1767" s="107" t="s">
        <v>183</v>
      </c>
      <c r="C1767" s="106" t="s">
        <v>184</v>
      </c>
      <c r="D1767" s="107" t="s">
        <v>185</v>
      </c>
      <c r="E1767" s="106" t="s">
        <v>186</v>
      </c>
      <c r="F1767" s="108"/>
      <c r="G1767" s="421"/>
    </row>
    <row r="1768" spans="1:9" ht="12.75" hidden="1" customHeight="1">
      <c r="A1768" s="110" t="s">
        <v>187</v>
      </c>
      <c r="B1768" s="100"/>
      <c r="C1768" s="110"/>
      <c r="D1768" s="100"/>
      <c r="E1768" s="111">
        <f t="shared" si="1"/>
        <v>40425</v>
      </c>
      <c r="F1768" s="112"/>
      <c r="G1768" s="422"/>
    </row>
    <row r="1769" spans="1:9" ht="12.75" hidden="1" customHeight="1">
      <c r="A1769" s="110"/>
      <c r="B1769" s="110"/>
      <c r="C1769" s="110"/>
      <c r="D1769" s="110"/>
      <c r="E1769" s="101"/>
      <c r="F1769" s="112"/>
      <c r="G1769" s="422"/>
    </row>
    <row r="1770" spans="1:9" ht="12.75" hidden="1" customHeight="1">
      <c r="A1770" s="110"/>
      <c r="B1770" s="110"/>
      <c r="C1770" s="110"/>
      <c r="D1770" s="110"/>
      <c r="E1770" s="101"/>
      <c r="F1770" s="112"/>
      <c r="G1770" s="422"/>
    </row>
    <row r="1771" spans="1:9" ht="12.75" hidden="1" customHeight="1">
      <c r="A1771" s="110"/>
      <c r="B1771" s="110"/>
      <c r="C1771" s="110"/>
      <c r="D1771" s="110"/>
      <c r="E1771" s="101"/>
      <c r="F1771" s="102" t="s">
        <v>189</v>
      </c>
      <c r="G1771" s="419">
        <f t="shared" si="2"/>
        <v>40425</v>
      </c>
    </row>
    <row r="1772" spans="1:9" ht="12.75" hidden="1" customHeight="1">
      <c r="A1772" s="1" t="s">
        <v>191</v>
      </c>
      <c r="B1772" s="1"/>
      <c r="C1772" s="1"/>
      <c r="D1772" s="1"/>
      <c r="E1772" s="1"/>
      <c r="F1772" s="1"/>
      <c r="G1772" s="420"/>
    </row>
    <row r="1773" spans="1:9" ht="12.75" hidden="1" customHeight="1">
      <c r="A1773" s="115" t="s">
        <v>111</v>
      </c>
      <c r="B1773" s="106" t="s">
        <v>193</v>
      </c>
      <c r="C1773" s="80" t="s">
        <v>194</v>
      </c>
      <c r="D1773" s="106" t="s">
        <v>195</v>
      </c>
      <c r="E1773" s="81" t="s">
        <v>186</v>
      </c>
      <c r="F1773" s="108"/>
      <c r="G1773" s="421"/>
    </row>
    <row r="1774" spans="1:9" ht="12.75" hidden="1" customHeight="1">
      <c r="A1774" s="110" t="s">
        <v>434</v>
      </c>
      <c r="B1774" s="106" t="s">
        <v>226</v>
      </c>
      <c r="C1774" s="133">
        <f t="shared" si="150"/>
        <v>773500</v>
      </c>
      <c r="D1774" s="110">
        <f t="shared" si="152"/>
        <v>1.05</v>
      </c>
      <c r="E1774" s="119">
        <f t="shared" si="14"/>
        <v>812175</v>
      </c>
      <c r="F1774" s="112"/>
      <c r="G1774" s="422"/>
      <c r="I1774" s="65"/>
    </row>
    <row r="1775" spans="1:9" ht="12.75" hidden="1" customHeight="1">
      <c r="A1775" s="63"/>
      <c r="B1775" s="123"/>
      <c r="C1775" s="63"/>
      <c r="D1775" s="63"/>
      <c r="E1775" s="101"/>
      <c r="F1775" s="112"/>
      <c r="G1775" s="422"/>
    </row>
    <row r="1776" spans="1:9" ht="12.75" hidden="1" customHeight="1">
      <c r="A1776" s="110"/>
      <c r="B1776" s="106"/>
      <c r="C1776" s="110"/>
      <c r="D1776" s="110"/>
      <c r="E1776" s="119"/>
      <c r="F1776" s="112"/>
      <c r="G1776" s="422"/>
    </row>
    <row r="1777" spans="1:7" ht="12.75" hidden="1" customHeight="1">
      <c r="A1777" s="63"/>
      <c r="B1777" s="63"/>
      <c r="C1777" s="63"/>
      <c r="D1777" s="63"/>
      <c r="E1777" s="101"/>
      <c r="F1777" s="112"/>
      <c r="G1777" s="422"/>
    </row>
    <row r="1778" spans="1:7" ht="12.75" hidden="1" customHeight="1">
      <c r="A1778" s="110"/>
      <c r="B1778" s="110"/>
      <c r="C1778" s="110"/>
      <c r="D1778" s="110"/>
      <c r="E1778" s="101"/>
      <c r="F1778" s="112"/>
      <c r="G1778" s="422"/>
    </row>
    <row r="1779" spans="1:7" ht="12.75" hidden="1" customHeight="1">
      <c r="A1779" s="110"/>
      <c r="B1779" s="110"/>
      <c r="C1779" s="110"/>
      <c r="D1779" s="110"/>
      <c r="E1779" s="101"/>
      <c r="F1779" s="112"/>
      <c r="G1779" s="422"/>
    </row>
    <row r="1780" spans="1:7" ht="12.75" hidden="1" customHeight="1">
      <c r="A1780" s="116"/>
      <c r="B1780" s="116"/>
      <c r="C1780" s="116"/>
      <c r="D1780" s="116"/>
      <c r="E1780" s="101"/>
      <c r="F1780" s="102" t="s">
        <v>189</v>
      </c>
      <c r="G1780" s="419">
        <f t="shared" si="5"/>
        <v>812175</v>
      </c>
    </row>
    <row r="1781" spans="1:7" ht="12.75" hidden="1" customHeight="1">
      <c r="A1781" s="1" t="s">
        <v>197</v>
      </c>
      <c r="B1781" s="1"/>
      <c r="C1781" s="1"/>
      <c r="D1781" s="1"/>
      <c r="E1781" s="1"/>
      <c r="F1781" s="1"/>
      <c r="G1781" s="420"/>
    </row>
    <row r="1782" spans="1:7" ht="12.75" hidden="1" customHeight="1">
      <c r="A1782" s="117" t="s">
        <v>198</v>
      </c>
      <c r="B1782" s="117" t="s">
        <v>199</v>
      </c>
      <c r="C1782" s="117" t="s">
        <v>200</v>
      </c>
      <c r="D1782" s="117" t="s">
        <v>201</v>
      </c>
      <c r="E1782" s="81" t="s">
        <v>186</v>
      </c>
      <c r="F1782" s="108"/>
      <c r="G1782" s="421"/>
    </row>
    <row r="1783" spans="1:7" ht="12.75" hidden="1" customHeight="1">
      <c r="A1783" s="110" t="s">
        <v>243</v>
      </c>
      <c r="B1783" s="110"/>
      <c r="C1783" s="110"/>
      <c r="D1783" s="110"/>
      <c r="E1783" s="101">
        <f t="shared" si="154"/>
        <v>289000</v>
      </c>
      <c r="F1783" s="112"/>
      <c r="G1783" s="422"/>
    </row>
    <row r="1784" spans="1:7" ht="12.75" hidden="1" customHeight="1">
      <c r="A1784" s="63"/>
      <c r="B1784" s="63"/>
      <c r="C1784" s="63"/>
      <c r="D1784" s="63"/>
      <c r="E1784" s="113"/>
      <c r="F1784" s="112"/>
      <c r="G1784" s="422"/>
    </row>
    <row r="1785" spans="1:7" ht="12.75" hidden="1" customHeight="1">
      <c r="A1785" s="110"/>
      <c r="B1785" s="110"/>
      <c r="C1785" s="110"/>
      <c r="D1785" s="110"/>
      <c r="E1785" s="101"/>
      <c r="F1785" s="112"/>
      <c r="G1785" s="422"/>
    </row>
    <row r="1786" spans="1:7" ht="12.75" hidden="1" customHeight="1">
      <c r="A1786" s="110"/>
      <c r="B1786" s="110"/>
      <c r="C1786" s="110"/>
      <c r="D1786" s="110"/>
      <c r="E1786" s="101"/>
      <c r="F1786" s="112"/>
      <c r="G1786" s="422"/>
    </row>
    <row r="1787" spans="1:7" ht="12.75" hidden="1" customHeight="1">
      <c r="A1787" s="116"/>
      <c r="B1787" s="116"/>
      <c r="C1787" s="116"/>
      <c r="D1787" s="116"/>
      <c r="E1787" s="105"/>
      <c r="F1787" s="102" t="s">
        <v>189</v>
      </c>
      <c r="G1787" s="419">
        <f t="shared" si="6"/>
        <v>289000</v>
      </c>
    </row>
    <row r="1788" spans="1:7" ht="12.75" hidden="1" customHeight="1">
      <c r="A1788" s="1" t="s">
        <v>202</v>
      </c>
      <c r="B1788" s="1"/>
      <c r="C1788" s="1"/>
      <c r="D1788" s="1"/>
      <c r="E1788" s="1"/>
      <c r="F1788" s="1"/>
      <c r="G1788" s="420"/>
    </row>
    <row r="1789" spans="1:7" ht="12.75" hidden="1" customHeight="1">
      <c r="A1789" s="117" t="s">
        <v>203</v>
      </c>
      <c r="B1789" s="80" t="s">
        <v>204</v>
      </c>
      <c r="C1789" s="117" t="s">
        <v>205</v>
      </c>
      <c r="D1789" s="80" t="s">
        <v>206</v>
      </c>
      <c r="E1789" s="117" t="s">
        <v>207</v>
      </c>
      <c r="F1789" s="80" t="s">
        <v>208</v>
      </c>
      <c r="G1789" s="423"/>
    </row>
    <row r="1790" spans="1:7" ht="12.75" hidden="1" customHeight="1">
      <c r="A1790" s="110" t="s">
        <v>188</v>
      </c>
      <c r="B1790" s="100">
        <f>+B32</f>
        <v>140000</v>
      </c>
      <c r="C1790" s="110">
        <f t="shared" si="7"/>
        <v>105000</v>
      </c>
      <c r="D1790" s="100">
        <f t="shared" si="8"/>
        <v>245000</v>
      </c>
      <c r="E1790" s="110">
        <v>0.5</v>
      </c>
      <c r="F1790" s="119">
        <f t="shared" si="22"/>
        <v>490000</v>
      </c>
      <c r="G1790" s="424"/>
    </row>
    <row r="1791" spans="1:7" ht="12.75" hidden="1" customHeight="1">
      <c r="A1791" s="63" t="s">
        <v>190</v>
      </c>
      <c r="B1791" s="100">
        <f>+B33</f>
        <v>91000</v>
      </c>
      <c r="C1791" s="111">
        <f t="shared" si="7"/>
        <v>68250</v>
      </c>
      <c r="D1791" s="120">
        <f t="shared" si="8"/>
        <v>159250</v>
      </c>
      <c r="E1791" s="110">
        <v>0.5</v>
      </c>
      <c r="F1791" s="119">
        <f t="shared" si="22"/>
        <v>318500</v>
      </c>
      <c r="G1791" s="424"/>
    </row>
    <row r="1792" spans="1:7" ht="12.75" hidden="1" customHeight="1">
      <c r="A1792" s="110"/>
      <c r="B1792" s="100"/>
      <c r="C1792" s="110"/>
      <c r="D1792" s="100"/>
      <c r="E1792" s="110"/>
      <c r="F1792" s="101"/>
      <c r="G1792" s="424"/>
    </row>
    <row r="1793" spans="1:7" ht="12.75" hidden="1" customHeight="1">
      <c r="A1793" s="63"/>
      <c r="B1793" s="1"/>
      <c r="C1793" s="63"/>
      <c r="D1793" s="1"/>
      <c r="E1793" s="63"/>
      <c r="F1793" s="101"/>
      <c r="G1793" s="424"/>
    </row>
    <row r="1794" spans="1:7" ht="12.75" hidden="1" customHeight="1">
      <c r="A1794" s="110"/>
      <c r="B1794" s="100"/>
      <c r="C1794" s="110"/>
      <c r="D1794" s="100"/>
      <c r="E1794" s="110"/>
      <c r="F1794" s="101"/>
      <c r="G1794" s="424"/>
    </row>
    <row r="1795" spans="1:7" ht="12.75" hidden="1" customHeight="1">
      <c r="A1795" s="116"/>
      <c r="B1795" s="103"/>
      <c r="C1795" s="116"/>
      <c r="D1795" s="103"/>
      <c r="E1795" s="116"/>
      <c r="F1795" s="101"/>
      <c r="G1795" s="425"/>
    </row>
    <row r="1796" spans="1:7" ht="12.75" hidden="1" customHeight="1">
      <c r="A1796" s="1"/>
      <c r="B1796" s="1"/>
      <c r="C1796" s="1"/>
      <c r="D1796" s="1"/>
      <c r="E1796" s="1"/>
      <c r="F1796" s="1" t="s">
        <v>189</v>
      </c>
      <c r="G1796" s="225">
        <f t="shared" si="10"/>
        <v>808500</v>
      </c>
    </row>
    <row r="1797" spans="1:7" ht="12.75" hidden="1" customHeight="1">
      <c r="A1797" s="1"/>
      <c r="B1797" s="1"/>
      <c r="C1797" s="1"/>
      <c r="D1797" s="1"/>
      <c r="E1797" s="1"/>
      <c r="F1797" s="1"/>
      <c r="G1797" s="420"/>
    </row>
    <row r="1798" spans="1:7" ht="12.75" hidden="1" customHeight="1">
      <c r="A1798" s="103" t="s">
        <v>209</v>
      </c>
      <c r="B1798" s="1"/>
      <c r="C1798" s="1" t="s">
        <v>210</v>
      </c>
      <c r="D1798" s="1" t="s">
        <v>211</v>
      </c>
      <c r="E1798" s="1"/>
      <c r="F1798" s="1"/>
      <c r="G1798" s="225">
        <f t="shared" si="11"/>
        <v>1950100</v>
      </c>
    </row>
    <row r="1799" spans="1:7" ht="12.75" hidden="1" customHeight="1">
      <c r="A1799" s="1"/>
      <c r="B1799" s="1"/>
      <c r="C1799" s="1"/>
      <c r="D1799" s="1"/>
      <c r="E1799" s="1"/>
      <c r="F1799" s="1"/>
      <c r="G1799" s="420"/>
    </row>
    <row r="1800" spans="1:7" ht="12.75" hidden="1" customHeight="1">
      <c r="A1800" s="1"/>
      <c r="B1800" s="1"/>
      <c r="C1800" s="1"/>
      <c r="D1800" s="1"/>
      <c r="E1800" s="1" t="s">
        <v>212</v>
      </c>
      <c r="F1800" s="1"/>
      <c r="G1800" s="225">
        <f t="shared" si="12"/>
        <v>585030</v>
      </c>
    </row>
    <row r="1801" spans="1:7" ht="12.75" hidden="1" customHeight="1">
      <c r="A1801" s="1"/>
      <c r="B1801" s="1"/>
      <c r="C1801" s="1"/>
      <c r="D1801" s="1"/>
      <c r="E1801" s="1"/>
      <c r="F1801" s="1"/>
      <c r="G1801" s="420"/>
    </row>
    <row r="1802" spans="1:7" ht="12.75" hidden="1" customHeight="1">
      <c r="A1802" s="103" t="s">
        <v>213</v>
      </c>
      <c r="B1802" s="1"/>
      <c r="C1802" s="1"/>
      <c r="D1802" s="1" t="s">
        <v>214</v>
      </c>
      <c r="E1802" s="1"/>
      <c r="F1802" s="1"/>
      <c r="G1802" s="225">
        <f t="shared" si="13"/>
        <v>2535130</v>
      </c>
    </row>
    <row r="1803" spans="1:7" ht="15" hidden="1" customHeight="1">
      <c r="A1803" s="468" t="s">
        <v>174</v>
      </c>
      <c r="B1803" s="457"/>
      <c r="C1803" s="457"/>
      <c r="D1803" s="457"/>
      <c r="E1803" s="457"/>
      <c r="F1803" s="457"/>
      <c r="G1803" s="457"/>
    </row>
    <row r="1804" spans="1:7" ht="12.75" hidden="1" customHeight="1">
      <c r="A1804" s="94"/>
      <c r="B1804" s="94"/>
      <c r="C1804" s="94"/>
      <c r="D1804" s="94"/>
      <c r="E1804" s="94"/>
      <c r="F1804" s="94"/>
      <c r="G1804" s="414"/>
    </row>
    <row r="1805" spans="1:7" ht="12.75" hidden="1" customHeight="1">
      <c r="A1805" s="1" t="s">
        <v>175</v>
      </c>
      <c r="B1805" s="1"/>
      <c r="C1805" s="1"/>
      <c r="D1805" s="94"/>
      <c r="E1805" s="94"/>
      <c r="F1805" s="94"/>
      <c r="G1805" s="414"/>
    </row>
    <row r="1806" spans="1:7" ht="12.75" hidden="1" customHeight="1">
      <c r="A1806" s="1" t="s">
        <v>368</v>
      </c>
      <c r="B1806" s="1"/>
      <c r="C1806" s="1"/>
      <c r="D1806" s="1"/>
      <c r="F1806" s="95" t="s">
        <v>177</v>
      </c>
      <c r="G1806" s="415">
        <f t="shared" ca="1" si="0"/>
        <v>46289</v>
      </c>
    </row>
    <row r="1807" spans="1:7" ht="12.75" hidden="1" customHeight="1">
      <c r="A1807" s="1"/>
      <c r="B1807" s="1"/>
      <c r="C1807" s="1"/>
      <c r="D1807" s="1"/>
      <c r="E1807" s="1"/>
      <c r="F1807" s="1"/>
      <c r="G1807" s="420"/>
    </row>
    <row r="1808" spans="1:7" ht="12.75" hidden="1" customHeight="1">
      <c r="A1808" s="99" t="s">
        <v>435</v>
      </c>
      <c r="B1808" s="100" t="s">
        <v>436</v>
      </c>
      <c r="C1808" s="100"/>
      <c r="D1808" s="100"/>
      <c r="E1808" s="100"/>
      <c r="F1808" s="100"/>
      <c r="G1808" s="138"/>
    </row>
    <row r="1809" spans="1:7" ht="12.75" hidden="1" customHeight="1">
      <c r="A1809" s="102"/>
      <c r="B1809" s="103"/>
      <c r="C1809" s="103" t="s">
        <v>179</v>
      </c>
      <c r="D1809" s="103">
        <v>1</v>
      </c>
      <c r="E1809" s="103" t="s">
        <v>180</v>
      </c>
      <c r="F1809" s="103" t="s">
        <v>262</v>
      </c>
      <c r="G1809" s="419"/>
    </row>
    <row r="1810" spans="1:7" ht="12.75" hidden="1" customHeight="1">
      <c r="A1810" s="1" t="s">
        <v>182</v>
      </c>
      <c r="B1810" s="1"/>
      <c r="C1810" s="1"/>
      <c r="D1810" s="1"/>
      <c r="E1810" s="1"/>
      <c r="F1810" s="1"/>
      <c r="G1810" s="420"/>
    </row>
    <row r="1811" spans="1:7" ht="12.75" hidden="1" customHeight="1">
      <c r="A1811" s="106" t="s">
        <v>111</v>
      </c>
      <c r="B1811" s="107" t="s">
        <v>183</v>
      </c>
      <c r="C1811" s="106" t="s">
        <v>184</v>
      </c>
      <c r="D1811" s="107" t="s">
        <v>185</v>
      </c>
      <c r="E1811" s="106" t="s">
        <v>186</v>
      </c>
      <c r="F1811" s="108"/>
      <c r="G1811" s="421"/>
    </row>
    <row r="1812" spans="1:7" ht="12.75" hidden="1" customHeight="1">
      <c r="A1812" s="110" t="s">
        <v>187</v>
      </c>
      <c r="B1812" s="100"/>
      <c r="C1812" s="110"/>
      <c r="D1812" s="100"/>
      <c r="E1812" s="111">
        <f t="shared" si="1"/>
        <v>10106.25</v>
      </c>
      <c r="F1812" s="112"/>
      <c r="G1812" s="422"/>
    </row>
    <row r="1813" spans="1:7" ht="12.75" hidden="1" customHeight="1">
      <c r="A1813" s="110"/>
      <c r="B1813" s="110"/>
      <c r="C1813" s="110"/>
      <c r="D1813" s="110"/>
      <c r="E1813" s="101"/>
      <c r="F1813" s="112"/>
      <c r="G1813" s="422"/>
    </row>
    <row r="1814" spans="1:7" ht="12.75" hidden="1" customHeight="1">
      <c r="A1814" s="110"/>
      <c r="B1814" s="110"/>
      <c r="C1814" s="110"/>
      <c r="D1814" s="110"/>
      <c r="E1814" s="101"/>
      <c r="F1814" s="112"/>
      <c r="G1814" s="422"/>
    </row>
    <row r="1815" spans="1:7" ht="12.75" hidden="1" customHeight="1">
      <c r="A1815" s="110"/>
      <c r="B1815" s="110"/>
      <c r="C1815" s="110"/>
      <c r="D1815" s="110"/>
      <c r="E1815" s="101"/>
      <c r="F1815" s="102" t="s">
        <v>189</v>
      </c>
      <c r="G1815" s="419">
        <f t="shared" si="2"/>
        <v>10106.25</v>
      </c>
    </row>
    <row r="1816" spans="1:7" ht="12.75" hidden="1" customHeight="1">
      <c r="A1816" s="1" t="s">
        <v>191</v>
      </c>
      <c r="B1816" s="1"/>
      <c r="C1816" s="1"/>
      <c r="D1816" s="1"/>
      <c r="E1816" s="1"/>
      <c r="F1816" s="1"/>
      <c r="G1816" s="420"/>
    </row>
    <row r="1817" spans="1:7" ht="12.75" hidden="1" customHeight="1">
      <c r="A1817" s="115" t="s">
        <v>111</v>
      </c>
      <c r="B1817" s="106" t="s">
        <v>193</v>
      </c>
      <c r="C1817" s="80" t="s">
        <v>194</v>
      </c>
      <c r="D1817" s="106" t="s">
        <v>195</v>
      </c>
      <c r="E1817" s="81" t="s">
        <v>186</v>
      </c>
      <c r="F1817" s="108"/>
      <c r="G1817" s="421"/>
    </row>
    <row r="1818" spans="1:7" ht="12.75" hidden="1" customHeight="1">
      <c r="A1818" s="110" t="s">
        <v>437</v>
      </c>
      <c r="B1818" s="106" t="s">
        <v>193</v>
      </c>
      <c r="C1818" s="111">
        <f>450000*1.19</f>
        <v>535500</v>
      </c>
      <c r="D1818" s="110">
        <v>1</v>
      </c>
      <c r="E1818" s="119">
        <f t="shared" si="14"/>
        <v>535500</v>
      </c>
      <c r="F1818" s="112"/>
      <c r="G1818" s="422"/>
    </row>
    <row r="1819" spans="1:7" ht="12.75" hidden="1" customHeight="1">
      <c r="A1819" s="110" t="s">
        <v>438</v>
      </c>
      <c r="B1819" s="123" t="s">
        <v>193</v>
      </c>
      <c r="C1819" s="133">
        <f>5000*1.19</f>
        <v>5950</v>
      </c>
      <c r="D1819" s="63">
        <v>2</v>
      </c>
      <c r="E1819" s="119">
        <f t="shared" si="14"/>
        <v>11900</v>
      </c>
      <c r="F1819" s="112"/>
      <c r="G1819" s="422"/>
    </row>
    <row r="1820" spans="1:7" ht="12.75" hidden="1" customHeight="1">
      <c r="A1820" s="110" t="s">
        <v>272</v>
      </c>
      <c r="B1820" s="106" t="s">
        <v>220</v>
      </c>
      <c r="C1820" s="110">
        <v>1000</v>
      </c>
      <c r="D1820" s="110">
        <v>1</v>
      </c>
      <c r="E1820" s="119">
        <f t="shared" si="14"/>
        <v>1000</v>
      </c>
      <c r="F1820" s="112"/>
      <c r="G1820" s="422"/>
    </row>
    <row r="1821" spans="1:7" ht="12.75" hidden="1" customHeight="1">
      <c r="A1821" s="110"/>
      <c r="B1821" s="110"/>
      <c r="C1821" s="110"/>
      <c r="D1821" s="110"/>
      <c r="E1821" s="101"/>
      <c r="F1821" s="112"/>
      <c r="G1821" s="422"/>
    </row>
    <row r="1822" spans="1:7" ht="12.75" hidden="1" customHeight="1">
      <c r="A1822" s="110"/>
      <c r="B1822" s="110"/>
      <c r="C1822" s="110"/>
      <c r="D1822" s="110"/>
      <c r="E1822" s="101"/>
      <c r="F1822" s="112"/>
      <c r="G1822" s="422"/>
    </row>
    <row r="1823" spans="1:7" ht="12.75" hidden="1" customHeight="1">
      <c r="A1823" s="110"/>
      <c r="B1823" s="110"/>
      <c r="C1823" s="110"/>
      <c r="D1823" s="110"/>
      <c r="E1823" s="101"/>
      <c r="F1823" s="112"/>
      <c r="G1823" s="422"/>
    </row>
    <row r="1824" spans="1:7" ht="12.75" hidden="1" customHeight="1">
      <c r="A1824" s="116"/>
      <c r="B1824" s="116"/>
      <c r="C1824" s="116"/>
      <c r="D1824" s="116"/>
      <c r="E1824" s="101"/>
      <c r="F1824" s="102" t="s">
        <v>189</v>
      </c>
      <c r="G1824" s="419">
        <f t="shared" ref="G1824:G1956" si="155">E1818+E1819+E1820+E1821+E1822+E1823</f>
        <v>548400</v>
      </c>
    </row>
    <row r="1825" spans="1:7" ht="12.75" hidden="1" customHeight="1">
      <c r="A1825" s="1" t="s">
        <v>197</v>
      </c>
      <c r="B1825" s="1"/>
      <c r="C1825" s="1"/>
      <c r="D1825" s="1"/>
      <c r="E1825" s="1"/>
      <c r="F1825" s="1"/>
      <c r="G1825" s="420"/>
    </row>
    <row r="1826" spans="1:7" ht="12.75" hidden="1" customHeight="1">
      <c r="A1826" s="117" t="s">
        <v>198</v>
      </c>
      <c r="B1826" s="117" t="s">
        <v>199</v>
      </c>
      <c r="C1826" s="117" t="s">
        <v>200</v>
      </c>
      <c r="D1826" s="117" t="s">
        <v>201</v>
      </c>
      <c r="E1826" s="81" t="s">
        <v>186</v>
      </c>
      <c r="F1826" s="108"/>
      <c r="G1826" s="421"/>
    </row>
    <row r="1827" spans="1:7" ht="12.75" hidden="1" customHeight="1">
      <c r="A1827" s="110" t="s">
        <v>243</v>
      </c>
      <c r="B1827" s="110"/>
      <c r="C1827" s="110"/>
      <c r="D1827" s="110"/>
      <c r="E1827" s="101">
        <v>100000</v>
      </c>
      <c r="F1827" s="112"/>
      <c r="G1827" s="422"/>
    </row>
    <row r="1828" spans="1:7" ht="12.75" hidden="1" customHeight="1">
      <c r="A1828" s="63"/>
      <c r="B1828" s="63"/>
      <c r="C1828" s="63"/>
      <c r="D1828" s="63"/>
      <c r="E1828" s="113"/>
      <c r="F1828" s="112"/>
      <c r="G1828" s="422"/>
    </row>
    <row r="1829" spans="1:7" ht="12.75" hidden="1" customHeight="1">
      <c r="A1829" s="110"/>
      <c r="B1829" s="110"/>
      <c r="C1829" s="110"/>
      <c r="D1829" s="110"/>
      <c r="E1829" s="101"/>
      <c r="F1829" s="112"/>
      <c r="G1829" s="422"/>
    </row>
    <row r="1830" spans="1:7" ht="12.75" hidden="1" customHeight="1">
      <c r="A1830" s="110"/>
      <c r="B1830" s="110"/>
      <c r="C1830" s="110"/>
      <c r="D1830" s="110"/>
      <c r="E1830" s="101"/>
      <c r="F1830" s="112"/>
      <c r="G1830" s="422"/>
    </row>
    <row r="1831" spans="1:7" ht="12.75" hidden="1" customHeight="1">
      <c r="A1831" s="116"/>
      <c r="B1831" s="116"/>
      <c r="C1831" s="116"/>
      <c r="D1831" s="116"/>
      <c r="E1831" s="105"/>
      <c r="F1831" s="102" t="s">
        <v>189</v>
      </c>
      <c r="G1831" s="419">
        <f t="shared" si="6"/>
        <v>100000</v>
      </c>
    </row>
    <row r="1832" spans="1:7" ht="12.75" hidden="1" customHeight="1">
      <c r="A1832" s="1" t="s">
        <v>202</v>
      </c>
      <c r="B1832" s="1"/>
      <c r="C1832" s="1"/>
      <c r="D1832" s="1"/>
      <c r="E1832" s="1"/>
      <c r="F1832" s="1"/>
      <c r="G1832" s="420"/>
    </row>
    <row r="1833" spans="1:7" ht="12.75" hidden="1" customHeight="1">
      <c r="A1833" s="117" t="s">
        <v>203</v>
      </c>
      <c r="B1833" s="80" t="s">
        <v>204</v>
      </c>
      <c r="C1833" s="117" t="s">
        <v>205</v>
      </c>
      <c r="D1833" s="80" t="s">
        <v>206</v>
      </c>
      <c r="E1833" s="117" t="s">
        <v>207</v>
      </c>
      <c r="F1833" s="80" t="s">
        <v>208</v>
      </c>
      <c r="G1833" s="423"/>
    </row>
    <row r="1834" spans="1:7" ht="12.75" hidden="1" customHeight="1">
      <c r="A1834" s="110" t="s">
        <v>188</v>
      </c>
      <c r="B1834" s="100">
        <f>+B32</f>
        <v>140000</v>
      </c>
      <c r="C1834" s="110">
        <f t="shared" si="7"/>
        <v>105000</v>
      </c>
      <c r="D1834" s="100">
        <f t="shared" si="8"/>
        <v>245000</v>
      </c>
      <c r="E1834" s="110">
        <v>2</v>
      </c>
      <c r="F1834" s="119">
        <f t="shared" si="22"/>
        <v>122500</v>
      </c>
      <c r="G1834" s="424"/>
    </row>
    <row r="1835" spans="1:7" ht="12.75" hidden="1" customHeight="1">
      <c r="A1835" s="63" t="s">
        <v>190</v>
      </c>
      <c r="B1835" s="100">
        <f>+B33</f>
        <v>91000</v>
      </c>
      <c r="C1835" s="111">
        <f t="shared" si="7"/>
        <v>68250</v>
      </c>
      <c r="D1835" s="120">
        <f t="shared" si="8"/>
        <v>159250</v>
      </c>
      <c r="E1835" s="110">
        <v>2</v>
      </c>
      <c r="F1835" s="119">
        <f t="shared" si="22"/>
        <v>79625</v>
      </c>
      <c r="G1835" s="424"/>
    </row>
    <row r="1836" spans="1:7" ht="12.75" hidden="1" customHeight="1">
      <c r="A1836" s="110"/>
      <c r="B1836" s="100"/>
      <c r="C1836" s="110"/>
      <c r="D1836" s="100"/>
      <c r="E1836" s="110"/>
      <c r="F1836" s="101"/>
      <c r="G1836" s="424"/>
    </row>
    <row r="1837" spans="1:7" ht="12.75" hidden="1" customHeight="1">
      <c r="A1837" s="63"/>
      <c r="B1837" s="1"/>
      <c r="C1837" s="63"/>
      <c r="D1837" s="1"/>
      <c r="E1837" s="63"/>
      <c r="F1837" s="101"/>
      <c r="G1837" s="424"/>
    </row>
    <row r="1838" spans="1:7" ht="12.75" hidden="1" customHeight="1">
      <c r="A1838" s="110"/>
      <c r="B1838" s="100"/>
      <c r="C1838" s="110"/>
      <c r="D1838" s="100"/>
      <c r="E1838" s="110"/>
      <c r="F1838" s="101"/>
      <c r="G1838" s="424"/>
    </row>
    <row r="1839" spans="1:7" ht="12.75" hidden="1" customHeight="1">
      <c r="A1839" s="116"/>
      <c r="B1839" s="103"/>
      <c r="C1839" s="116"/>
      <c r="D1839" s="103"/>
      <c r="E1839" s="116"/>
      <c r="F1839" s="101"/>
      <c r="G1839" s="425"/>
    </row>
    <row r="1840" spans="1:7" ht="12.75" hidden="1" customHeight="1">
      <c r="A1840" s="1"/>
      <c r="B1840" s="1"/>
      <c r="C1840" s="1"/>
      <c r="D1840" s="1"/>
      <c r="E1840" s="1"/>
      <c r="F1840" s="1" t="s">
        <v>189</v>
      </c>
      <c r="G1840" s="225">
        <f t="shared" si="10"/>
        <v>202125</v>
      </c>
    </row>
    <row r="1841" spans="1:7" ht="12.75" hidden="1" customHeight="1">
      <c r="A1841" s="1"/>
      <c r="B1841" s="1"/>
      <c r="C1841" s="1"/>
      <c r="D1841" s="1"/>
      <c r="E1841" s="1"/>
      <c r="F1841" s="1"/>
      <c r="G1841" s="420"/>
    </row>
    <row r="1842" spans="1:7" ht="12.75" hidden="1" customHeight="1">
      <c r="A1842" s="103" t="s">
        <v>209</v>
      </c>
      <c r="B1842" s="1"/>
      <c r="C1842" s="1" t="s">
        <v>210</v>
      </c>
      <c r="D1842" s="1" t="s">
        <v>211</v>
      </c>
      <c r="E1842" s="1"/>
      <c r="F1842" s="1"/>
      <c r="G1842" s="225">
        <f t="shared" si="11"/>
        <v>860631.25</v>
      </c>
    </row>
    <row r="1843" spans="1:7" ht="12.75" hidden="1" customHeight="1">
      <c r="A1843" s="1"/>
      <c r="B1843" s="1"/>
      <c r="C1843" s="1"/>
      <c r="D1843" s="1"/>
      <c r="E1843" s="1"/>
      <c r="F1843" s="1"/>
      <c r="G1843" s="420"/>
    </row>
    <row r="1844" spans="1:7" ht="12.75" hidden="1" customHeight="1">
      <c r="A1844" s="1"/>
      <c r="B1844" s="1"/>
      <c r="C1844" s="1"/>
      <c r="D1844" s="1"/>
      <c r="E1844" s="1" t="s">
        <v>212</v>
      </c>
      <c r="F1844" s="1"/>
      <c r="G1844" s="225">
        <f t="shared" si="12"/>
        <v>258189.375</v>
      </c>
    </row>
    <row r="1845" spans="1:7" ht="12.75" hidden="1" customHeight="1">
      <c r="A1845" s="1"/>
      <c r="B1845" s="1"/>
      <c r="C1845" s="1"/>
      <c r="D1845" s="1"/>
      <c r="E1845" s="1"/>
      <c r="F1845" s="1"/>
      <c r="G1845" s="420"/>
    </row>
    <row r="1846" spans="1:7" ht="12.75" hidden="1" customHeight="1">
      <c r="A1846" s="103" t="s">
        <v>213</v>
      </c>
      <c r="B1846" s="1"/>
      <c r="C1846" s="1"/>
      <c r="D1846" s="1" t="s">
        <v>214</v>
      </c>
      <c r="E1846" s="1"/>
      <c r="F1846" s="1"/>
      <c r="G1846" s="225">
        <f t="shared" si="13"/>
        <v>1118820.625</v>
      </c>
    </row>
    <row r="1847" spans="1:7" ht="15" hidden="1" customHeight="1">
      <c r="A1847" s="468" t="s">
        <v>174</v>
      </c>
      <c r="B1847" s="457"/>
      <c r="C1847" s="457"/>
      <c r="D1847" s="457"/>
      <c r="E1847" s="457"/>
      <c r="F1847" s="457"/>
      <c r="G1847" s="457"/>
    </row>
    <row r="1848" spans="1:7" ht="12.75" hidden="1" customHeight="1">
      <c r="A1848" s="77"/>
      <c r="B1848" s="77"/>
      <c r="C1848" s="77"/>
      <c r="D1848" s="77"/>
      <c r="E1848" s="77"/>
      <c r="F1848" s="77"/>
    </row>
    <row r="1849" spans="1:7" ht="12.75" hidden="1" customHeight="1">
      <c r="A1849" s="1" t="s">
        <v>175</v>
      </c>
      <c r="B1849" s="1"/>
      <c r="C1849" s="1"/>
      <c r="D1849" s="94"/>
      <c r="E1849" s="94"/>
      <c r="F1849" s="94"/>
      <c r="G1849" s="414"/>
    </row>
    <row r="1850" spans="1:7" ht="12.75" hidden="1" customHeight="1">
      <c r="A1850" s="1" t="s">
        <v>368</v>
      </c>
      <c r="B1850" s="1"/>
      <c r="C1850" s="1"/>
      <c r="D1850" s="1"/>
      <c r="F1850" s="95" t="s">
        <v>177</v>
      </c>
      <c r="G1850" s="415">
        <f t="shared" ca="1" si="0"/>
        <v>46289</v>
      </c>
    </row>
    <row r="1851" spans="1:7" ht="12.75" hidden="1" customHeight="1">
      <c r="A1851" s="1"/>
      <c r="B1851" s="1"/>
      <c r="C1851" s="1"/>
      <c r="D1851" s="1"/>
      <c r="E1851" s="1"/>
      <c r="F1851" s="1"/>
      <c r="G1851" s="420"/>
    </row>
    <row r="1852" spans="1:7" ht="12.75" hidden="1" customHeight="1">
      <c r="A1852" s="99" t="s">
        <v>439</v>
      </c>
      <c r="B1852" s="100" t="s">
        <v>440</v>
      </c>
      <c r="C1852" s="100"/>
      <c r="D1852" s="100"/>
      <c r="E1852" s="100"/>
      <c r="F1852" s="100"/>
      <c r="G1852" s="138"/>
    </row>
    <row r="1853" spans="1:7" ht="12.75" hidden="1" customHeight="1">
      <c r="A1853" s="102"/>
      <c r="B1853" s="103"/>
      <c r="C1853" s="103" t="s">
        <v>179</v>
      </c>
      <c r="D1853" s="103">
        <v>1</v>
      </c>
      <c r="E1853" s="103" t="s">
        <v>180</v>
      </c>
      <c r="F1853" s="103" t="s">
        <v>262</v>
      </c>
      <c r="G1853" s="419"/>
    </row>
    <row r="1854" spans="1:7" ht="12.75" hidden="1" customHeight="1">
      <c r="A1854" s="1" t="s">
        <v>182</v>
      </c>
      <c r="B1854" s="1"/>
      <c r="C1854" s="1"/>
      <c r="D1854" s="1"/>
      <c r="E1854" s="1"/>
      <c r="F1854" s="1"/>
      <c r="G1854" s="420"/>
    </row>
    <row r="1855" spans="1:7" ht="12.75" hidden="1" customHeight="1">
      <c r="A1855" s="106" t="s">
        <v>111</v>
      </c>
      <c r="B1855" s="107" t="s">
        <v>183</v>
      </c>
      <c r="C1855" s="106" t="s">
        <v>184</v>
      </c>
      <c r="D1855" s="107" t="s">
        <v>185</v>
      </c>
      <c r="E1855" s="106" t="s">
        <v>186</v>
      </c>
      <c r="F1855" s="108"/>
      <c r="G1855" s="421"/>
    </row>
    <row r="1856" spans="1:7" ht="12.75" hidden="1" customHeight="1">
      <c r="A1856" s="110" t="s">
        <v>187</v>
      </c>
      <c r="B1856" s="100"/>
      <c r="C1856" s="110"/>
      <c r="D1856" s="100"/>
      <c r="E1856" s="111">
        <f t="shared" si="1"/>
        <v>6737.5</v>
      </c>
      <c r="F1856" s="112"/>
      <c r="G1856" s="422"/>
    </row>
    <row r="1857" spans="1:7" ht="12.75" hidden="1" customHeight="1">
      <c r="A1857" s="110"/>
      <c r="B1857" s="110"/>
      <c r="C1857" s="110"/>
      <c r="D1857" s="110"/>
      <c r="E1857" s="101"/>
      <c r="F1857" s="112"/>
      <c r="G1857" s="422"/>
    </row>
    <row r="1858" spans="1:7" ht="12.75" hidden="1" customHeight="1">
      <c r="A1858" s="110"/>
      <c r="B1858" s="110"/>
      <c r="C1858" s="110"/>
      <c r="D1858" s="110"/>
      <c r="E1858" s="101"/>
      <c r="F1858" s="112"/>
      <c r="G1858" s="422"/>
    </row>
    <row r="1859" spans="1:7" ht="12.75" hidden="1" customHeight="1">
      <c r="A1859" s="110"/>
      <c r="B1859" s="110"/>
      <c r="C1859" s="110"/>
      <c r="D1859" s="110"/>
      <c r="E1859" s="101"/>
      <c r="F1859" s="102" t="s">
        <v>189</v>
      </c>
      <c r="G1859" s="419">
        <f t="shared" si="2"/>
        <v>6737.5</v>
      </c>
    </row>
    <row r="1860" spans="1:7" ht="12.75" hidden="1" customHeight="1">
      <c r="A1860" s="1" t="s">
        <v>191</v>
      </c>
      <c r="B1860" s="1"/>
      <c r="C1860" s="1"/>
      <c r="D1860" s="1"/>
      <c r="E1860" s="1"/>
      <c r="F1860" s="1"/>
      <c r="G1860" s="420"/>
    </row>
    <row r="1861" spans="1:7" ht="12.75" hidden="1" customHeight="1">
      <c r="A1861" s="115" t="s">
        <v>111</v>
      </c>
      <c r="B1861" s="106" t="s">
        <v>193</v>
      </c>
      <c r="C1861" s="80" t="s">
        <v>194</v>
      </c>
      <c r="D1861" s="106" t="s">
        <v>195</v>
      </c>
      <c r="E1861" s="81" t="s">
        <v>186</v>
      </c>
      <c r="F1861" s="108"/>
      <c r="G1861" s="421"/>
    </row>
    <row r="1862" spans="1:7" ht="12.75" hidden="1" customHeight="1">
      <c r="A1862" s="110" t="s">
        <v>441</v>
      </c>
      <c r="B1862" s="106" t="s">
        <v>193</v>
      </c>
      <c r="C1862" s="111">
        <f>355635*1.19</f>
        <v>423205.64999999997</v>
      </c>
      <c r="D1862" s="110">
        <v>1</v>
      </c>
      <c r="E1862" s="119">
        <f t="shared" si="14"/>
        <v>423205.64999999997</v>
      </c>
      <c r="F1862" s="112"/>
      <c r="G1862" s="422"/>
    </row>
    <row r="1863" spans="1:7" ht="12.75" hidden="1" customHeight="1">
      <c r="A1863" s="110" t="s">
        <v>272</v>
      </c>
      <c r="B1863" s="106" t="s">
        <v>220</v>
      </c>
      <c r="C1863" s="110">
        <v>1000</v>
      </c>
      <c r="D1863" s="110">
        <v>1</v>
      </c>
      <c r="E1863" s="119">
        <f t="shared" si="14"/>
        <v>1000</v>
      </c>
      <c r="F1863" s="112"/>
      <c r="G1863" s="422"/>
    </row>
    <row r="1864" spans="1:7" ht="12.75" hidden="1" customHeight="1">
      <c r="A1864" s="110"/>
      <c r="B1864" s="106"/>
      <c r="C1864" s="110"/>
      <c r="D1864" s="110"/>
      <c r="E1864" s="119"/>
      <c r="F1864" s="112"/>
      <c r="G1864" s="422"/>
    </row>
    <row r="1865" spans="1:7" ht="12.75" hidden="1" customHeight="1">
      <c r="A1865" s="110"/>
      <c r="B1865" s="110"/>
      <c r="C1865" s="110"/>
      <c r="D1865" s="110"/>
      <c r="E1865" s="101"/>
      <c r="F1865" s="112"/>
      <c r="G1865" s="422"/>
    </row>
    <row r="1866" spans="1:7" ht="12.75" hidden="1" customHeight="1">
      <c r="A1866" s="110"/>
      <c r="B1866" s="110"/>
      <c r="C1866" s="110"/>
      <c r="D1866" s="110"/>
      <c r="E1866" s="101"/>
      <c r="F1866" s="112"/>
      <c r="G1866" s="422"/>
    </row>
    <row r="1867" spans="1:7" ht="12.75" hidden="1" customHeight="1">
      <c r="A1867" s="110"/>
      <c r="B1867" s="110"/>
      <c r="C1867" s="110"/>
      <c r="D1867" s="110"/>
      <c r="E1867" s="101"/>
      <c r="F1867" s="112"/>
      <c r="G1867" s="422"/>
    </row>
    <row r="1868" spans="1:7" ht="12.75" hidden="1" customHeight="1">
      <c r="A1868" s="116"/>
      <c r="B1868" s="116"/>
      <c r="C1868" s="116"/>
      <c r="D1868" s="116"/>
      <c r="E1868" s="101"/>
      <c r="F1868" s="102" t="s">
        <v>189</v>
      </c>
      <c r="G1868" s="419">
        <f t="shared" si="155"/>
        <v>424205.64999999997</v>
      </c>
    </row>
    <row r="1869" spans="1:7" ht="12.75" hidden="1" customHeight="1">
      <c r="A1869" s="1" t="s">
        <v>197</v>
      </c>
      <c r="B1869" s="1"/>
      <c r="C1869" s="1"/>
      <c r="D1869" s="1"/>
      <c r="E1869" s="1"/>
      <c r="F1869" s="1"/>
      <c r="G1869" s="420"/>
    </row>
    <row r="1870" spans="1:7" ht="12.75" hidden="1" customHeight="1">
      <c r="A1870" s="117" t="s">
        <v>198</v>
      </c>
      <c r="B1870" s="117" t="s">
        <v>199</v>
      </c>
      <c r="C1870" s="117" t="s">
        <v>200</v>
      </c>
      <c r="D1870" s="117" t="s">
        <v>201</v>
      </c>
      <c r="E1870" s="81" t="s">
        <v>186</v>
      </c>
      <c r="F1870" s="108"/>
      <c r="G1870" s="421"/>
    </row>
    <row r="1871" spans="1:7" ht="12.75" hidden="1" customHeight="1">
      <c r="A1871" s="110" t="s">
        <v>243</v>
      </c>
      <c r="B1871" s="110"/>
      <c r="C1871" s="110"/>
      <c r="D1871" s="110"/>
      <c r="E1871" s="101">
        <v>30000</v>
      </c>
      <c r="F1871" s="112"/>
      <c r="G1871" s="422"/>
    </row>
    <row r="1872" spans="1:7" ht="12.75" hidden="1" customHeight="1">
      <c r="A1872" s="63"/>
      <c r="B1872" s="63"/>
      <c r="C1872" s="63"/>
      <c r="D1872" s="63"/>
      <c r="E1872" s="113"/>
      <c r="F1872" s="112"/>
      <c r="G1872" s="422"/>
    </row>
    <row r="1873" spans="1:7" ht="12.75" hidden="1" customHeight="1">
      <c r="A1873" s="110"/>
      <c r="B1873" s="110"/>
      <c r="C1873" s="110"/>
      <c r="D1873" s="110"/>
      <c r="E1873" s="101"/>
      <c r="F1873" s="112"/>
      <c r="G1873" s="422"/>
    </row>
    <row r="1874" spans="1:7" ht="12.75" hidden="1" customHeight="1">
      <c r="A1874" s="110"/>
      <c r="B1874" s="110"/>
      <c r="C1874" s="110"/>
      <c r="D1874" s="110"/>
      <c r="E1874" s="101"/>
      <c r="F1874" s="112"/>
      <c r="G1874" s="422"/>
    </row>
    <row r="1875" spans="1:7" ht="12.75" hidden="1" customHeight="1">
      <c r="A1875" s="116"/>
      <c r="B1875" s="116"/>
      <c r="C1875" s="116"/>
      <c r="D1875" s="116"/>
      <c r="E1875" s="105"/>
      <c r="F1875" s="102" t="s">
        <v>189</v>
      </c>
      <c r="G1875" s="419">
        <f t="shared" si="6"/>
        <v>30000</v>
      </c>
    </row>
    <row r="1876" spans="1:7" ht="12.75" hidden="1" customHeight="1">
      <c r="A1876" s="1" t="s">
        <v>202</v>
      </c>
      <c r="B1876" s="1"/>
      <c r="C1876" s="1"/>
      <c r="D1876" s="1"/>
      <c r="E1876" s="1"/>
      <c r="F1876" s="1"/>
      <c r="G1876" s="420"/>
    </row>
    <row r="1877" spans="1:7" ht="12.75" hidden="1" customHeight="1">
      <c r="A1877" s="117" t="s">
        <v>203</v>
      </c>
      <c r="B1877" s="80" t="s">
        <v>204</v>
      </c>
      <c r="C1877" s="117" t="s">
        <v>205</v>
      </c>
      <c r="D1877" s="80" t="s">
        <v>206</v>
      </c>
      <c r="E1877" s="117" t="s">
        <v>207</v>
      </c>
      <c r="F1877" s="80" t="s">
        <v>208</v>
      </c>
      <c r="G1877" s="423"/>
    </row>
    <row r="1878" spans="1:7" ht="12.75" hidden="1" customHeight="1">
      <c r="A1878" s="110" t="s">
        <v>188</v>
      </c>
      <c r="B1878" s="100">
        <f>+B32</f>
        <v>140000</v>
      </c>
      <c r="C1878" s="110">
        <f t="shared" si="7"/>
        <v>105000</v>
      </c>
      <c r="D1878" s="100">
        <f t="shared" si="8"/>
        <v>245000</v>
      </c>
      <c r="E1878" s="110">
        <v>3</v>
      </c>
      <c r="F1878" s="119">
        <f t="shared" si="22"/>
        <v>81666.666666666672</v>
      </c>
      <c r="G1878" s="424"/>
    </row>
    <row r="1879" spans="1:7" ht="12.75" hidden="1" customHeight="1">
      <c r="A1879" s="63" t="s">
        <v>190</v>
      </c>
      <c r="B1879" s="100">
        <f>+B33</f>
        <v>91000</v>
      </c>
      <c r="C1879" s="111">
        <f t="shared" si="7"/>
        <v>68250</v>
      </c>
      <c r="D1879" s="120">
        <f t="shared" si="8"/>
        <v>159250</v>
      </c>
      <c r="E1879" s="110">
        <v>3</v>
      </c>
      <c r="F1879" s="119">
        <f t="shared" si="22"/>
        <v>53083.333333333336</v>
      </c>
      <c r="G1879" s="424"/>
    </row>
    <row r="1880" spans="1:7" ht="12.75" hidden="1" customHeight="1">
      <c r="A1880" s="110"/>
      <c r="B1880" s="100"/>
      <c r="C1880" s="110"/>
      <c r="D1880" s="100"/>
      <c r="E1880" s="110"/>
      <c r="F1880" s="101"/>
      <c r="G1880" s="424"/>
    </row>
    <row r="1881" spans="1:7" ht="12.75" hidden="1" customHeight="1">
      <c r="A1881" s="63"/>
      <c r="B1881" s="1"/>
      <c r="C1881" s="63"/>
      <c r="D1881" s="1"/>
      <c r="E1881" s="63"/>
      <c r="F1881" s="101"/>
      <c r="G1881" s="424"/>
    </row>
    <row r="1882" spans="1:7" ht="12.75" hidden="1" customHeight="1">
      <c r="A1882" s="110"/>
      <c r="B1882" s="100"/>
      <c r="C1882" s="110"/>
      <c r="D1882" s="100"/>
      <c r="E1882" s="110"/>
      <c r="F1882" s="101"/>
      <c r="G1882" s="424"/>
    </row>
    <row r="1883" spans="1:7" ht="12.75" hidden="1" customHeight="1">
      <c r="A1883" s="116"/>
      <c r="B1883" s="103"/>
      <c r="C1883" s="116"/>
      <c r="D1883" s="103"/>
      <c r="E1883" s="116"/>
      <c r="F1883" s="101"/>
      <c r="G1883" s="425"/>
    </row>
    <row r="1884" spans="1:7" ht="12.75" hidden="1" customHeight="1">
      <c r="A1884" s="1"/>
      <c r="B1884" s="1"/>
      <c r="C1884" s="1"/>
      <c r="D1884" s="1"/>
      <c r="E1884" s="1"/>
      <c r="F1884" s="1" t="s">
        <v>189</v>
      </c>
      <c r="G1884" s="225">
        <f t="shared" si="10"/>
        <v>134750</v>
      </c>
    </row>
    <row r="1885" spans="1:7" ht="12.75" hidden="1" customHeight="1">
      <c r="A1885" s="1"/>
      <c r="B1885" s="1"/>
      <c r="C1885" s="1"/>
      <c r="D1885" s="1"/>
      <c r="E1885" s="1"/>
      <c r="F1885" s="1"/>
      <c r="G1885" s="420"/>
    </row>
    <row r="1886" spans="1:7" ht="12.75" hidden="1" customHeight="1">
      <c r="A1886" s="103" t="s">
        <v>209</v>
      </c>
      <c r="B1886" s="1"/>
      <c r="C1886" s="1" t="s">
        <v>210</v>
      </c>
      <c r="D1886" s="1" t="s">
        <v>211</v>
      </c>
      <c r="E1886" s="1"/>
      <c r="F1886" s="1"/>
      <c r="G1886" s="225">
        <f t="shared" si="11"/>
        <v>595693.14999999991</v>
      </c>
    </row>
    <row r="1887" spans="1:7" ht="12.75" hidden="1" customHeight="1">
      <c r="A1887" s="1"/>
      <c r="B1887" s="1"/>
      <c r="C1887" s="1"/>
      <c r="D1887" s="1"/>
      <c r="E1887" s="1"/>
      <c r="F1887" s="1"/>
      <c r="G1887" s="420"/>
    </row>
    <row r="1888" spans="1:7" ht="12.75" hidden="1" customHeight="1">
      <c r="A1888" s="1"/>
      <c r="B1888" s="1"/>
      <c r="C1888" s="1"/>
      <c r="D1888" s="1"/>
      <c r="E1888" s="1" t="s">
        <v>212</v>
      </c>
      <c r="F1888" s="1"/>
      <c r="G1888" s="225">
        <f t="shared" si="12"/>
        <v>178707.94499999998</v>
      </c>
    </row>
    <row r="1889" spans="1:7" ht="12.75" hidden="1" customHeight="1">
      <c r="A1889" s="1"/>
      <c r="B1889" s="1"/>
      <c r="C1889" s="1"/>
      <c r="D1889" s="1"/>
      <c r="E1889" s="1"/>
      <c r="F1889" s="1"/>
      <c r="G1889" s="420"/>
    </row>
    <row r="1890" spans="1:7" ht="12.75" hidden="1" customHeight="1">
      <c r="A1890" s="103" t="s">
        <v>213</v>
      </c>
      <c r="B1890" s="1"/>
      <c r="C1890" s="1"/>
      <c r="D1890" s="1" t="s">
        <v>214</v>
      </c>
      <c r="E1890" s="1"/>
      <c r="F1890" s="1"/>
      <c r="G1890" s="225">
        <f t="shared" si="13"/>
        <v>774401.09499999986</v>
      </c>
    </row>
    <row r="1891" spans="1:7" ht="15" hidden="1" customHeight="1">
      <c r="A1891" s="468" t="s">
        <v>174</v>
      </c>
      <c r="B1891" s="457"/>
      <c r="C1891" s="457"/>
      <c r="D1891" s="457"/>
      <c r="E1891" s="457"/>
      <c r="F1891" s="457"/>
      <c r="G1891" s="457"/>
    </row>
    <row r="1892" spans="1:7" ht="12.75" hidden="1" customHeight="1">
      <c r="A1892" s="94"/>
      <c r="B1892" s="94"/>
      <c r="C1892" s="94"/>
      <c r="D1892" s="94"/>
      <c r="E1892" s="94"/>
      <c r="F1892" s="94"/>
      <c r="G1892" s="414"/>
    </row>
    <row r="1893" spans="1:7" ht="12.75" hidden="1" customHeight="1">
      <c r="A1893" s="1" t="s">
        <v>175</v>
      </c>
      <c r="B1893" s="1"/>
      <c r="C1893" s="1"/>
      <c r="D1893" s="94"/>
      <c r="E1893" s="94"/>
      <c r="F1893" s="94"/>
      <c r="G1893" s="414"/>
    </row>
    <row r="1894" spans="1:7" ht="12.75" hidden="1" customHeight="1">
      <c r="A1894" s="1" t="s">
        <v>368</v>
      </c>
      <c r="B1894" s="1"/>
      <c r="C1894" s="1"/>
      <c r="D1894" s="1"/>
      <c r="F1894" s="95" t="s">
        <v>177</v>
      </c>
      <c r="G1894" s="415">
        <f t="shared" ca="1" si="0"/>
        <v>46289</v>
      </c>
    </row>
    <row r="1895" spans="1:7" ht="12.75" hidden="1" customHeight="1">
      <c r="A1895" s="1"/>
      <c r="B1895" s="1"/>
      <c r="C1895" s="1"/>
      <c r="D1895" s="1"/>
      <c r="E1895" s="1"/>
      <c r="F1895" s="1"/>
      <c r="G1895" s="420"/>
    </row>
    <row r="1896" spans="1:7" ht="12.75" hidden="1" customHeight="1">
      <c r="A1896" s="99" t="s">
        <v>442</v>
      </c>
      <c r="B1896" s="100" t="s">
        <v>443</v>
      </c>
      <c r="C1896" s="100"/>
      <c r="D1896" s="100"/>
      <c r="E1896" s="100"/>
      <c r="F1896" s="100"/>
      <c r="G1896" s="138"/>
    </row>
    <row r="1897" spans="1:7" ht="12.75" hidden="1" customHeight="1">
      <c r="A1897" s="102"/>
      <c r="B1897" s="103"/>
      <c r="C1897" s="103" t="s">
        <v>179</v>
      </c>
      <c r="D1897" s="103">
        <v>4</v>
      </c>
      <c r="E1897" s="103" t="s">
        <v>180</v>
      </c>
      <c r="F1897" s="103" t="s">
        <v>262</v>
      </c>
      <c r="G1897" s="419"/>
    </row>
    <row r="1898" spans="1:7" ht="12.75" hidden="1" customHeight="1">
      <c r="A1898" s="1" t="s">
        <v>182</v>
      </c>
      <c r="B1898" s="1"/>
      <c r="C1898" s="1"/>
      <c r="D1898" s="1"/>
      <c r="E1898" s="1"/>
      <c r="F1898" s="1"/>
      <c r="G1898" s="420"/>
    </row>
    <row r="1899" spans="1:7" ht="12.75" hidden="1" customHeight="1">
      <c r="A1899" s="106" t="s">
        <v>111</v>
      </c>
      <c r="B1899" s="107" t="s">
        <v>183</v>
      </c>
      <c r="C1899" s="106" t="s">
        <v>184</v>
      </c>
      <c r="D1899" s="107" t="s">
        <v>185</v>
      </c>
      <c r="E1899" s="106" t="s">
        <v>186</v>
      </c>
      <c r="F1899" s="108"/>
      <c r="G1899" s="421"/>
    </row>
    <row r="1900" spans="1:7" ht="12.75" hidden="1" customHeight="1">
      <c r="A1900" s="110" t="s">
        <v>187</v>
      </c>
      <c r="B1900" s="100"/>
      <c r="C1900" s="110"/>
      <c r="D1900" s="100"/>
      <c r="E1900" s="111">
        <f t="shared" si="1"/>
        <v>3368.75</v>
      </c>
      <c r="F1900" s="112"/>
      <c r="G1900" s="422"/>
    </row>
    <row r="1901" spans="1:7" ht="12.75" hidden="1" customHeight="1">
      <c r="A1901" s="110"/>
      <c r="B1901" s="110"/>
      <c r="C1901" s="110"/>
      <c r="D1901" s="110"/>
      <c r="E1901" s="101"/>
      <c r="F1901" s="112"/>
      <c r="G1901" s="422"/>
    </row>
    <row r="1902" spans="1:7" ht="12.75" hidden="1" customHeight="1">
      <c r="A1902" s="110"/>
      <c r="B1902" s="110"/>
      <c r="C1902" s="110"/>
      <c r="D1902" s="110"/>
      <c r="E1902" s="101"/>
      <c r="F1902" s="112"/>
      <c r="G1902" s="422"/>
    </row>
    <row r="1903" spans="1:7" ht="12.75" hidden="1" customHeight="1">
      <c r="A1903" s="110"/>
      <c r="B1903" s="110"/>
      <c r="C1903" s="110"/>
      <c r="D1903" s="110"/>
      <c r="E1903" s="101"/>
      <c r="F1903" s="102" t="s">
        <v>189</v>
      </c>
      <c r="G1903" s="419">
        <f t="shared" si="2"/>
        <v>3368.75</v>
      </c>
    </row>
    <row r="1904" spans="1:7" ht="12.75" hidden="1" customHeight="1">
      <c r="A1904" s="1" t="s">
        <v>191</v>
      </c>
      <c r="B1904" s="1"/>
      <c r="C1904" s="1"/>
      <c r="D1904" s="1"/>
      <c r="E1904" s="1"/>
      <c r="F1904" s="1"/>
      <c r="G1904" s="420"/>
    </row>
    <row r="1905" spans="1:7" ht="12.75" hidden="1" customHeight="1">
      <c r="A1905" s="115" t="s">
        <v>111</v>
      </c>
      <c r="B1905" s="106" t="s">
        <v>193</v>
      </c>
      <c r="C1905" s="80" t="s">
        <v>194</v>
      </c>
      <c r="D1905" s="106" t="s">
        <v>195</v>
      </c>
      <c r="E1905" s="81" t="s">
        <v>186</v>
      </c>
      <c r="F1905" s="108"/>
      <c r="G1905" s="421"/>
    </row>
    <row r="1906" spans="1:7" ht="12.75" hidden="1" customHeight="1">
      <c r="A1906" s="110" t="s">
        <v>444</v>
      </c>
      <c r="B1906" s="106" t="s">
        <v>193</v>
      </c>
      <c r="C1906" s="111">
        <f>(23392*1.19)</f>
        <v>27836.48</v>
      </c>
      <c r="D1906" s="110">
        <v>1</v>
      </c>
      <c r="E1906" s="119">
        <f t="shared" si="14"/>
        <v>27836.48</v>
      </c>
      <c r="F1906" s="112"/>
      <c r="G1906" s="422"/>
    </row>
    <row r="1907" spans="1:7" ht="12.75" hidden="1" customHeight="1">
      <c r="A1907" s="110"/>
      <c r="B1907" s="106"/>
      <c r="C1907" s="111"/>
      <c r="D1907" s="110"/>
      <c r="E1907" s="119"/>
      <c r="F1907" s="112"/>
      <c r="G1907" s="422"/>
    </row>
    <row r="1908" spans="1:7" ht="12.75" hidden="1" customHeight="1">
      <c r="A1908" s="63"/>
      <c r="B1908" s="123"/>
      <c r="C1908" s="63"/>
      <c r="D1908" s="63"/>
      <c r="E1908" s="109"/>
      <c r="F1908" s="112"/>
      <c r="G1908" s="422"/>
    </row>
    <row r="1909" spans="1:7" ht="12.75" hidden="1" customHeight="1">
      <c r="A1909" s="110"/>
      <c r="B1909" s="110"/>
      <c r="C1909" s="110"/>
      <c r="D1909" s="110"/>
      <c r="E1909" s="101"/>
      <c r="F1909" s="112"/>
      <c r="G1909" s="422"/>
    </row>
    <row r="1910" spans="1:7" ht="12.75" hidden="1" customHeight="1">
      <c r="A1910" s="110"/>
      <c r="B1910" s="110"/>
      <c r="C1910" s="110"/>
      <c r="D1910" s="110"/>
      <c r="E1910" s="101"/>
      <c r="F1910" s="112"/>
      <c r="G1910" s="422"/>
    </row>
    <row r="1911" spans="1:7" ht="12.75" hidden="1" customHeight="1">
      <c r="A1911" s="110"/>
      <c r="B1911" s="110"/>
      <c r="C1911" s="110"/>
      <c r="D1911" s="110"/>
      <c r="E1911" s="101"/>
      <c r="F1911" s="112"/>
      <c r="G1911" s="422"/>
    </row>
    <row r="1912" spans="1:7" ht="12.75" hidden="1" customHeight="1">
      <c r="A1912" s="116"/>
      <c r="B1912" s="116"/>
      <c r="C1912" s="116"/>
      <c r="D1912" s="116"/>
      <c r="E1912" s="101"/>
      <c r="F1912" s="102" t="s">
        <v>189</v>
      </c>
      <c r="G1912" s="419">
        <f t="shared" si="155"/>
        <v>27836.48</v>
      </c>
    </row>
    <row r="1913" spans="1:7" ht="12.75" hidden="1" customHeight="1">
      <c r="A1913" s="1" t="s">
        <v>197</v>
      </c>
      <c r="B1913" s="1"/>
      <c r="C1913" s="1"/>
      <c r="D1913" s="1"/>
      <c r="E1913" s="1"/>
      <c r="F1913" s="1"/>
      <c r="G1913" s="420"/>
    </row>
    <row r="1914" spans="1:7" ht="12.75" hidden="1" customHeight="1">
      <c r="A1914" s="117" t="s">
        <v>198</v>
      </c>
      <c r="B1914" s="117" t="s">
        <v>199</v>
      </c>
      <c r="C1914" s="117" t="s">
        <v>200</v>
      </c>
      <c r="D1914" s="117" t="s">
        <v>201</v>
      </c>
      <c r="E1914" s="81" t="s">
        <v>186</v>
      </c>
      <c r="F1914" s="108"/>
      <c r="G1914" s="421"/>
    </row>
    <row r="1915" spans="1:7" ht="12.75" hidden="1" customHeight="1">
      <c r="A1915" s="110" t="s">
        <v>243</v>
      </c>
      <c r="B1915" s="110"/>
      <c r="C1915" s="110"/>
      <c r="D1915" s="110"/>
      <c r="E1915" s="101">
        <v>20000</v>
      </c>
      <c r="F1915" s="112"/>
      <c r="G1915" s="422"/>
    </row>
    <row r="1916" spans="1:7" ht="12.75" hidden="1" customHeight="1">
      <c r="A1916" s="63"/>
      <c r="B1916" s="63"/>
      <c r="C1916" s="63"/>
      <c r="D1916" s="63"/>
      <c r="E1916" s="113"/>
      <c r="F1916" s="112"/>
      <c r="G1916" s="422"/>
    </row>
    <row r="1917" spans="1:7" ht="12.75" hidden="1" customHeight="1">
      <c r="A1917" s="110"/>
      <c r="B1917" s="110"/>
      <c r="C1917" s="110"/>
      <c r="D1917" s="110"/>
      <c r="E1917" s="101"/>
      <c r="F1917" s="112"/>
      <c r="G1917" s="422"/>
    </row>
    <row r="1918" spans="1:7" ht="12.75" hidden="1" customHeight="1">
      <c r="A1918" s="110"/>
      <c r="B1918" s="110"/>
      <c r="C1918" s="110"/>
      <c r="D1918" s="110"/>
      <c r="E1918" s="101"/>
      <c r="F1918" s="112"/>
      <c r="G1918" s="422"/>
    </row>
    <row r="1919" spans="1:7" ht="12.75" hidden="1" customHeight="1">
      <c r="A1919" s="116"/>
      <c r="B1919" s="116"/>
      <c r="C1919" s="116"/>
      <c r="D1919" s="116"/>
      <c r="E1919" s="105"/>
      <c r="F1919" s="102" t="s">
        <v>189</v>
      </c>
      <c r="G1919" s="419">
        <f t="shared" si="6"/>
        <v>20000</v>
      </c>
    </row>
    <row r="1920" spans="1:7" ht="12.75" hidden="1" customHeight="1">
      <c r="A1920" s="1" t="s">
        <v>202</v>
      </c>
      <c r="B1920" s="1"/>
      <c r="C1920" s="1"/>
      <c r="D1920" s="1"/>
      <c r="E1920" s="1"/>
      <c r="F1920" s="1"/>
      <c r="G1920" s="420"/>
    </row>
    <row r="1921" spans="1:7" ht="12.75" hidden="1" customHeight="1">
      <c r="A1921" s="117" t="s">
        <v>203</v>
      </c>
      <c r="B1921" s="80" t="s">
        <v>204</v>
      </c>
      <c r="C1921" s="117" t="s">
        <v>205</v>
      </c>
      <c r="D1921" s="80" t="s">
        <v>206</v>
      </c>
      <c r="E1921" s="117" t="s">
        <v>207</v>
      </c>
      <c r="F1921" s="80" t="s">
        <v>208</v>
      </c>
      <c r="G1921" s="423"/>
    </row>
    <row r="1922" spans="1:7" ht="12.75" hidden="1" customHeight="1">
      <c r="A1922" s="110" t="s">
        <v>188</v>
      </c>
      <c r="B1922" s="100">
        <f>+B32</f>
        <v>140000</v>
      </c>
      <c r="C1922" s="110">
        <f t="shared" si="7"/>
        <v>105000</v>
      </c>
      <c r="D1922" s="100">
        <f t="shared" si="8"/>
        <v>245000</v>
      </c>
      <c r="E1922" s="110">
        <v>6</v>
      </c>
      <c r="F1922" s="119">
        <f t="shared" si="22"/>
        <v>40833.333333333336</v>
      </c>
      <c r="G1922" s="424"/>
    </row>
    <row r="1923" spans="1:7" ht="12.75" hidden="1" customHeight="1">
      <c r="A1923" s="63" t="s">
        <v>190</v>
      </c>
      <c r="B1923" s="100">
        <f>+B33</f>
        <v>91000</v>
      </c>
      <c r="C1923" s="111">
        <f t="shared" si="7"/>
        <v>68250</v>
      </c>
      <c r="D1923" s="120">
        <f t="shared" si="8"/>
        <v>159250</v>
      </c>
      <c r="E1923" s="110">
        <v>6</v>
      </c>
      <c r="F1923" s="119">
        <f t="shared" si="22"/>
        <v>26541.666666666668</v>
      </c>
      <c r="G1923" s="424"/>
    </row>
    <row r="1924" spans="1:7" ht="12.75" hidden="1" customHeight="1">
      <c r="A1924" s="110"/>
      <c r="B1924" s="100"/>
      <c r="C1924" s="110"/>
      <c r="D1924" s="100"/>
      <c r="E1924" s="110"/>
      <c r="F1924" s="101"/>
      <c r="G1924" s="424"/>
    </row>
    <row r="1925" spans="1:7" ht="12.75" hidden="1" customHeight="1">
      <c r="A1925" s="63"/>
      <c r="B1925" s="1"/>
      <c r="C1925" s="63"/>
      <c r="D1925" s="1"/>
      <c r="E1925" s="63"/>
      <c r="F1925" s="101"/>
      <c r="G1925" s="424"/>
    </row>
    <row r="1926" spans="1:7" ht="12.75" hidden="1" customHeight="1">
      <c r="A1926" s="110"/>
      <c r="B1926" s="100"/>
      <c r="C1926" s="110"/>
      <c r="D1926" s="100"/>
      <c r="E1926" s="110"/>
      <c r="F1926" s="101"/>
      <c r="G1926" s="424"/>
    </row>
    <row r="1927" spans="1:7" ht="12.75" hidden="1" customHeight="1">
      <c r="A1927" s="116"/>
      <c r="B1927" s="103"/>
      <c r="C1927" s="116"/>
      <c r="D1927" s="103"/>
      <c r="E1927" s="116"/>
      <c r="F1927" s="101"/>
      <c r="G1927" s="425"/>
    </row>
    <row r="1928" spans="1:7" ht="12.75" hidden="1" customHeight="1">
      <c r="A1928" s="1"/>
      <c r="B1928" s="1"/>
      <c r="C1928" s="1"/>
      <c r="D1928" s="1"/>
      <c r="E1928" s="1"/>
      <c r="F1928" s="1" t="s">
        <v>189</v>
      </c>
      <c r="G1928" s="225">
        <f t="shared" si="10"/>
        <v>67375</v>
      </c>
    </row>
    <row r="1929" spans="1:7" ht="12.75" hidden="1" customHeight="1">
      <c r="A1929" s="1"/>
      <c r="B1929" s="1"/>
      <c r="C1929" s="1"/>
      <c r="D1929" s="1"/>
      <c r="E1929" s="1"/>
      <c r="F1929" s="1"/>
      <c r="G1929" s="420"/>
    </row>
    <row r="1930" spans="1:7" ht="12.75" hidden="1" customHeight="1">
      <c r="A1930" s="103" t="s">
        <v>209</v>
      </c>
      <c r="B1930" s="1"/>
      <c r="C1930" s="1" t="s">
        <v>210</v>
      </c>
      <c r="D1930" s="1" t="s">
        <v>211</v>
      </c>
      <c r="E1930" s="1"/>
      <c r="F1930" s="1"/>
      <c r="G1930" s="225">
        <f t="shared" si="11"/>
        <v>118580.23</v>
      </c>
    </row>
    <row r="1931" spans="1:7" ht="12.75" hidden="1" customHeight="1">
      <c r="A1931" s="1"/>
      <c r="B1931" s="1"/>
      <c r="C1931" s="1"/>
      <c r="D1931" s="1"/>
      <c r="E1931" s="1"/>
      <c r="F1931" s="1"/>
      <c r="G1931" s="420"/>
    </row>
    <row r="1932" spans="1:7" ht="12.75" hidden="1" customHeight="1">
      <c r="A1932" s="1"/>
      <c r="B1932" s="1"/>
      <c r="C1932" s="1"/>
      <c r="D1932" s="1"/>
      <c r="E1932" s="1" t="s">
        <v>212</v>
      </c>
      <c r="F1932" s="1"/>
      <c r="G1932" s="225">
        <f t="shared" si="12"/>
        <v>35574.068999999996</v>
      </c>
    </row>
    <row r="1933" spans="1:7" ht="12.75" hidden="1" customHeight="1">
      <c r="A1933" s="1"/>
      <c r="B1933" s="1"/>
      <c r="C1933" s="1"/>
      <c r="D1933" s="1"/>
      <c r="E1933" s="1"/>
      <c r="F1933" s="1"/>
      <c r="G1933" s="420"/>
    </row>
    <row r="1934" spans="1:7" ht="12.75" hidden="1" customHeight="1">
      <c r="A1934" s="103" t="s">
        <v>213</v>
      </c>
      <c r="B1934" s="1"/>
      <c r="C1934" s="1"/>
      <c r="D1934" s="1" t="s">
        <v>214</v>
      </c>
      <c r="E1934" s="1"/>
      <c r="F1934" s="1"/>
      <c r="G1934" s="225">
        <f t="shared" si="13"/>
        <v>154154.299</v>
      </c>
    </row>
    <row r="1935" spans="1:7" ht="15" hidden="1" customHeight="1">
      <c r="A1935" s="468" t="s">
        <v>174</v>
      </c>
      <c r="B1935" s="457"/>
      <c r="C1935" s="457"/>
      <c r="D1935" s="457"/>
      <c r="E1935" s="457"/>
      <c r="F1935" s="457"/>
      <c r="G1935" s="457"/>
    </row>
    <row r="1936" spans="1:7" ht="12.75" hidden="1" customHeight="1"/>
    <row r="1937" spans="1:7" ht="12.75" hidden="1" customHeight="1">
      <c r="A1937" s="1" t="s">
        <v>175</v>
      </c>
      <c r="B1937" s="1"/>
      <c r="C1937" s="1"/>
      <c r="D1937" s="94"/>
      <c r="E1937" s="94"/>
      <c r="F1937" s="94"/>
      <c r="G1937" s="414"/>
    </row>
    <row r="1938" spans="1:7" ht="12.75" hidden="1" customHeight="1">
      <c r="A1938" s="1" t="s">
        <v>368</v>
      </c>
      <c r="B1938" s="1"/>
      <c r="C1938" s="1"/>
      <c r="D1938" s="1"/>
      <c r="F1938" s="95" t="s">
        <v>177</v>
      </c>
      <c r="G1938" s="415">
        <f t="shared" ca="1" si="0"/>
        <v>46289</v>
      </c>
    </row>
    <row r="1939" spans="1:7" ht="12.75" hidden="1" customHeight="1">
      <c r="A1939" s="1"/>
      <c r="B1939" s="1"/>
      <c r="C1939" s="1"/>
      <c r="D1939" s="1"/>
      <c r="E1939" s="1"/>
      <c r="F1939" s="1"/>
      <c r="G1939" s="420"/>
    </row>
    <row r="1940" spans="1:7" ht="12.75" hidden="1" customHeight="1">
      <c r="A1940" s="99" t="s">
        <v>445</v>
      </c>
      <c r="B1940" s="100" t="s">
        <v>446</v>
      </c>
      <c r="C1940" s="100"/>
      <c r="D1940" s="100"/>
      <c r="E1940" s="100"/>
      <c r="F1940" s="100"/>
      <c r="G1940" s="138"/>
    </row>
    <row r="1941" spans="1:7" ht="12.75" hidden="1" customHeight="1">
      <c r="A1941" s="102" t="s">
        <v>447</v>
      </c>
      <c r="B1941" s="103"/>
      <c r="C1941" s="103" t="s">
        <v>179</v>
      </c>
      <c r="D1941" s="126">
        <v>1</v>
      </c>
      <c r="E1941" s="103" t="s">
        <v>180</v>
      </c>
      <c r="F1941" s="103" t="s">
        <v>262</v>
      </c>
      <c r="G1941" s="419"/>
    </row>
    <row r="1942" spans="1:7" ht="12.75" hidden="1" customHeight="1">
      <c r="A1942" s="1" t="s">
        <v>182</v>
      </c>
      <c r="B1942" s="1"/>
      <c r="C1942" s="1"/>
      <c r="D1942" s="1"/>
      <c r="E1942" s="1"/>
      <c r="F1942" s="1"/>
      <c r="G1942" s="420"/>
    </row>
    <row r="1943" spans="1:7" ht="12.75" hidden="1" customHeight="1">
      <c r="A1943" s="106" t="s">
        <v>111</v>
      </c>
      <c r="B1943" s="107" t="s">
        <v>183</v>
      </c>
      <c r="C1943" s="106" t="s">
        <v>184</v>
      </c>
      <c r="D1943" s="107" t="s">
        <v>185</v>
      </c>
      <c r="E1943" s="106" t="s">
        <v>186</v>
      </c>
      <c r="F1943" s="108"/>
      <c r="G1943" s="421"/>
    </row>
    <row r="1944" spans="1:7" ht="12.75" hidden="1" customHeight="1">
      <c r="A1944" s="110" t="s">
        <v>187</v>
      </c>
      <c r="B1944" s="100"/>
      <c r="C1944" s="110"/>
      <c r="D1944" s="100"/>
      <c r="E1944" s="111">
        <f t="shared" si="1"/>
        <v>20212.5</v>
      </c>
      <c r="F1944" s="112"/>
      <c r="G1944" s="422"/>
    </row>
    <row r="1945" spans="1:7" ht="12.75" hidden="1" customHeight="1">
      <c r="A1945" s="110"/>
      <c r="B1945" s="110"/>
      <c r="C1945" s="110"/>
      <c r="D1945" s="110"/>
      <c r="E1945" s="101"/>
      <c r="F1945" s="112"/>
      <c r="G1945" s="422"/>
    </row>
    <row r="1946" spans="1:7" ht="12.75" hidden="1" customHeight="1">
      <c r="A1946" s="110"/>
      <c r="B1946" s="110"/>
      <c r="C1946" s="110"/>
      <c r="D1946" s="110"/>
      <c r="E1946" s="101"/>
      <c r="F1946" s="112"/>
      <c r="G1946" s="422"/>
    </row>
    <row r="1947" spans="1:7" ht="12.75" hidden="1" customHeight="1">
      <c r="A1947" s="110"/>
      <c r="B1947" s="110"/>
      <c r="C1947" s="110"/>
      <c r="D1947" s="110"/>
      <c r="E1947" s="101"/>
      <c r="F1947" s="102" t="s">
        <v>189</v>
      </c>
      <c r="G1947" s="419">
        <f t="shared" si="2"/>
        <v>20212.5</v>
      </c>
    </row>
    <row r="1948" spans="1:7" ht="12.75" hidden="1" customHeight="1">
      <c r="A1948" s="1" t="s">
        <v>191</v>
      </c>
      <c r="B1948" s="1"/>
      <c r="C1948" s="1"/>
      <c r="D1948" s="1"/>
      <c r="E1948" s="1"/>
      <c r="F1948" s="1"/>
      <c r="G1948" s="420"/>
    </row>
    <row r="1949" spans="1:7" ht="12.75" hidden="1" customHeight="1">
      <c r="A1949" s="115" t="s">
        <v>111</v>
      </c>
      <c r="B1949" s="106" t="s">
        <v>193</v>
      </c>
      <c r="C1949" s="80" t="s">
        <v>194</v>
      </c>
      <c r="D1949" s="106" t="s">
        <v>195</v>
      </c>
      <c r="E1949" s="81" t="s">
        <v>186</v>
      </c>
      <c r="F1949" s="108"/>
      <c r="G1949" s="421"/>
    </row>
    <row r="1950" spans="1:7" ht="12.75" hidden="1" customHeight="1">
      <c r="A1950" s="110" t="s">
        <v>448</v>
      </c>
      <c r="B1950" s="106" t="s">
        <v>193</v>
      </c>
      <c r="C1950" s="111">
        <v>1500</v>
      </c>
      <c r="D1950" s="110">
        <v>14</v>
      </c>
      <c r="E1950" s="119">
        <f t="shared" si="14"/>
        <v>21000</v>
      </c>
      <c r="F1950" s="112"/>
      <c r="G1950" s="422"/>
    </row>
    <row r="1951" spans="1:7" ht="12.75" hidden="1" customHeight="1">
      <c r="A1951" s="110" t="s">
        <v>449</v>
      </c>
      <c r="B1951" s="106" t="s">
        <v>238</v>
      </c>
      <c r="C1951" s="111">
        <f>+Bocatoma!G242</f>
        <v>777000</v>
      </c>
      <c r="D1951" s="122">
        <f>0.1*1.05</f>
        <v>0.10500000000000001</v>
      </c>
      <c r="E1951" s="119">
        <f t="shared" si="14"/>
        <v>81585.000000000015</v>
      </c>
      <c r="F1951" s="112"/>
      <c r="G1951" s="422"/>
    </row>
    <row r="1952" spans="1:7" ht="12.75" hidden="1" customHeight="1">
      <c r="A1952" s="63" t="s">
        <v>450</v>
      </c>
      <c r="B1952" s="123" t="s">
        <v>220</v>
      </c>
      <c r="C1952" s="63">
        <v>7000</v>
      </c>
      <c r="D1952" s="63">
        <v>1</v>
      </c>
      <c r="E1952" s="101">
        <f t="shared" si="14"/>
        <v>7000</v>
      </c>
      <c r="F1952" s="112"/>
      <c r="G1952" s="422"/>
    </row>
    <row r="1953" spans="1:7" ht="12.75" hidden="1" customHeight="1">
      <c r="A1953" s="110" t="s">
        <v>314</v>
      </c>
      <c r="B1953" s="106" t="s">
        <v>193</v>
      </c>
      <c r="C1953" s="141">
        <f>120000*1.19</f>
        <v>142800</v>
      </c>
      <c r="D1953" s="110">
        <v>1</v>
      </c>
      <c r="E1953" s="101">
        <f t="shared" si="14"/>
        <v>142800</v>
      </c>
      <c r="F1953" s="112"/>
      <c r="G1953" s="422"/>
    </row>
    <row r="1954" spans="1:7" ht="12.75" hidden="1" customHeight="1">
      <c r="A1954" s="63"/>
      <c r="B1954" s="63"/>
      <c r="C1954" s="63"/>
      <c r="D1954" s="63"/>
      <c r="E1954" s="101"/>
      <c r="F1954" s="112"/>
      <c r="G1954" s="422"/>
    </row>
    <row r="1955" spans="1:7" ht="12.75" hidden="1" customHeight="1">
      <c r="A1955" s="110"/>
      <c r="B1955" s="110"/>
      <c r="C1955" s="110"/>
      <c r="D1955" s="110"/>
      <c r="E1955" s="101"/>
      <c r="F1955" s="112"/>
      <c r="G1955" s="422"/>
    </row>
    <row r="1956" spans="1:7" ht="12.75" hidden="1" customHeight="1">
      <c r="A1956" s="116"/>
      <c r="B1956" s="116"/>
      <c r="C1956" s="116"/>
      <c r="D1956" s="116"/>
      <c r="E1956" s="101"/>
      <c r="F1956" s="102" t="s">
        <v>189</v>
      </c>
      <c r="G1956" s="419">
        <f t="shared" si="155"/>
        <v>252385</v>
      </c>
    </row>
    <row r="1957" spans="1:7" ht="12.75" hidden="1" customHeight="1">
      <c r="A1957" s="1" t="s">
        <v>197</v>
      </c>
      <c r="B1957" s="1"/>
      <c r="C1957" s="1"/>
      <c r="D1957" s="1"/>
      <c r="E1957" s="1"/>
      <c r="F1957" s="1"/>
      <c r="G1957" s="420"/>
    </row>
    <row r="1958" spans="1:7" ht="12.75" hidden="1" customHeight="1">
      <c r="A1958" s="117" t="s">
        <v>198</v>
      </c>
      <c r="B1958" s="117" t="s">
        <v>199</v>
      </c>
      <c r="C1958" s="117" t="s">
        <v>200</v>
      </c>
      <c r="D1958" s="117" t="s">
        <v>201</v>
      </c>
      <c r="E1958" s="81" t="s">
        <v>186</v>
      </c>
      <c r="F1958" s="108"/>
      <c r="G1958" s="421"/>
    </row>
    <row r="1959" spans="1:7" ht="12.75" hidden="1" customHeight="1">
      <c r="A1959" s="110" t="s">
        <v>243</v>
      </c>
      <c r="B1959" s="110"/>
      <c r="C1959" s="110"/>
      <c r="D1959" s="110"/>
      <c r="E1959" s="101">
        <v>100000</v>
      </c>
      <c r="F1959" s="112"/>
      <c r="G1959" s="422"/>
    </row>
    <row r="1960" spans="1:7" ht="12.75" hidden="1" customHeight="1">
      <c r="A1960" s="63"/>
      <c r="B1960" s="63"/>
      <c r="C1960" s="63"/>
      <c r="D1960" s="63"/>
      <c r="E1960" s="113"/>
      <c r="F1960" s="112"/>
      <c r="G1960" s="422"/>
    </row>
    <row r="1961" spans="1:7" ht="12.75" hidden="1" customHeight="1">
      <c r="A1961" s="110"/>
      <c r="B1961" s="110"/>
      <c r="C1961" s="110"/>
      <c r="D1961" s="110"/>
      <c r="E1961" s="101"/>
      <c r="F1961" s="112"/>
      <c r="G1961" s="422"/>
    </row>
    <row r="1962" spans="1:7" ht="12.75" hidden="1" customHeight="1">
      <c r="A1962" s="110"/>
      <c r="B1962" s="110"/>
      <c r="C1962" s="110"/>
      <c r="D1962" s="110"/>
      <c r="E1962" s="101"/>
      <c r="F1962" s="112"/>
      <c r="G1962" s="422"/>
    </row>
    <row r="1963" spans="1:7" ht="12.75" hidden="1" customHeight="1">
      <c r="A1963" s="116"/>
      <c r="B1963" s="116"/>
      <c r="C1963" s="116"/>
      <c r="D1963" s="116"/>
      <c r="E1963" s="105"/>
      <c r="F1963" s="102" t="s">
        <v>189</v>
      </c>
      <c r="G1963" s="419">
        <f t="shared" si="6"/>
        <v>100000</v>
      </c>
    </row>
    <row r="1964" spans="1:7" ht="12.75" hidden="1" customHeight="1">
      <c r="A1964" s="1" t="s">
        <v>202</v>
      </c>
      <c r="B1964" s="1"/>
      <c r="C1964" s="1"/>
      <c r="D1964" s="1"/>
      <c r="E1964" s="1"/>
      <c r="F1964" s="1"/>
      <c r="G1964" s="420"/>
    </row>
    <row r="1965" spans="1:7" ht="12.75" hidden="1" customHeight="1">
      <c r="A1965" s="117" t="s">
        <v>203</v>
      </c>
      <c r="B1965" s="80" t="s">
        <v>204</v>
      </c>
      <c r="C1965" s="117" t="s">
        <v>205</v>
      </c>
      <c r="D1965" s="80" t="s">
        <v>206</v>
      </c>
      <c r="E1965" s="117" t="s">
        <v>207</v>
      </c>
      <c r="F1965" s="80" t="s">
        <v>208</v>
      </c>
      <c r="G1965" s="423"/>
    </row>
    <row r="1966" spans="1:7" ht="12.75" hidden="1" customHeight="1">
      <c r="A1966" s="110" t="s">
        <v>188</v>
      </c>
      <c r="B1966" s="100">
        <f>+B32</f>
        <v>140000</v>
      </c>
      <c r="C1966" s="110">
        <f t="shared" si="7"/>
        <v>105000</v>
      </c>
      <c r="D1966" s="100">
        <f t="shared" si="8"/>
        <v>245000</v>
      </c>
      <c r="E1966" s="110">
        <v>1</v>
      </c>
      <c r="F1966" s="119">
        <f t="shared" si="22"/>
        <v>245000</v>
      </c>
      <c r="G1966" s="424"/>
    </row>
    <row r="1967" spans="1:7" ht="12.75" hidden="1" customHeight="1">
      <c r="A1967" s="63" t="s">
        <v>307</v>
      </c>
      <c r="B1967" s="100">
        <f>+B33</f>
        <v>91000</v>
      </c>
      <c r="C1967" s="111">
        <f t="shared" si="7"/>
        <v>68250</v>
      </c>
      <c r="D1967" s="120">
        <f t="shared" si="8"/>
        <v>159250</v>
      </c>
      <c r="E1967" s="110">
        <v>1</v>
      </c>
      <c r="F1967" s="119">
        <f t="shared" si="22"/>
        <v>159250</v>
      </c>
      <c r="G1967" s="424"/>
    </row>
    <row r="1968" spans="1:7" ht="12.75" hidden="1" customHeight="1">
      <c r="A1968" s="110"/>
      <c r="B1968" s="100"/>
      <c r="C1968" s="110"/>
      <c r="D1968" s="100"/>
      <c r="E1968" s="110"/>
      <c r="F1968" s="101"/>
      <c r="G1968" s="424"/>
    </row>
    <row r="1969" spans="1:7" ht="12.75" hidden="1" customHeight="1">
      <c r="A1969" s="63"/>
      <c r="B1969" s="1"/>
      <c r="C1969" s="63"/>
      <c r="D1969" s="1"/>
      <c r="E1969" s="63"/>
      <c r="F1969" s="101"/>
      <c r="G1969" s="424"/>
    </row>
    <row r="1970" spans="1:7" ht="12.75" hidden="1" customHeight="1">
      <c r="A1970" s="110"/>
      <c r="B1970" s="100"/>
      <c r="C1970" s="110"/>
      <c r="D1970" s="100"/>
      <c r="E1970" s="110"/>
      <c r="F1970" s="101"/>
      <c r="G1970" s="424"/>
    </row>
    <row r="1971" spans="1:7" ht="12.75" hidden="1" customHeight="1">
      <c r="A1971" s="116"/>
      <c r="B1971" s="103"/>
      <c r="C1971" s="116"/>
      <c r="D1971" s="103"/>
      <c r="E1971" s="116"/>
      <c r="F1971" s="101"/>
      <c r="G1971" s="425"/>
    </row>
    <row r="1972" spans="1:7" ht="12.75" hidden="1" customHeight="1">
      <c r="A1972" s="1"/>
      <c r="B1972" s="1"/>
      <c r="C1972" s="1"/>
      <c r="D1972" s="1"/>
      <c r="E1972" s="1"/>
      <c r="F1972" s="1" t="s">
        <v>189</v>
      </c>
      <c r="G1972" s="225">
        <f t="shared" si="10"/>
        <v>404250</v>
      </c>
    </row>
    <row r="1973" spans="1:7" ht="12.75" hidden="1" customHeight="1">
      <c r="A1973" s="1"/>
      <c r="B1973" s="1"/>
      <c r="C1973" s="1"/>
      <c r="D1973" s="1"/>
      <c r="E1973" s="1"/>
      <c r="F1973" s="1"/>
      <c r="G1973" s="420"/>
    </row>
    <row r="1974" spans="1:7" ht="12.75" hidden="1" customHeight="1">
      <c r="A1974" s="103" t="s">
        <v>209</v>
      </c>
      <c r="B1974" s="1"/>
      <c r="C1974" s="1" t="s">
        <v>210</v>
      </c>
      <c r="D1974" s="1" t="s">
        <v>211</v>
      </c>
      <c r="E1974" s="1"/>
      <c r="F1974" s="1"/>
      <c r="G1974" s="225">
        <f t="shared" si="11"/>
        <v>776847.5</v>
      </c>
    </row>
    <row r="1975" spans="1:7" ht="12.75" hidden="1" customHeight="1">
      <c r="A1975" s="1"/>
      <c r="B1975" s="1"/>
      <c r="C1975" s="1"/>
      <c r="D1975" s="1"/>
      <c r="E1975" s="1"/>
      <c r="F1975" s="1"/>
      <c r="G1975" s="420"/>
    </row>
    <row r="1976" spans="1:7" ht="12.75" hidden="1" customHeight="1">
      <c r="A1976" s="1"/>
      <c r="B1976" s="1"/>
      <c r="C1976" s="1"/>
      <c r="D1976" s="1"/>
      <c r="E1976" s="1" t="s">
        <v>212</v>
      </c>
      <c r="F1976" s="1"/>
      <c r="G1976" s="225">
        <f t="shared" si="12"/>
        <v>233054.25</v>
      </c>
    </row>
    <row r="1977" spans="1:7" ht="12.75" hidden="1" customHeight="1">
      <c r="A1977" s="1"/>
      <c r="B1977" s="1"/>
      <c r="C1977" s="1"/>
      <c r="D1977" s="1"/>
      <c r="E1977" s="1"/>
      <c r="F1977" s="1"/>
      <c r="G1977" s="420"/>
    </row>
    <row r="1978" spans="1:7" ht="12.75" hidden="1" customHeight="1">
      <c r="A1978" s="103" t="s">
        <v>213</v>
      </c>
      <c r="B1978" s="1"/>
      <c r="C1978" s="1"/>
      <c r="D1978" s="1" t="s">
        <v>214</v>
      </c>
      <c r="E1978" s="1"/>
      <c r="F1978" s="1"/>
      <c r="G1978" s="225">
        <f t="shared" si="13"/>
        <v>1009901.75</v>
      </c>
    </row>
    <row r="1979" spans="1:7" ht="15" hidden="1" customHeight="1">
      <c r="A1979" s="468" t="s">
        <v>174</v>
      </c>
      <c r="B1979" s="457"/>
      <c r="C1979" s="457"/>
      <c r="D1979" s="457"/>
      <c r="E1979" s="457"/>
      <c r="F1979" s="457"/>
      <c r="G1979" s="457"/>
    </row>
    <row r="1980" spans="1:7" ht="12.75" hidden="1" customHeight="1">
      <c r="A1980" s="94"/>
      <c r="B1980" s="94"/>
      <c r="C1980" s="94"/>
      <c r="D1980" s="94"/>
      <c r="E1980" s="94"/>
      <c r="F1980" s="94"/>
      <c r="G1980" s="414"/>
    </row>
    <row r="1981" spans="1:7" ht="12.75" hidden="1" customHeight="1">
      <c r="A1981" s="1" t="s">
        <v>175</v>
      </c>
      <c r="B1981" s="1"/>
      <c r="C1981" s="1"/>
      <c r="D1981" s="94"/>
      <c r="E1981" s="94"/>
      <c r="F1981" s="94"/>
      <c r="G1981" s="414"/>
    </row>
    <row r="1982" spans="1:7" ht="12.75" hidden="1" customHeight="1">
      <c r="A1982" s="1" t="s">
        <v>368</v>
      </c>
      <c r="B1982" s="1"/>
      <c r="C1982" s="1"/>
      <c r="D1982" s="1"/>
      <c r="F1982" s="95" t="s">
        <v>177</v>
      </c>
      <c r="G1982" s="415">
        <f t="shared" ca="1" si="0"/>
        <v>46289</v>
      </c>
    </row>
    <row r="1983" spans="1:7" ht="12.75" hidden="1" customHeight="1">
      <c r="A1983" s="1"/>
      <c r="B1983" s="94"/>
      <c r="C1983" s="94"/>
      <c r="D1983" s="94"/>
      <c r="E1983" s="94"/>
      <c r="F1983" s="94"/>
      <c r="G1983" s="414"/>
    </row>
    <row r="1984" spans="1:7" ht="12.75" hidden="1" customHeight="1">
      <c r="A1984" s="99" t="s">
        <v>451</v>
      </c>
      <c r="B1984" s="100" t="s">
        <v>452</v>
      </c>
      <c r="C1984" s="100"/>
      <c r="D1984" s="100"/>
      <c r="E1984" s="100"/>
      <c r="F1984" s="100"/>
      <c r="G1984" s="138"/>
    </row>
    <row r="1985" spans="1:7" ht="12.75" hidden="1" customHeight="1">
      <c r="A1985" s="102" t="s">
        <v>312</v>
      </c>
      <c r="B1985" s="103"/>
      <c r="C1985" s="103" t="s">
        <v>179</v>
      </c>
      <c r="D1985" s="126">
        <v>2</v>
      </c>
      <c r="E1985" s="103" t="s">
        <v>180</v>
      </c>
      <c r="F1985" s="103" t="s">
        <v>262</v>
      </c>
      <c r="G1985" s="419"/>
    </row>
    <row r="1986" spans="1:7" ht="12.75" hidden="1" customHeight="1">
      <c r="A1986" s="1" t="s">
        <v>182</v>
      </c>
      <c r="B1986" s="1"/>
      <c r="C1986" s="1"/>
      <c r="D1986" s="1"/>
      <c r="E1986" s="1"/>
      <c r="F1986" s="1"/>
      <c r="G1986" s="420"/>
    </row>
    <row r="1987" spans="1:7" ht="12.75" hidden="1" customHeight="1">
      <c r="A1987" s="106" t="s">
        <v>111</v>
      </c>
      <c r="B1987" s="107" t="s">
        <v>183</v>
      </c>
      <c r="C1987" s="106" t="s">
        <v>184</v>
      </c>
      <c r="D1987" s="107" t="s">
        <v>185</v>
      </c>
      <c r="E1987" s="106" t="s">
        <v>186</v>
      </c>
      <c r="F1987" s="108"/>
      <c r="G1987" s="421"/>
    </row>
    <row r="1988" spans="1:7" ht="12.75" hidden="1" customHeight="1">
      <c r="A1988" s="110" t="s">
        <v>187</v>
      </c>
      <c r="B1988" s="100"/>
      <c r="C1988" s="110"/>
      <c r="D1988" s="100"/>
      <c r="E1988" s="111">
        <f t="shared" si="1"/>
        <v>10106.25</v>
      </c>
      <c r="F1988" s="112"/>
      <c r="G1988" s="422"/>
    </row>
    <row r="1989" spans="1:7" ht="12.75" hidden="1" customHeight="1">
      <c r="A1989" s="110"/>
      <c r="B1989" s="110"/>
      <c r="C1989" s="110"/>
      <c r="D1989" s="110"/>
      <c r="E1989" s="101"/>
      <c r="F1989" s="112"/>
      <c r="G1989" s="422"/>
    </row>
    <row r="1990" spans="1:7" ht="12.75" hidden="1" customHeight="1">
      <c r="A1990" s="110"/>
      <c r="B1990" s="110"/>
      <c r="C1990" s="110"/>
      <c r="D1990" s="110"/>
      <c r="E1990" s="101"/>
      <c r="F1990" s="112"/>
      <c r="G1990" s="422"/>
    </row>
    <row r="1991" spans="1:7" ht="12.75" hidden="1" customHeight="1">
      <c r="A1991" s="110"/>
      <c r="B1991" s="110"/>
      <c r="C1991" s="110"/>
      <c r="D1991" s="110"/>
      <c r="E1991" s="101"/>
      <c r="F1991" s="102" t="s">
        <v>189</v>
      </c>
      <c r="G1991" s="419">
        <f t="shared" si="2"/>
        <v>10106.25</v>
      </c>
    </row>
    <row r="1992" spans="1:7" ht="12.75" hidden="1" customHeight="1">
      <c r="A1992" s="1" t="s">
        <v>191</v>
      </c>
      <c r="B1992" s="1"/>
      <c r="C1992" s="1"/>
      <c r="D1992" s="1"/>
      <c r="E1992" s="1"/>
      <c r="F1992" s="1"/>
      <c r="G1992" s="420"/>
    </row>
    <row r="1993" spans="1:7" ht="12.75" hidden="1" customHeight="1">
      <c r="A1993" s="115" t="s">
        <v>111</v>
      </c>
      <c r="B1993" s="106" t="s">
        <v>193</v>
      </c>
      <c r="C1993" s="80" t="s">
        <v>194</v>
      </c>
      <c r="D1993" s="106" t="s">
        <v>195</v>
      </c>
      <c r="E1993" s="81" t="s">
        <v>186</v>
      </c>
      <c r="F1993" s="108"/>
      <c r="G1993" s="421"/>
    </row>
    <row r="1994" spans="1:7" ht="12.75" hidden="1" customHeight="1">
      <c r="A1994" s="110" t="s">
        <v>313</v>
      </c>
      <c r="B1994" s="106" t="s">
        <v>238</v>
      </c>
      <c r="C1994" s="111">
        <f>+C1951</f>
        <v>777000</v>
      </c>
      <c r="D1994" s="131">
        <v>0.125</v>
      </c>
      <c r="E1994" s="119">
        <f t="shared" si="14"/>
        <v>97125</v>
      </c>
      <c r="F1994" s="112"/>
      <c r="G1994" s="422"/>
    </row>
    <row r="1995" spans="1:7" ht="12.75" hidden="1" customHeight="1">
      <c r="A1995" s="110" t="s">
        <v>314</v>
      </c>
      <c r="B1995" s="106" t="s">
        <v>193</v>
      </c>
      <c r="C1995" s="110">
        <v>75000</v>
      </c>
      <c r="D1995" s="110">
        <v>1</v>
      </c>
      <c r="E1995" s="101">
        <f t="shared" si="14"/>
        <v>75000</v>
      </c>
      <c r="F1995" s="112"/>
      <c r="G1995" s="422"/>
    </row>
    <row r="1996" spans="1:7" ht="12.75" hidden="1" customHeight="1">
      <c r="A1996" s="110"/>
      <c r="B1996" s="106"/>
      <c r="C1996" s="110"/>
      <c r="D1996" s="110"/>
      <c r="E1996" s="101"/>
      <c r="F1996" s="112"/>
      <c r="G1996" s="422"/>
    </row>
    <row r="1997" spans="1:7" ht="12.75" hidden="1" customHeight="1">
      <c r="A1997" s="63"/>
      <c r="B1997" s="63"/>
      <c r="C1997" s="63"/>
      <c r="D1997" s="63"/>
      <c r="E1997" s="101"/>
      <c r="F1997" s="112"/>
      <c r="G1997" s="422"/>
    </row>
    <row r="1998" spans="1:7" ht="12.75" hidden="1" customHeight="1">
      <c r="A1998" s="110"/>
      <c r="B1998" s="110"/>
      <c r="C1998" s="110"/>
      <c r="D1998" s="110"/>
      <c r="E1998" s="101"/>
      <c r="F1998" s="112"/>
      <c r="G1998" s="422"/>
    </row>
    <row r="1999" spans="1:7" ht="12.75" hidden="1" customHeight="1">
      <c r="A1999" s="110"/>
      <c r="B1999" s="110"/>
      <c r="C1999" s="110"/>
      <c r="D1999" s="110"/>
      <c r="E1999" s="101"/>
      <c r="F1999" s="112"/>
      <c r="G1999" s="422"/>
    </row>
    <row r="2000" spans="1:7" ht="12.75" hidden="1" customHeight="1">
      <c r="A2000" s="116"/>
      <c r="B2000" s="116"/>
      <c r="C2000" s="116"/>
      <c r="D2000" s="116"/>
      <c r="E2000" s="101"/>
      <c r="F2000" s="102" t="s">
        <v>189</v>
      </c>
      <c r="G2000" s="419">
        <f t="shared" si="5"/>
        <v>172125</v>
      </c>
    </row>
    <row r="2001" spans="1:7" ht="12.75" hidden="1" customHeight="1">
      <c r="A2001" s="1" t="s">
        <v>197</v>
      </c>
      <c r="B2001" s="1"/>
      <c r="C2001" s="1"/>
      <c r="D2001" s="1"/>
      <c r="E2001" s="1"/>
      <c r="F2001" s="1"/>
      <c r="G2001" s="420"/>
    </row>
    <row r="2002" spans="1:7" ht="12.75" hidden="1" customHeight="1">
      <c r="A2002" s="117" t="s">
        <v>198</v>
      </c>
      <c r="B2002" s="117" t="s">
        <v>199</v>
      </c>
      <c r="C2002" s="117" t="s">
        <v>200</v>
      </c>
      <c r="D2002" s="117" t="s">
        <v>201</v>
      </c>
      <c r="E2002" s="81" t="s">
        <v>186</v>
      </c>
      <c r="F2002" s="108"/>
      <c r="G2002" s="421"/>
    </row>
    <row r="2003" spans="1:7" ht="12.75" hidden="1" customHeight="1">
      <c r="A2003" s="110" t="s">
        <v>243</v>
      </c>
      <c r="B2003" s="110"/>
      <c r="C2003" s="110"/>
      <c r="D2003" s="110"/>
      <c r="E2003" s="101">
        <v>80000</v>
      </c>
      <c r="F2003" s="112"/>
      <c r="G2003" s="422"/>
    </row>
    <row r="2004" spans="1:7" ht="12.75" hidden="1" customHeight="1">
      <c r="A2004" s="63"/>
      <c r="B2004" s="63"/>
      <c r="C2004" s="63"/>
      <c r="D2004" s="63"/>
      <c r="E2004" s="113"/>
      <c r="F2004" s="112"/>
      <c r="G2004" s="422"/>
    </row>
    <row r="2005" spans="1:7" ht="12.75" hidden="1" customHeight="1">
      <c r="A2005" s="110"/>
      <c r="B2005" s="110"/>
      <c r="C2005" s="110"/>
      <c r="D2005" s="110"/>
      <c r="E2005" s="101"/>
      <c r="F2005" s="112"/>
      <c r="G2005" s="422"/>
    </row>
    <row r="2006" spans="1:7" ht="12.75" hidden="1" customHeight="1">
      <c r="A2006" s="110"/>
      <c r="B2006" s="110"/>
      <c r="C2006" s="110"/>
      <c r="D2006" s="110"/>
      <c r="E2006" s="101"/>
      <c r="F2006" s="112"/>
      <c r="G2006" s="422"/>
    </row>
    <row r="2007" spans="1:7" ht="12.75" hidden="1" customHeight="1">
      <c r="A2007" s="116"/>
      <c r="B2007" s="116"/>
      <c r="C2007" s="116"/>
      <c r="D2007" s="116"/>
      <c r="E2007" s="105"/>
      <c r="F2007" s="102" t="s">
        <v>189</v>
      </c>
      <c r="G2007" s="419">
        <f t="shared" si="6"/>
        <v>80000</v>
      </c>
    </row>
    <row r="2008" spans="1:7" ht="12.75" hidden="1" customHeight="1">
      <c r="A2008" s="1" t="s">
        <v>202</v>
      </c>
      <c r="B2008" s="1"/>
      <c r="C2008" s="1"/>
      <c r="D2008" s="1"/>
      <c r="E2008" s="1"/>
      <c r="F2008" s="1"/>
      <c r="G2008" s="420"/>
    </row>
    <row r="2009" spans="1:7" ht="12.75" hidden="1" customHeight="1">
      <c r="A2009" s="117" t="s">
        <v>203</v>
      </c>
      <c r="B2009" s="80" t="s">
        <v>204</v>
      </c>
      <c r="C2009" s="117" t="s">
        <v>205</v>
      </c>
      <c r="D2009" s="80" t="s">
        <v>206</v>
      </c>
      <c r="E2009" s="117" t="s">
        <v>207</v>
      </c>
      <c r="F2009" s="80" t="s">
        <v>208</v>
      </c>
      <c r="G2009" s="423"/>
    </row>
    <row r="2010" spans="1:7" ht="12.75" hidden="1" customHeight="1">
      <c r="A2010" s="110" t="s">
        <v>188</v>
      </c>
      <c r="B2010" s="100">
        <f>+B32</f>
        <v>140000</v>
      </c>
      <c r="C2010" s="110">
        <f t="shared" si="7"/>
        <v>105000</v>
      </c>
      <c r="D2010" s="100">
        <f t="shared" si="8"/>
        <v>245000</v>
      </c>
      <c r="E2010" s="110">
        <v>2</v>
      </c>
      <c r="F2010" s="119">
        <f t="shared" si="22"/>
        <v>122500</v>
      </c>
      <c r="G2010" s="424"/>
    </row>
    <row r="2011" spans="1:7" ht="12.75" hidden="1" customHeight="1">
      <c r="A2011" s="63" t="s">
        <v>190</v>
      </c>
      <c r="B2011" s="100">
        <f>+B33</f>
        <v>91000</v>
      </c>
      <c r="C2011" s="111">
        <f t="shared" si="7"/>
        <v>68250</v>
      </c>
      <c r="D2011" s="120">
        <f t="shared" si="8"/>
        <v>159250</v>
      </c>
      <c r="E2011" s="110">
        <v>2</v>
      </c>
      <c r="F2011" s="119">
        <f t="shared" si="22"/>
        <v>79625</v>
      </c>
      <c r="G2011" s="424"/>
    </row>
    <row r="2012" spans="1:7" ht="12.75" hidden="1" customHeight="1">
      <c r="A2012" s="110"/>
      <c r="B2012" s="100"/>
      <c r="C2012" s="110"/>
      <c r="D2012" s="100"/>
      <c r="E2012" s="110"/>
      <c r="F2012" s="101"/>
      <c r="G2012" s="424"/>
    </row>
    <row r="2013" spans="1:7" ht="12.75" hidden="1" customHeight="1">
      <c r="A2013" s="63"/>
      <c r="B2013" s="1"/>
      <c r="C2013" s="63"/>
      <c r="D2013" s="1"/>
      <c r="E2013" s="63"/>
      <c r="F2013" s="101"/>
      <c r="G2013" s="424"/>
    </row>
    <row r="2014" spans="1:7" ht="12.75" hidden="1" customHeight="1">
      <c r="A2014" s="110"/>
      <c r="B2014" s="100"/>
      <c r="C2014" s="110"/>
      <c r="D2014" s="100"/>
      <c r="E2014" s="110"/>
      <c r="F2014" s="101"/>
      <c r="G2014" s="424"/>
    </row>
    <row r="2015" spans="1:7" ht="12.75" hidden="1" customHeight="1">
      <c r="A2015" s="116"/>
      <c r="B2015" s="103"/>
      <c r="C2015" s="116"/>
      <c r="D2015" s="103"/>
      <c r="E2015" s="116"/>
      <c r="F2015" s="101"/>
      <c r="G2015" s="425"/>
    </row>
    <row r="2016" spans="1:7" ht="12.75" hidden="1" customHeight="1">
      <c r="A2016" s="1"/>
      <c r="B2016" s="1"/>
      <c r="C2016" s="1"/>
      <c r="D2016" s="1"/>
      <c r="E2016" s="1"/>
      <c r="F2016" s="1" t="s">
        <v>189</v>
      </c>
      <c r="G2016" s="225">
        <f t="shared" si="10"/>
        <v>202125</v>
      </c>
    </row>
    <row r="2017" spans="1:7" ht="12.75" hidden="1" customHeight="1">
      <c r="A2017" s="1"/>
      <c r="B2017" s="1"/>
      <c r="C2017" s="1"/>
      <c r="D2017" s="1"/>
      <c r="E2017" s="1"/>
      <c r="F2017" s="1"/>
      <c r="G2017" s="420"/>
    </row>
    <row r="2018" spans="1:7" ht="12.75" hidden="1" customHeight="1">
      <c r="A2018" s="103" t="s">
        <v>209</v>
      </c>
      <c r="B2018" s="1"/>
      <c r="C2018" s="1" t="s">
        <v>210</v>
      </c>
      <c r="D2018" s="1" t="s">
        <v>211</v>
      </c>
      <c r="E2018" s="1"/>
      <c r="F2018" s="1"/>
      <c r="G2018" s="225">
        <f t="shared" si="11"/>
        <v>464356.25</v>
      </c>
    </row>
    <row r="2019" spans="1:7" ht="12.75" hidden="1" customHeight="1">
      <c r="A2019" s="1"/>
      <c r="B2019" s="1"/>
      <c r="C2019" s="1"/>
      <c r="D2019" s="1"/>
      <c r="E2019" s="1"/>
      <c r="F2019" s="1"/>
      <c r="G2019" s="420"/>
    </row>
    <row r="2020" spans="1:7" ht="12.75" hidden="1" customHeight="1">
      <c r="A2020" s="1"/>
      <c r="B2020" s="1"/>
      <c r="C2020" s="1"/>
      <c r="D2020" s="1"/>
      <c r="E2020" s="1" t="s">
        <v>212</v>
      </c>
      <c r="F2020" s="1"/>
      <c r="G2020" s="225">
        <f t="shared" si="12"/>
        <v>139306.875</v>
      </c>
    </row>
    <row r="2021" spans="1:7" ht="12.75" hidden="1" customHeight="1">
      <c r="A2021" s="1"/>
      <c r="B2021" s="1"/>
      <c r="C2021" s="1"/>
      <c r="D2021" s="1"/>
      <c r="E2021" s="1"/>
      <c r="F2021" s="1"/>
      <c r="G2021" s="420"/>
    </row>
    <row r="2022" spans="1:7" ht="12.75" hidden="1" customHeight="1">
      <c r="A2022" s="103" t="s">
        <v>213</v>
      </c>
      <c r="B2022" s="1"/>
      <c r="C2022" s="1"/>
      <c r="D2022" s="1" t="s">
        <v>214</v>
      </c>
      <c r="E2022" s="1"/>
      <c r="F2022" s="1"/>
      <c r="G2022" s="225">
        <f t="shared" si="13"/>
        <v>603663.125</v>
      </c>
    </row>
    <row r="2023" spans="1:7" ht="15" hidden="1" customHeight="1">
      <c r="A2023" s="468" t="s">
        <v>174</v>
      </c>
      <c r="B2023" s="457"/>
      <c r="C2023" s="457"/>
      <c r="D2023" s="457"/>
      <c r="E2023" s="457"/>
      <c r="F2023" s="457"/>
      <c r="G2023" s="457"/>
    </row>
    <row r="2024" spans="1:7" ht="12.75" hidden="1" customHeight="1"/>
    <row r="2025" spans="1:7" ht="12.75" hidden="1" customHeight="1">
      <c r="A2025" s="1" t="s">
        <v>175</v>
      </c>
      <c r="B2025" s="1"/>
      <c r="C2025" s="1"/>
      <c r="D2025" s="94"/>
      <c r="E2025" s="94"/>
      <c r="F2025" s="94"/>
      <c r="G2025" s="414"/>
    </row>
    <row r="2026" spans="1:7" ht="12.75" hidden="1" customHeight="1">
      <c r="A2026" s="1" t="s">
        <v>368</v>
      </c>
      <c r="B2026" s="1"/>
      <c r="C2026" s="1"/>
      <c r="D2026" s="1"/>
      <c r="F2026" s="95" t="s">
        <v>177</v>
      </c>
      <c r="G2026" s="415">
        <f t="shared" ca="1" si="0"/>
        <v>46289</v>
      </c>
    </row>
    <row r="2027" spans="1:7" ht="12.75" hidden="1" customHeight="1">
      <c r="A2027" s="1"/>
      <c r="B2027" s="1"/>
      <c r="C2027" s="1"/>
      <c r="D2027" s="1"/>
      <c r="E2027" s="1"/>
      <c r="F2027" s="1"/>
      <c r="G2027" s="420"/>
    </row>
    <row r="2028" spans="1:7" ht="12.75" hidden="1" customHeight="1">
      <c r="A2028" s="99" t="s">
        <v>453</v>
      </c>
      <c r="B2028" s="100" t="s">
        <v>454</v>
      </c>
      <c r="C2028" s="100"/>
      <c r="D2028" s="100"/>
      <c r="E2028" s="100"/>
      <c r="F2028" s="100"/>
      <c r="G2028" s="138"/>
    </row>
    <row r="2029" spans="1:7" ht="12.75" hidden="1" customHeight="1">
      <c r="A2029" s="102" t="s">
        <v>455</v>
      </c>
      <c r="B2029" s="103"/>
      <c r="C2029" s="103" t="s">
        <v>179</v>
      </c>
      <c r="D2029" s="126">
        <v>50</v>
      </c>
      <c r="E2029" s="103" t="s">
        <v>180</v>
      </c>
      <c r="F2029" s="103" t="s">
        <v>337</v>
      </c>
      <c r="G2029" s="419"/>
    </row>
    <row r="2030" spans="1:7" ht="12.75" hidden="1" customHeight="1">
      <c r="A2030" s="1" t="s">
        <v>182</v>
      </c>
      <c r="B2030" s="1"/>
      <c r="C2030" s="1"/>
      <c r="D2030" s="1"/>
      <c r="E2030" s="1"/>
      <c r="F2030" s="1"/>
      <c r="G2030" s="420"/>
    </row>
    <row r="2031" spans="1:7" ht="12.75" hidden="1" customHeight="1">
      <c r="A2031" s="106" t="s">
        <v>111</v>
      </c>
      <c r="B2031" s="107" t="s">
        <v>183</v>
      </c>
      <c r="C2031" s="106" t="s">
        <v>184</v>
      </c>
      <c r="D2031" s="107" t="s">
        <v>185</v>
      </c>
      <c r="E2031" s="106" t="s">
        <v>186</v>
      </c>
      <c r="F2031" s="108"/>
      <c r="G2031" s="421"/>
    </row>
    <row r="2032" spans="1:7" ht="12.75" hidden="1" customHeight="1">
      <c r="A2032" s="110" t="s">
        <v>187</v>
      </c>
      <c r="B2032" s="100"/>
      <c r="C2032" s="110"/>
      <c r="D2032" s="100"/>
      <c r="E2032" s="111">
        <f t="shared" si="1"/>
        <v>4544.3548387096771</v>
      </c>
      <c r="F2032" s="112"/>
      <c r="G2032" s="422"/>
    </row>
    <row r="2033" spans="1:7" ht="12.75" hidden="1" customHeight="1">
      <c r="A2033" s="110" t="s">
        <v>456</v>
      </c>
      <c r="B2033" s="110"/>
      <c r="C2033" s="110">
        <v>7500</v>
      </c>
      <c r="D2033" s="110">
        <v>0.25</v>
      </c>
      <c r="E2033" s="101">
        <f t="shared" si="14"/>
        <v>1875</v>
      </c>
      <c r="F2033" s="112"/>
      <c r="G2033" s="422"/>
    </row>
    <row r="2034" spans="1:7" ht="12.75" hidden="1" customHeight="1">
      <c r="A2034" s="110"/>
      <c r="B2034" s="110"/>
      <c r="C2034" s="110"/>
      <c r="D2034" s="110"/>
      <c r="E2034" s="101"/>
      <c r="F2034" s="112"/>
      <c r="G2034" s="422"/>
    </row>
    <row r="2035" spans="1:7" ht="12.75" hidden="1" customHeight="1">
      <c r="A2035" s="110"/>
      <c r="B2035" s="110"/>
      <c r="C2035" s="110"/>
      <c r="D2035" s="110"/>
      <c r="E2035" s="101"/>
      <c r="F2035" s="102" t="s">
        <v>189</v>
      </c>
      <c r="G2035" s="419">
        <f t="shared" si="2"/>
        <v>6419.3548387096771</v>
      </c>
    </row>
    <row r="2036" spans="1:7" ht="12.75" hidden="1" customHeight="1">
      <c r="A2036" s="1" t="s">
        <v>191</v>
      </c>
      <c r="B2036" s="1"/>
      <c r="C2036" s="1"/>
      <c r="D2036" s="1"/>
      <c r="E2036" s="1"/>
      <c r="F2036" s="1"/>
      <c r="G2036" s="420"/>
    </row>
    <row r="2037" spans="1:7" ht="12.75" hidden="1" customHeight="1">
      <c r="A2037" s="115" t="s">
        <v>111</v>
      </c>
      <c r="B2037" s="106" t="s">
        <v>193</v>
      </c>
      <c r="C2037" s="80" t="s">
        <v>194</v>
      </c>
      <c r="D2037" s="106" t="s">
        <v>195</v>
      </c>
      <c r="E2037" s="81" t="s">
        <v>186</v>
      </c>
      <c r="F2037" s="108"/>
      <c r="G2037" s="421"/>
    </row>
    <row r="2038" spans="1:7" ht="12.75" hidden="1" customHeight="1">
      <c r="A2038" s="110" t="s">
        <v>457</v>
      </c>
      <c r="B2038" s="106" t="s">
        <v>193</v>
      </c>
      <c r="C2038" s="111">
        <v>28500</v>
      </c>
      <c r="D2038" s="110">
        <v>0.5</v>
      </c>
      <c r="E2038" s="119">
        <f t="shared" si="14"/>
        <v>14250</v>
      </c>
      <c r="F2038" s="112"/>
      <c r="G2038" s="422"/>
    </row>
    <row r="2039" spans="1:7" ht="12.75" hidden="1" customHeight="1">
      <c r="A2039" s="63" t="s">
        <v>458</v>
      </c>
      <c r="B2039" s="123" t="s">
        <v>459</v>
      </c>
      <c r="C2039" s="63">
        <v>1000</v>
      </c>
      <c r="D2039" s="63">
        <f>10*1.05</f>
        <v>10.5</v>
      </c>
      <c r="E2039" s="119">
        <f t="shared" si="14"/>
        <v>10500</v>
      </c>
      <c r="F2039" s="112"/>
      <c r="G2039" s="422"/>
    </row>
    <row r="2040" spans="1:7" ht="12.75" hidden="1" customHeight="1">
      <c r="A2040" s="110" t="s">
        <v>460</v>
      </c>
      <c r="B2040" s="106" t="s">
        <v>220</v>
      </c>
      <c r="C2040" s="111">
        <f>+Bocatoma!G198</f>
        <v>562800</v>
      </c>
      <c r="D2040" s="110">
        <v>1</v>
      </c>
      <c r="E2040" s="119">
        <f t="shared" si="14"/>
        <v>562800</v>
      </c>
      <c r="F2040" s="112"/>
      <c r="G2040" s="422"/>
    </row>
    <row r="2041" spans="1:7" ht="12.75" hidden="1" customHeight="1">
      <c r="A2041" s="63"/>
      <c r="B2041" s="63"/>
      <c r="C2041" s="63"/>
      <c r="D2041" s="63"/>
      <c r="E2041" s="101"/>
      <c r="F2041" s="112"/>
      <c r="G2041" s="422"/>
    </row>
    <row r="2042" spans="1:7" ht="12.75" hidden="1" customHeight="1">
      <c r="A2042" s="110"/>
      <c r="B2042" s="110"/>
      <c r="C2042" s="110"/>
      <c r="D2042" s="110"/>
      <c r="E2042" s="101"/>
      <c r="F2042" s="112"/>
      <c r="G2042" s="422"/>
    </row>
    <row r="2043" spans="1:7" ht="12.75" hidden="1" customHeight="1">
      <c r="A2043" s="110"/>
      <c r="B2043" s="110"/>
      <c r="C2043" s="110"/>
      <c r="D2043" s="110"/>
      <c r="E2043" s="101"/>
      <c r="F2043" s="112"/>
      <c r="G2043" s="422"/>
    </row>
    <row r="2044" spans="1:7" ht="12.75" hidden="1" customHeight="1">
      <c r="A2044" s="116"/>
      <c r="B2044" s="116"/>
      <c r="C2044" s="116"/>
      <c r="D2044" s="116"/>
      <c r="E2044" s="101"/>
      <c r="F2044" s="102" t="s">
        <v>189</v>
      </c>
      <c r="G2044" s="419">
        <f t="shared" si="5"/>
        <v>587550</v>
      </c>
    </row>
    <row r="2045" spans="1:7" ht="12.75" hidden="1" customHeight="1">
      <c r="A2045" s="1" t="s">
        <v>197</v>
      </c>
      <c r="B2045" s="1"/>
      <c r="C2045" s="1"/>
      <c r="D2045" s="1"/>
      <c r="E2045" s="1"/>
      <c r="F2045" s="1"/>
      <c r="G2045" s="420"/>
    </row>
    <row r="2046" spans="1:7" ht="12.75" hidden="1" customHeight="1">
      <c r="A2046" s="117" t="s">
        <v>198</v>
      </c>
      <c r="B2046" s="117" t="s">
        <v>199</v>
      </c>
      <c r="C2046" s="117" t="s">
        <v>200</v>
      </c>
      <c r="D2046" s="117" t="s">
        <v>201</v>
      </c>
      <c r="E2046" s="81" t="s">
        <v>186</v>
      </c>
      <c r="F2046" s="108"/>
      <c r="G2046" s="421"/>
    </row>
    <row r="2047" spans="1:7" ht="12.75" hidden="1" customHeight="1">
      <c r="A2047" s="110" t="s">
        <v>243</v>
      </c>
      <c r="B2047" s="110"/>
      <c r="C2047" s="110"/>
      <c r="D2047" s="110"/>
      <c r="E2047" s="101">
        <v>35000</v>
      </c>
      <c r="F2047" s="112"/>
      <c r="G2047" s="422"/>
    </row>
    <row r="2048" spans="1:7" ht="12.75" hidden="1" customHeight="1">
      <c r="A2048" s="63"/>
      <c r="B2048" s="63"/>
      <c r="C2048" s="63"/>
      <c r="D2048" s="63"/>
      <c r="E2048" s="113"/>
      <c r="F2048" s="112"/>
      <c r="G2048" s="422"/>
    </row>
    <row r="2049" spans="1:7" ht="12.75" hidden="1" customHeight="1">
      <c r="A2049" s="110"/>
      <c r="B2049" s="110"/>
      <c r="C2049" s="110"/>
      <c r="D2049" s="110"/>
      <c r="E2049" s="101"/>
      <c r="F2049" s="112"/>
      <c r="G2049" s="422"/>
    </row>
    <row r="2050" spans="1:7" ht="12.75" hidden="1" customHeight="1">
      <c r="A2050" s="110"/>
      <c r="B2050" s="110"/>
      <c r="C2050" s="110"/>
      <c r="D2050" s="110"/>
      <c r="E2050" s="101"/>
      <c r="F2050" s="112"/>
      <c r="G2050" s="422"/>
    </row>
    <row r="2051" spans="1:7" ht="12.75" hidden="1" customHeight="1">
      <c r="A2051" s="116"/>
      <c r="B2051" s="116"/>
      <c r="C2051" s="116"/>
      <c r="D2051" s="116"/>
      <c r="E2051" s="105"/>
      <c r="F2051" s="102" t="s">
        <v>189</v>
      </c>
      <c r="G2051" s="419">
        <f t="shared" si="6"/>
        <v>35000</v>
      </c>
    </row>
    <row r="2052" spans="1:7" ht="12.75" hidden="1" customHeight="1">
      <c r="A2052" s="1" t="s">
        <v>202</v>
      </c>
      <c r="B2052" s="1"/>
      <c r="C2052" s="1"/>
      <c r="D2052" s="1"/>
      <c r="E2052" s="1"/>
      <c r="F2052" s="1"/>
      <c r="G2052" s="420"/>
    </row>
    <row r="2053" spans="1:7" ht="12.75" hidden="1" customHeight="1">
      <c r="A2053" s="117" t="s">
        <v>203</v>
      </c>
      <c r="B2053" s="80" t="s">
        <v>204</v>
      </c>
      <c r="C2053" s="117" t="s">
        <v>205</v>
      </c>
      <c r="D2053" s="80" t="s">
        <v>206</v>
      </c>
      <c r="E2053" s="117" t="s">
        <v>207</v>
      </c>
      <c r="F2053" s="80" t="s">
        <v>208</v>
      </c>
      <c r="G2053" s="423"/>
    </row>
    <row r="2054" spans="1:7" ht="12.75" hidden="1" customHeight="1">
      <c r="A2054" s="110" t="s">
        <v>188</v>
      </c>
      <c r="B2054" s="100">
        <f>+B32</f>
        <v>140000</v>
      </c>
      <c r="C2054" s="110">
        <f t="shared" si="7"/>
        <v>105000</v>
      </c>
      <c r="D2054" s="100">
        <f t="shared" si="8"/>
        <v>245000</v>
      </c>
      <c r="E2054" s="122">
        <v>6.2</v>
      </c>
      <c r="F2054" s="119">
        <f t="shared" si="22"/>
        <v>39516.129032258061</v>
      </c>
      <c r="G2054" s="424"/>
    </row>
    <row r="2055" spans="1:7" ht="12.75" hidden="1" customHeight="1">
      <c r="A2055" s="63" t="s">
        <v>227</v>
      </c>
      <c r="B2055" s="100">
        <f>+B33*2</f>
        <v>182000</v>
      </c>
      <c r="C2055" s="111">
        <f t="shared" si="7"/>
        <v>136500</v>
      </c>
      <c r="D2055" s="120">
        <f t="shared" si="8"/>
        <v>318500</v>
      </c>
      <c r="E2055" s="122">
        <v>6.2</v>
      </c>
      <c r="F2055" s="119">
        <f t="shared" si="22"/>
        <v>51370.967741935485</v>
      </c>
      <c r="G2055" s="424"/>
    </row>
    <row r="2056" spans="1:7" ht="12.75" hidden="1" customHeight="1">
      <c r="A2056" s="110"/>
      <c r="B2056" s="100"/>
      <c r="C2056" s="110"/>
      <c r="D2056" s="100"/>
      <c r="E2056" s="110"/>
      <c r="F2056" s="101"/>
      <c r="G2056" s="424"/>
    </row>
    <row r="2057" spans="1:7" ht="12.75" hidden="1" customHeight="1">
      <c r="A2057" s="63"/>
      <c r="B2057" s="1"/>
      <c r="C2057" s="63"/>
      <c r="D2057" s="1"/>
      <c r="E2057" s="63"/>
      <c r="F2057" s="101"/>
      <c r="G2057" s="424"/>
    </row>
    <row r="2058" spans="1:7" ht="12.75" hidden="1" customHeight="1">
      <c r="A2058" s="110"/>
      <c r="B2058" s="100"/>
      <c r="C2058" s="110"/>
      <c r="D2058" s="100"/>
      <c r="E2058" s="110"/>
      <c r="F2058" s="101"/>
      <c r="G2058" s="424"/>
    </row>
    <row r="2059" spans="1:7" ht="12.75" hidden="1" customHeight="1">
      <c r="A2059" s="116"/>
      <c r="B2059" s="103"/>
      <c r="C2059" s="116"/>
      <c r="D2059" s="103"/>
      <c r="E2059" s="116"/>
      <c r="F2059" s="101"/>
      <c r="G2059" s="425"/>
    </row>
    <row r="2060" spans="1:7" ht="12.75" hidden="1" customHeight="1">
      <c r="A2060" s="1"/>
      <c r="B2060" s="1"/>
      <c r="C2060" s="1"/>
      <c r="D2060" s="1"/>
      <c r="E2060" s="1"/>
      <c r="F2060" s="1" t="s">
        <v>189</v>
      </c>
      <c r="G2060" s="225">
        <f t="shared" si="10"/>
        <v>90887.096774193546</v>
      </c>
    </row>
    <row r="2061" spans="1:7" ht="12.75" hidden="1" customHeight="1">
      <c r="A2061" s="1"/>
      <c r="B2061" s="1"/>
      <c r="C2061" s="1"/>
      <c r="D2061" s="1"/>
      <c r="E2061" s="1"/>
      <c r="F2061" s="1"/>
      <c r="G2061" s="420"/>
    </row>
    <row r="2062" spans="1:7" ht="12.75" hidden="1" customHeight="1">
      <c r="A2062" s="103" t="s">
        <v>209</v>
      </c>
      <c r="B2062" s="1"/>
      <c r="C2062" s="1" t="s">
        <v>210</v>
      </c>
      <c r="D2062" s="1" t="s">
        <v>211</v>
      </c>
      <c r="E2062" s="1"/>
      <c r="F2062" s="1"/>
      <c r="G2062" s="225">
        <f t="shared" si="11"/>
        <v>719856.45161290327</v>
      </c>
    </row>
    <row r="2063" spans="1:7" ht="12.75" hidden="1" customHeight="1">
      <c r="A2063" s="1"/>
      <c r="B2063" s="1"/>
      <c r="C2063" s="1"/>
      <c r="D2063" s="1"/>
      <c r="E2063" s="1"/>
      <c r="F2063" s="1"/>
      <c r="G2063" s="420"/>
    </row>
    <row r="2064" spans="1:7" ht="12.75" hidden="1" customHeight="1">
      <c r="A2064" s="1"/>
      <c r="B2064" s="1"/>
      <c r="C2064" s="1"/>
      <c r="D2064" s="1"/>
      <c r="E2064" s="1" t="s">
        <v>212</v>
      </c>
      <c r="F2064" s="1"/>
      <c r="G2064" s="225">
        <f t="shared" si="12"/>
        <v>215956.93548387097</v>
      </c>
    </row>
    <row r="2065" spans="1:7" ht="12.75" hidden="1" customHeight="1">
      <c r="A2065" s="1"/>
      <c r="B2065" s="1"/>
      <c r="C2065" s="1"/>
      <c r="D2065" s="1"/>
      <c r="E2065" s="1"/>
      <c r="F2065" s="1"/>
      <c r="G2065" s="420"/>
    </row>
    <row r="2066" spans="1:7" ht="12.75" hidden="1" customHeight="1">
      <c r="A2066" s="103" t="s">
        <v>213</v>
      </c>
      <c r="B2066" s="1"/>
      <c r="C2066" s="1"/>
      <c r="D2066" s="1" t="s">
        <v>214</v>
      </c>
      <c r="E2066" s="1"/>
      <c r="F2066" s="1"/>
      <c r="G2066" s="225">
        <f t="shared" si="13"/>
        <v>935813.3870967743</v>
      </c>
    </row>
    <row r="2067" spans="1:7" ht="15" hidden="1" customHeight="1">
      <c r="A2067" s="468" t="s">
        <v>174</v>
      </c>
      <c r="B2067" s="457"/>
      <c r="C2067" s="457"/>
      <c r="D2067" s="457"/>
      <c r="E2067" s="457"/>
      <c r="F2067" s="457"/>
      <c r="G2067" s="457"/>
    </row>
    <row r="2068" spans="1:7" ht="12.75" hidden="1" customHeight="1"/>
    <row r="2069" spans="1:7" ht="12.75" hidden="1" customHeight="1">
      <c r="A2069" s="1" t="s">
        <v>175</v>
      </c>
      <c r="B2069" s="1"/>
      <c r="C2069" s="1"/>
      <c r="D2069" s="94"/>
      <c r="E2069" s="94"/>
      <c r="F2069" s="94"/>
      <c r="G2069" s="414"/>
    </row>
    <row r="2070" spans="1:7" ht="12.75" hidden="1" customHeight="1">
      <c r="A2070" s="1" t="s">
        <v>368</v>
      </c>
      <c r="B2070" s="1"/>
      <c r="C2070" s="1"/>
      <c r="D2070" s="1"/>
      <c r="F2070" s="95" t="s">
        <v>177</v>
      </c>
      <c r="G2070" s="415">
        <f t="shared" ca="1" si="0"/>
        <v>46289</v>
      </c>
    </row>
    <row r="2071" spans="1:7" ht="12.75" hidden="1" customHeight="1">
      <c r="A2071" s="1"/>
      <c r="B2071" s="1"/>
      <c r="C2071" s="1"/>
      <c r="D2071" s="1"/>
      <c r="E2071" s="1"/>
      <c r="F2071" s="1"/>
      <c r="G2071" s="420"/>
    </row>
    <row r="2072" spans="1:7" ht="12.75" hidden="1" customHeight="1">
      <c r="A2072" s="99" t="s">
        <v>461</v>
      </c>
      <c r="B2072" s="100" t="s">
        <v>462</v>
      </c>
      <c r="C2072" s="100"/>
      <c r="D2072" s="100"/>
      <c r="E2072" s="100"/>
      <c r="F2072" s="100"/>
      <c r="G2072" s="138"/>
    </row>
    <row r="2073" spans="1:7" ht="12.75" hidden="1" customHeight="1">
      <c r="A2073" s="102"/>
      <c r="B2073" s="103"/>
      <c r="C2073" s="103" t="s">
        <v>179</v>
      </c>
      <c r="D2073" s="126">
        <v>1</v>
      </c>
      <c r="E2073" s="103" t="s">
        <v>180</v>
      </c>
      <c r="F2073" s="103" t="s">
        <v>262</v>
      </c>
      <c r="G2073" s="419"/>
    </row>
    <row r="2074" spans="1:7" ht="12.75" hidden="1" customHeight="1">
      <c r="A2074" s="1" t="s">
        <v>182</v>
      </c>
      <c r="B2074" s="1"/>
      <c r="C2074" s="1"/>
      <c r="D2074" s="1"/>
      <c r="E2074" s="1"/>
      <c r="F2074" s="1"/>
      <c r="G2074" s="420"/>
    </row>
    <row r="2075" spans="1:7" ht="12.75" hidden="1" customHeight="1">
      <c r="A2075" s="106" t="s">
        <v>111</v>
      </c>
      <c r="B2075" s="107" t="s">
        <v>183</v>
      </c>
      <c r="C2075" s="106" t="s">
        <v>184</v>
      </c>
      <c r="D2075" s="107" t="s">
        <v>185</v>
      </c>
      <c r="E2075" s="106" t="s">
        <v>186</v>
      </c>
      <c r="F2075" s="108"/>
      <c r="G2075" s="421"/>
    </row>
    <row r="2076" spans="1:7" ht="12.75" hidden="1" customHeight="1">
      <c r="A2076" s="110" t="s">
        <v>187</v>
      </c>
      <c r="B2076" s="100"/>
      <c r="C2076" s="110"/>
      <c r="D2076" s="100"/>
      <c r="E2076" s="111">
        <f t="shared" si="1"/>
        <v>4042.5</v>
      </c>
      <c r="F2076" s="112"/>
      <c r="G2076" s="422"/>
    </row>
    <row r="2077" spans="1:7" ht="12.75" hidden="1" customHeight="1">
      <c r="A2077" s="110"/>
      <c r="B2077" s="110"/>
      <c r="C2077" s="110"/>
      <c r="D2077" s="110"/>
      <c r="E2077" s="101"/>
      <c r="F2077" s="112"/>
      <c r="G2077" s="422"/>
    </row>
    <row r="2078" spans="1:7" ht="12.75" hidden="1" customHeight="1">
      <c r="A2078" s="110"/>
      <c r="B2078" s="110"/>
      <c r="C2078" s="110"/>
      <c r="D2078" s="110"/>
      <c r="E2078" s="101"/>
      <c r="F2078" s="112"/>
      <c r="G2078" s="422"/>
    </row>
    <row r="2079" spans="1:7" ht="12.75" hidden="1" customHeight="1">
      <c r="A2079" s="110"/>
      <c r="B2079" s="110"/>
      <c r="C2079" s="110"/>
      <c r="D2079" s="110"/>
      <c r="E2079" s="101"/>
      <c r="F2079" s="102" t="s">
        <v>189</v>
      </c>
      <c r="G2079" s="419">
        <f t="shared" si="2"/>
        <v>4042.5</v>
      </c>
    </row>
    <row r="2080" spans="1:7" ht="12.75" hidden="1" customHeight="1">
      <c r="A2080" s="1" t="s">
        <v>191</v>
      </c>
      <c r="B2080" s="1"/>
      <c r="C2080" s="1"/>
      <c r="D2080" s="1"/>
      <c r="E2080" s="1"/>
      <c r="F2080" s="1"/>
      <c r="G2080" s="420"/>
    </row>
    <row r="2081" spans="1:7" ht="12.75" hidden="1" customHeight="1">
      <c r="A2081" s="115" t="s">
        <v>111</v>
      </c>
      <c r="B2081" s="106" t="s">
        <v>193</v>
      </c>
      <c r="C2081" s="80" t="s">
        <v>194</v>
      </c>
      <c r="D2081" s="106" t="s">
        <v>195</v>
      </c>
      <c r="E2081" s="81" t="s">
        <v>186</v>
      </c>
      <c r="F2081" s="108"/>
      <c r="G2081" s="421"/>
    </row>
    <row r="2082" spans="1:7" ht="12.75" hidden="1" customHeight="1">
      <c r="A2082" s="110" t="s">
        <v>463</v>
      </c>
      <c r="B2082" s="106" t="s">
        <v>35</v>
      </c>
      <c r="C2082" s="111">
        <v>450000</v>
      </c>
      <c r="D2082" s="110">
        <v>1</v>
      </c>
      <c r="E2082" s="119">
        <v>370000</v>
      </c>
      <c r="F2082" s="112"/>
      <c r="G2082" s="422"/>
    </row>
    <row r="2083" spans="1:7" ht="12.75" hidden="1" customHeight="1">
      <c r="A2083" s="63" t="s">
        <v>464</v>
      </c>
      <c r="B2083" s="123" t="s">
        <v>256</v>
      </c>
      <c r="C2083" s="63">
        <v>35000</v>
      </c>
      <c r="D2083" s="63">
        <v>1</v>
      </c>
      <c r="E2083" s="119">
        <f t="shared" si="14"/>
        <v>35000</v>
      </c>
      <c r="F2083" s="112"/>
      <c r="G2083" s="422"/>
    </row>
    <row r="2084" spans="1:7" ht="12.75" hidden="1" customHeight="1">
      <c r="A2084" s="110"/>
      <c r="B2084" s="106"/>
      <c r="C2084" s="110"/>
      <c r="D2084" s="110"/>
      <c r="E2084" s="119"/>
      <c r="F2084" s="112"/>
      <c r="G2084" s="422"/>
    </row>
    <row r="2085" spans="1:7" ht="12.75" hidden="1" customHeight="1">
      <c r="A2085" s="63"/>
      <c r="B2085" s="63"/>
      <c r="C2085" s="63"/>
      <c r="D2085" s="63"/>
      <c r="E2085" s="101"/>
      <c r="F2085" s="112"/>
      <c r="G2085" s="422"/>
    </row>
    <row r="2086" spans="1:7" ht="12.75" hidden="1" customHeight="1">
      <c r="A2086" s="110"/>
      <c r="B2086" s="110"/>
      <c r="C2086" s="110"/>
      <c r="D2086" s="110"/>
      <c r="E2086" s="101"/>
      <c r="F2086" s="112"/>
      <c r="G2086" s="422"/>
    </row>
    <row r="2087" spans="1:7" ht="12.75" hidden="1" customHeight="1">
      <c r="A2087" s="110"/>
      <c r="B2087" s="110"/>
      <c r="C2087" s="110"/>
      <c r="D2087" s="110"/>
      <c r="E2087" s="101"/>
      <c r="F2087" s="112"/>
      <c r="G2087" s="422"/>
    </row>
    <row r="2088" spans="1:7" ht="12.75" hidden="1" customHeight="1">
      <c r="A2088" s="116"/>
      <c r="B2088" s="116"/>
      <c r="C2088" s="116"/>
      <c r="D2088" s="116"/>
      <c r="E2088" s="101"/>
      <c r="F2088" s="102" t="s">
        <v>189</v>
      </c>
      <c r="G2088" s="419">
        <f t="shared" si="5"/>
        <v>405000</v>
      </c>
    </row>
    <row r="2089" spans="1:7" ht="12.75" hidden="1" customHeight="1">
      <c r="A2089" s="1" t="s">
        <v>197</v>
      </c>
      <c r="B2089" s="1"/>
      <c r="C2089" s="1"/>
      <c r="D2089" s="1"/>
      <c r="E2089" s="1"/>
      <c r="F2089" s="1"/>
      <c r="G2089" s="420"/>
    </row>
    <row r="2090" spans="1:7" ht="12.75" hidden="1" customHeight="1">
      <c r="A2090" s="117" t="s">
        <v>198</v>
      </c>
      <c r="B2090" s="117" t="s">
        <v>199</v>
      </c>
      <c r="C2090" s="117" t="s">
        <v>200</v>
      </c>
      <c r="D2090" s="117" t="s">
        <v>201</v>
      </c>
      <c r="E2090" s="81" t="s">
        <v>186</v>
      </c>
      <c r="F2090" s="108"/>
      <c r="G2090" s="421"/>
    </row>
    <row r="2091" spans="1:7" ht="12.75" hidden="1" customHeight="1">
      <c r="A2091" s="110" t="s">
        <v>243</v>
      </c>
      <c r="B2091" s="110"/>
      <c r="C2091" s="110"/>
      <c r="D2091" s="110"/>
      <c r="E2091" s="101">
        <v>100000</v>
      </c>
      <c r="F2091" s="112"/>
      <c r="G2091" s="422"/>
    </row>
    <row r="2092" spans="1:7" ht="12.75" hidden="1" customHeight="1">
      <c r="A2092" s="63"/>
      <c r="B2092" s="63"/>
      <c r="C2092" s="63"/>
      <c r="D2092" s="63"/>
      <c r="E2092" s="113"/>
      <c r="F2092" s="112"/>
      <c r="G2092" s="422"/>
    </row>
    <row r="2093" spans="1:7" ht="12.75" hidden="1" customHeight="1">
      <c r="A2093" s="110"/>
      <c r="B2093" s="110"/>
      <c r="C2093" s="110"/>
      <c r="D2093" s="110"/>
      <c r="E2093" s="101"/>
      <c r="F2093" s="112"/>
      <c r="G2093" s="422"/>
    </row>
    <row r="2094" spans="1:7" ht="12.75" hidden="1" customHeight="1">
      <c r="A2094" s="110"/>
      <c r="B2094" s="110"/>
      <c r="C2094" s="110"/>
      <c r="D2094" s="110"/>
      <c r="E2094" s="101"/>
      <c r="F2094" s="112"/>
      <c r="G2094" s="422"/>
    </row>
    <row r="2095" spans="1:7" ht="12.75" hidden="1" customHeight="1">
      <c r="A2095" s="116"/>
      <c r="B2095" s="116"/>
      <c r="C2095" s="116"/>
      <c r="D2095" s="116"/>
      <c r="E2095" s="105"/>
      <c r="F2095" s="102" t="s">
        <v>189</v>
      </c>
      <c r="G2095" s="419">
        <f t="shared" si="6"/>
        <v>100000</v>
      </c>
    </row>
    <row r="2096" spans="1:7" ht="12.75" hidden="1" customHeight="1">
      <c r="A2096" s="1" t="s">
        <v>202</v>
      </c>
      <c r="B2096" s="1"/>
      <c r="C2096" s="1"/>
      <c r="D2096" s="1"/>
      <c r="E2096" s="1"/>
      <c r="F2096" s="1"/>
      <c r="G2096" s="420"/>
    </row>
    <row r="2097" spans="1:7" ht="12.75" hidden="1" customHeight="1">
      <c r="A2097" s="117" t="s">
        <v>203</v>
      </c>
      <c r="B2097" s="80" t="s">
        <v>204</v>
      </c>
      <c r="C2097" s="117" t="s">
        <v>205</v>
      </c>
      <c r="D2097" s="80" t="s">
        <v>206</v>
      </c>
      <c r="E2097" s="117" t="s">
        <v>207</v>
      </c>
      <c r="F2097" s="80" t="s">
        <v>208</v>
      </c>
      <c r="G2097" s="423"/>
    </row>
    <row r="2098" spans="1:7" ht="12.75" hidden="1" customHeight="1">
      <c r="A2098" s="110" t="s">
        <v>188</v>
      </c>
      <c r="B2098" s="100">
        <f>+B32</f>
        <v>140000</v>
      </c>
      <c r="C2098" s="110">
        <f t="shared" si="7"/>
        <v>105000</v>
      </c>
      <c r="D2098" s="100">
        <f t="shared" si="8"/>
        <v>245000</v>
      </c>
      <c r="E2098" s="110">
        <v>5</v>
      </c>
      <c r="F2098" s="119">
        <f t="shared" si="22"/>
        <v>49000</v>
      </c>
      <c r="G2098" s="424"/>
    </row>
    <row r="2099" spans="1:7" ht="12.75" hidden="1" customHeight="1">
      <c r="A2099" s="63" t="s">
        <v>190</v>
      </c>
      <c r="B2099" s="100">
        <f>+B33</f>
        <v>91000</v>
      </c>
      <c r="C2099" s="111">
        <f t="shared" si="7"/>
        <v>68250</v>
      </c>
      <c r="D2099" s="120">
        <f t="shared" si="8"/>
        <v>159250</v>
      </c>
      <c r="E2099" s="110">
        <v>5</v>
      </c>
      <c r="F2099" s="119">
        <f t="shared" si="22"/>
        <v>31850</v>
      </c>
      <c r="G2099" s="424"/>
    </row>
    <row r="2100" spans="1:7" ht="12.75" hidden="1" customHeight="1">
      <c r="A2100" s="110"/>
      <c r="B2100" s="100"/>
      <c r="C2100" s="110"/>
      <c r="D2100" s="100"/>
      <c r="E2100" s="110"/>
      <c r="F2100" s="101"/>
      <c r="G2100" s="424"/>
    </row>
    <row r="2101" spans="1:7" ht="12.75" hidden="1" customHeight="1">
      <c r="A2101" s="63"/>
      <c r="B2101" s="1"/>
      <c r="C2101" s="63"/>
      <c r="D2101" s="1"/>
      <c r="E2101" s="63"/>
      <c r="F2101" s="101"/>
      <c r="G2101" s="424"/>
    </row>
    <row r="2102" spans="1:7" ht="12.75" hidden="1" customHeight="1">
      <c r="A2102" s="110"/>
      <c r="B2102" s="100"/>
      <c r="C2102" s="110"/>
      <c r="D2102" s="100"/>
      <c r="E2102" s="110"/>
      <c r="F2102" s="101"/>
      <c r="G2102" s="424"/>
    </row>
    <row r="2103" spans="1:7" ht="12.75" hidden="1" customHeight="1">
      <c r="A2103" s="116"/>
      <c r="B2103" s="103"/>
      <c r="C2103" s="116"/>
      <c r="D2103" s="103"/>
      <c r="E2103" s="116"/>
      <c r="F2103" s="101"/>
      <c r="G2103" s="425"/>
    </row>
    <row r="2104" spans="1:7" ht="12.75" hidden="1" customHeight="1">
      <c r="A2104" s="1"/>
      <c r="B2104" s="1"/>
      <c r="C2104" s="1"/>
      <c r="D2104" s="1"/>
      <c r="E2104" s="1"/>
      <c r="F2104" s="1" t="s">
        <v>189</v>
      </c>
      <c r="G2104" s="225">
        <f t="shared" si="10"/>
        <v>80850</v>
      </c>
    </row>
    <row r="2105" spans="1:7" ht="12.75" hidden="1" customHeight="1">
      <c r="A2105" s="1"/>
      <c r="B2105" s="1"/>
      <c r="C2105" s="1"/>
      <c r="D2105" s="1"/>
      <c r="E2105" s="1"/>
      <c r="F2105" s="1"/>
      <c r="G2105" s="420"/>
    </row>
    <row r="2106" spans="1:7" ht="12.75" hidden="1" customHeight="1">
      <c r="A2106" s="103" t="s">
        <v>209</v>
      </c>
      <c r="B2106" s="1"/>
      <c r="C2106" s="1" t="s">
        <v>210</v>
      </c>
      <c r="D2106" s="1" t="s">
        <v>211</v>
      </c>
      <c r="E2106" s="1"/>
      <c r="F2106" s="1"/>
      <c r="G2106" s="225">
        <f t="shared" si="11"/>
        <v>589892.5</v>
      </c>
    </row>
    <row r="2107" spans="1:7" ht="12.75" hidden="1" customHeight="1">
      <c r="A2107" s="1"/>
      <c r="B2107" s="1"/>
      <c r="C2107" s="1"/>
      <c r="D2107" s="1"/>
      <c r="E2107" s="1"/>
      <c r="F2107" s="1"/>
      <c r="G2107" s="420"/>
    </row>
    <row r="2108" spans="1:7" ht="12.75" hidden="1" customHeight="1">
      <c r="A2108" s="1"/>
      <c r="B2108" s="1"/>
      <c r="C2108" s="1"/>
      <c r="D2108" s="1"/>
      <c r="E2108" s="1" t="s">
        <v>212</v>
      </c>
      <c r="F2108" s="1"/>
      <c r="G2108" s="225">
        <f t="shared" si="12"/>
        <v>176967.75</v>
      </c>
    </row>
    <row r="2109" spans="1:7" ht="12.75" hidden="1" customHeight="1">
      <c r="A2109" s="1"/>
      <c r="B2109" s="1"/>
      <c r="C2109" s="1"/>
      <c r="D2109" s="1"/>
      <c r="E2109" s="1"/>
      <c r="F2109" s="1"/>
      <c r="G2109" s="420"/>
    </row>
    <row r="2110" spans="1:7" ht="12.75" hidden="1" customHeight="1">
      <c r="A2110" s="103" t="s">
        <v>213</v>
      </c>
      <c r="B2110" s="1"/>
      <c r="C2110" s="1"/>
      <c r="D2110" s="1" t="s">
        <v>214</v>
      </c>
      <c r="E2110" s="1"/>
      <c r="F2110" s="1"/>
      <c r="G2110" s="225">
        <f t="shared" si="13"/>
        <v>766860.25</v>
      </c>
    </row>
    <row r="2111" spans="1:7" ht="15" hidden="1" customHeight="1">
      <c r="A2111" s="468" t="s">
        <v>174</v>
      </c>
      <c r="B2111" s="457"/>
      <c r="C2111" s="457"/>
      <c r="D2111" s="457"/>
      <c r="E2111" s="457"/>
      <c r="F2111" s="457"/>
      <c r="G2111" s="457"/>
    </row>
    <row r="2112" spans="1:7" ht="12.75" hidden="1" customHeight="1"/>
    <row r="2113" spans="1:7" ht="12.75" hidden="1" customHeight="1">
      <c r="A2113" s="1" t="s">
        <v>175</v>
      </c>
      <c r="B2113" s="1"/>
      <c r="C2113" s="1"/>
      <c r="D2113" s="94"/>
      <c r="E2113" s="94"/>
      <c r="F2113" s="94"/>
      <c r="G2113" s="414"/>
    </row>
    <row r="2114" spans="1:7" ht="12.75" hidden="1" customHeight="1">
      <c r="A2114" s="1" t="s">
        <v>368</v>
      </c>
      <c r="B2114" s="1"/>
      <c r="C2114" s="1"/>
      <c r="D2114" s="1"/>
      <c r="F2114" s="95" t="s">
        <v>177</v>
      </c>
      <c r="G2114" s="415">
        <f t="shared" ca="1" si="0"/>
        <v>46289</v>
      </c>
    </row>
    <row r="2115" spans="1:7" ht="12.75" hidden="1" customHeight="1">
      <c r="A2115" s="1"/>
      <c r="B2115" s="1"/>
      <c r="C2115" s="1"/>
      <c r="D2115" s="1"/>
      <c r="E2115" s="1"/>
      <c r="F2115" s="1"/>
      <c r="G2115" s="420"/>
    </row>
    <row r="2116" spans="1:7" ht="12.75" hidden="1" customHeight="1">
      <c r="A2116" s="99" t="s">
        <v>465</v>
      </c>
      <c r="B2116" s="100" t="s">
        <v>466</v>
      </c>
      <c r="C2116" s="100"/>
      <c r="D2116" s="100"/>
      <c r="E2116" s="100"/>
      <c r="F2116" s="100"/>
      <c r="G2116" s="138"/>
    </row>
    <row r="2117" spans="1:7" ht="12.75" hidden="1" customHeight="1">
      <c r="A2117" s="102" t="s">
        <v>467</v>
      </c>
      <c r="B2117" s="103"/>
      <c r="C2117" s="103" t="s">
        <v>179</v>
      </c>
      <c r="D2117" s="126">
        <v>1</v>
      </c>
      <c r="E2117" s="103" t="s">
        <v>180</v>
      </c>
      <c r="F2117" s="103" t="s">
        <v>262</v>
      </c>
      <c r="G2117" s="419"/>
    </row>
    <row r="2118" spans="1:7" ht="12.75" hidden="1" customHeight="1">
      <c r="A2118" s="1" t="s">
        <v>182</v>
      </c>
      <c r="B2118" s="1"/>
      <c r="C2118" s="1"/>
      <c r="D2118" s="1"/>
      <c r="E2118" s="1"/>
      <c r="F2118" s="1"/>
      <c r="G2118" s="420"/>
    </row>
    <row r="2119" spans="1:7" ht="12.75" hidden="1" customHeight="1">
      <c r="A2119" s="106" t="s">
        <v>111</v>
      </c>
      <c r="B2119" s="107" t="s">
        <v>183</v>
      </c>
      <c r="C2119" s="106" t="s">
        <v>184</v>
      </c>
      <c r="D2119" s="107" t="s">
        <v>185</v>
      </c>
      <c r="E2119" s="106" t="s">
        <v>186</v>
      </c>
      <c r="F2119" s="108"/>
      <c r="G2119" s="421"/>
    </row>
    <row r="2120" spans="1:7" ht="12.75" hidden="1" customHeight="1">
      <c r="A2120" s="110" t="s">
        <v>187</v>
      </c>
      <c r="B2120" s="100"/>
      <c r="C2120" s="110"/>
      <c r="D2120" s="100"/>
      <c r="E2120" s="111">
        <f t="shared" si="1"/>
        <v>101062.5</v>
      </c>
      <c r="F2120" s="112"/>
      <c r="G2120" s="422"/>
    </row>
    <row r="2121" spans="1:7" ht="12.75" hidden="1" customHeight="1">
      <c r="A2121" s="110"/>
      <c r="B2121" s="110"/>
      <c r="C2121" s="110"/>
      <c r="D2121" s="110"/>
      <c r="E2121" s="101"/>
      <c r="F2121" s="112"/>
      <c r="G2121" s="422"/>
    </row>
    <row r="2122" spans="1:7" ht="12.75" hidden="1" customHeight="1">
      <c r="A2122" s="110"/>
      <c r="B2122" s="110"/>
      <c r="C2122" s="110"/>
      <c r="D2122" s="110"/>
      <c r="E2122" s="101"/>
      <c r="F2122" s="112"/>
      <c r="G2122" s="422"/>
    </row>
    <row r="2123" spans="1:7" ht="12.75" hidden="1" customHeight="1">
      <c r="A2123" s="110"/>
      <c r="B2123" s="110"/>
      <c r="C2123" s="110"/>
      <c r="D2123" s="110"/>
      <c r="E2123" s="101"/>
      <c r="F2123" s="102" t="s">
        <v>189</v>
      </c>
      <c r="G2123" s="419">
        <f t="shared" si="2"/>
        <v>101062.5</v>
      </c>
    </row>
    <row r="2124" spans="1:7" ht="12.75" hidden="1" customHeight="1">
      <c r="A2124" s="1" t="s">
        <v>191</v>
      </c>
      <c r="B2124" s="1"/>
      <c r="C2124" s="1"/>
      <c r="D2124" s="1"/>
      <c r="E2124" s="1"/>
      <c r="F2124" s="1"/>
      <c r="G2124" s="420"/>
    </row>
    <row r="2125" spans="1:7" ht="12.75" hidden="1" customHeight="1">
      <c r="A2125" s="115" t="s">
        <v>111</v>
      </c>
      <c r="B2125" s="106" t="s">
        <v>193</v>
      </c>
      <c r="C2125" s="80" t="s">
        <v>194</v>
      </c>
      <c r="D2125" s="106" t="s">
        <v>195</v>
      </c>
      <c r="E2125" s="81" t="s">
        <v>186</v>
      </c>
      <c r="F2125" s="108"/>
      <c r="G2125" s="421"/>
    </row>
    <row r="2126" spans="1:7" ht="12.75" hidden="1" customHeight="1">
      <c r="A2126" s="110" t="s">
        <v>468</v>
      </c>
      <c r="B2126" s="106"/>
      <c r="C2126" s="111"/>
      <c r="D2126" s="110"/>
      <c r="E2126" s="119"/>
      <c r="F2126" s="112"/>
      <c r="G2126" s="422"/>
    </row>
    <row r="2127" spans="1:7" ht="12.75" hidden="1" customHeight="1">
      <c r="A2127" s="110" t="s">
        <v>469</v>
      </c>
      <c r="B2127" s="123"/>
      <c r="C2127" s="63"/>
      <c r="D2127" s="63"/>
      <c r="E2127" s="119"/>
      <c r="F2127" s="112"/>
      <c r="G2127" s="422"/>
    </row>
    <row r="2128" spans="1:7" ht="12.75" hidden="1" customHeight="1">
      <c r="A2128" s="110" t="s">
        <v>470</v>
      </c>
      <c r="B2128" s="106"/>
      <c r="C2128" s="110"/>
      <c r="D2128" s="110"/>
      <c r="E2128" s="119"/>
      <c r="F2128" s="112"/>
      <c r="G2128" s="422"/>
    </row>
    <row r="2129" spans="1:7" ht="12.75" hidden="1" customHeight="1">
      <c r="A2129" s="110" t="s">
        <v>471</v>
      </c>
      <c r="B2129" s="123" t="s">
        <v>256</v>
      </c>
      <c r="C2129" s="63"/>
      <c r="D2129" s="63"/>
      <c r="E2129" s="101">
        <v>4500000</v>
      </c>
      <c r="F2129" s="112"/>
      <c r="G2129" s="422"/>
    </row>
    <row r="2130" spans="1:7" ht="12.75" hidden="1" customHeight="1">
      <c r="A2130" s="110"/>
      <c r="B2130" s="110"/>
      <c r="C2130" s="110"/>
      <c r="D2130" s="110"/>
      <c r="E2130" s="101"/>
      <c r="F2130" s="112"/>
      <c r="G2130" s="422"/>
    </row>
    <row r="2131" spans="1:7" ht="12.75" hidden="1" customHeight="1">
      <c r="A2131" s="110"/>
      <c r="B2131" s="110"/>
      <c r="C2131" s="110"/>
      <c r="D2131" s="110"/>
      <c r="E2131" s="101"/>
      <c r="F2131" s="112"/>
      <c r="G2131" s="422"/>
    </row>
    <row r="2132" spans="1:7" ht="12.75" hidden="1" customHeight="1">
      <c r="A2132" s="116"/>
      <c r="B2132" s="116"/>
      <c r="C2132" s="116"/>
      <c r="D2132" s="116"/>
      <c r="E2132" s="101"/>
      <c r="F2132" s="102" t="s">
        <v>189</v>
      </c>
      <c r="G2132" s="419">
        <f t="shared" si="5"/>
        <v>4500000</v>
      </c>
    </row>
    <row r="2133" spans="1:7" ht="12.75" hidden="1" customHeight="1">
      <c r="A2133" s="1" t="s">
        <v>197</v>
      </c>
      <c r="B2133" s="1"/>
      <c r="C2133" s="1"/>
      <c r="D2133" s="1"/>
      <c r="E2133" s="1"/>
      <c r="F2133" s="1"/>
      <c r="G2133" s="420"/>
    </row>
    <row r="2134" spans="1:7" ht="12.75" hidden="1" customHeight="1">
      <c r="A2134" s="117" t="s">
        <v>198</v>
      </c>
      <c r="B2134" s="117" t="s">
        <v>199</v>
      </c>
      <c r="C2134" s="117" t="s">
        <v>200</v>
      </c>
      <c r="D2134" s="117" t="s">
        <v>201</v>
      </c>
      <c r="E2134" s="81" t="s">
        <v>186</v>
      </c>
      <c r="F2134" s="108"/>
      <c r="G2134" s="421"/>
    </row>
    <row r="2135" spans="1:7" ht="12.75" hidden="1" customHeight="1">
      <c r="A2135" s="110" t="s">
        <v>243</v>
      </c>
      <c r="B2135" s="110"/>
      <c r="C2135" s="110"/>
      <c r="D2135" s="110"/>
      <c r="E2135" s="101">
        <v>500000</v>
      </c>
      <c r="F2135" s="112"/>
      <c r="G2135" s="422"/>
    </row>
    <row r="2136" spans="1:7" ht="12.75" hidden="1" customHeight="1">
      <c r="A2136" s="63"/>
      <c r="B2136" s="63"/>
      <c r="C2136" s="63"/>
      <c r="D2136" s="63"/>
      <c r="E2136" s="113"/>
      <c r="F2136" s="112"/>
      <c r="G2136" s="422"/>
    </row>
    <row r="2137" spans="1:7" ht="12.75" hidden="1" customHeight="1">
      <c r="A2137" s="110"/>
      <c r="B2137" s="110"/>
      <c r="C2137" s="110"/>
      <c r="D2137" s="110"/>
      <c r="E2137" s="101"/>
      <c r="F2137" s="112"/>
      <c r="G2137" s="422"/>
    </row>
    <row r="2138" spans="1:7" ht="12.75" hidden="1" customHeight="1">
      <c r="A2138" s="110"/>
      <c r="B2138" s="110"/>
      <c r="C2138" s="110"/>
      <c r="D2138" s="110"/>
      <c r="E2138" s="101"/>
      <c r="F2138" s="112"/>
      <c r="G2138" s="422"/>
    </row>
    <row r="2139" spans="1:7" ht="12.75" hidden="1" customHeight="1">
      <c r="A2139" s="116"/>
      <c r="B2139" s="116"/>
      <c r="C2139" s="116"/>
      <c r="D2139" s="116"/>
      <c r="E2139" s="105"/>
      <c r="F2139" s="102" t="s">
        <v>189</v>
      </c>
      <c r="G2139" s="419">
        <f t="shared" si="6"/>
        <v>500000</v>
      </c>
    </row>
    <row r="2140" spans="1:7" ht="12.75" hidden="1" customHeight="1">
      <c r="A2140" s="1" t="s">
        <v>202</v>
      </c>
      <c r="B2140" s="1"/>
      <c r="C2140" s="1"/>
      <c r="D2140" s="1"/>
      <c r="E2140" s="1"/>
      <c r="F2140" s="1"/>
      <c r="G2140" s="420"/>
    </row>
    <row r="2141" spans="1:7" ht="12.75" hidden="1" customHeight="1">
      <c r="A2141" s="117" t="s">
        <v>203</v>
      </c>
      <c r="B2141" s="80" t="s">
        <v>204</v>
      </c>
      <c r="C2141" s="117" t="s">
        <v>205</v>
      </c>
      <c r="D2141" s="80" t="s">
        <v>206</v>
      </c>
      <c r="E2141" s="117" t="s">
        <v>207</v>
      </c>
      <c r="F2141" s="80" t="s">
        <v>208</v>
      </c>
      <c r="G2141" s="423"/>
    </row>
    <row r="2142" spans="1:7" ht="12.75" hidden="1" customHeight="1">
      <c r="A2142" s="110" t="s">
        <v>188</v>
      </c>
      <c r="B2142" s="100">
        <f>+B32</f>
        <v>140000</v>
      </c>
      <c r="C2142" s="110">
        <f t="shared" si="7"/>
        <v>105000</v>
      </c>
      <c r="D2142" s="100">
        <f t="shared" si="8"/>
        <v>245000</v>
      </c>
      <c r="E2142" s="110">
        <v>0.2</v>
      </c>
      <c r="F2142" s="119">
        <f t="shared" si="22"/>
        <v>1225000</v>
      </c>
      <c r="G2142" s="424"/>
    </row>
    <row r="2143" spans="1:7" ht="12.75" hidden="1" customHeight="1">
      <c r="A2143" s="63" t="s">
        <v>190</v>
      </c>
      <c r="B2143" s="100">
        <f>+B33</f>
        <v>91000</v>
      </c>
      <c r="C2143" s="111">
        <f t="shared" si="7"/>
        <v>68250</v>
      </c>
      <c r="D2143" s="120">
        <f t="shared" si="8"/>
        <v>159250</v>
      </c>
      <c r="E2143" s="110">
        <v>0.2</v>
      </c>
      <c r="F2143" s="119">
        <f t="shared" si="22"/>
        <v>796250</v>
      </c>
      <c r="G2143" s="424"/>
    </row>
    <row r="2144" spans="1:7" ht="12.75" hidden="1" customHeight="1">
      <c r="A2144" s="110"/>
      <c r="B2144" s="100"/>
      <c r="C2144" s="110"/>
      <c r="D2144" s="100"/>
      <c r="E2144" s="110"/>
      <c r="F2144" s="101"/>
      <c r="G2144" s="424"/>
    </row>
    <row r="2145" spans="1:7" ht="12.75" hidden="1" customHeight="1">
      <c r="A2145" s="63"/>
      <c r="B2145" s="1"/>
      <c r="C2145" s="63"/>
      <c r="D2145" s="1"/>
      <c r="E2145" s="63"/>
      <c r="F2145" s="101"/>
      <c r="G2145" s="424"/>
    </row>
    <row r="2146" spans="1:7" ht="12.75" hidden="1" customHeight="1">
      <c r="A2146" s="110"/>
      <c r="B2146" s="100"/>
      <c r="C2146" s="110"/>
      <c r="D2146" s="100"/>
      <c r="E2146" s="110"/>
      <c r="F2146" s="101"/>
      <c r="G2146" s="424"/>
    </row>
    <row r="2147" spans="1:7" ht="12.75" hidden="1" customHeight="1">
      <c r="A2147" s="116"/>
      <c r="B2147" s="103"/>
      <c r="C2147" s="116"/>
      <c r="D2147" s="103"/>
      <c r="E2147" s="116"/>
      <c r="F2147" s="101"/>
      <c r="G2147" s="425"/>
    </row>
    <row r="2148" spans="1:7" ht="12.75" hidden="1" customHeight="1">
      <c r="A2148" s="1"/>
      <c r="B2148" s="1"/>
      <c r="C2148" s="1"/>
      <c r="D2148" s="1"/>
      <c r="E2148" s="1"/>
      <c r="F2148" s="1" t="s">
        <v>189</v>
      </c>
      <c r="G2148" s="225">
        <f t="shared" si="10"/>
        <v>2021250</v>
      </c>
    </row>
    <row r="2149" spans="1:7" ht="12.75" hidden="1" customHeight="1">
      <c r="A2149" s="1"/>
      <c r="B2149" s="1"/>
      <c r="C2149" s="1"/>
      <c r="D2149" s="1"/>
      <c r="E2149" s="1"/>
      <c r="F2149" s="1"/>
      <c r="G2149" s="420"/>
    </row>
    <row r="2150" spans="1:7" ht="12.75" hidden="1" customHeight="1">
      <c r="A2150" s="103" t="s">
        <v>209</v>
      </c>
      <c r="B2150" s="1"/>
      <c r="C2150" s="1" t="s">
        <v>210</v>
      </c>
      <c r="D2150" s="1" t="s">
        <v>211</v>
      </c>
      <c r="E2150" s="1"/>
      <c r="F2150" s="1"/>
      <c r="G2150" s="225">
        <f t="shared" si="11"/>
        <v>7122312.5</v>
      </c>
    </row>
    <row r="2151" spans="1:7" ht="12.75" hidden="1" customHeight="1">
      <c r="A2151" s="1"/>
      <c r="B2151" s="1"/>
      <c r="C2151" s="1"/>
      <c r="D2151" s="1"/>
      <c r="E2151" s="1"/>
      <c r="F2151" s="1"/>
      <c r="G2151" s="420"/>
    </row>
    <row r="2152" spans="1:7" ht="12.75" hidden="1" customHeight="1">
      <c r="A2152" s="1"/>
      <c r="B2152" s="1"/>
      <c r="C2152" s="1"/>
      <c r="D2152" s="1"/>
      <c r="E2152" s="1" t="s">
        <v>212</v>
      </c>
      <c r="F2152" s="1"/>
      <c r="G2152" s="225">
        <f t="shared" si="12"/>
        <v>2136693.75</v>
      </c>
    </row>
    <row r="2153" spans="1:7" ht="12.75" hidden="1" customHeight="1">
      <c r="A2153" s="1"/>
      <c r="B2153" s="1"/>
      <c r="C2153" s="1"/>
      <c r="D2153" s="1"/>
      <c r="E2153" s="1"/>
      <c r="F2153" s="1"/>
      <c r="G2153" s="420"/>
    </row>
    <row r="2154" spans="1:7" ht="12.75" hidden="1" customHeight="1">
      <c r="A2154" s="103" t="s">
        <v>213</v>
      </c>
      <c r="B2154" s="1"/>
      <c r="C2154" s="1"/>
      <c r="D2154" s="1" t="s">
        <v>214</v>
      </c>
      <c r="E2154" s="1"/>
      <c r="F2154" s="1"/>
      <c r="G2154" s="225">
        <f t="shared" si="13"/>
        <v>9259006.25</v>
      </c>
    </row>
    <row r="2155" spans="1:7" ht="15" hidden="1" customHeight="1">
      <c r="A2155" s="468" t="s">
        <v>174</v>
      </c>
      <c r="B2155" s="457"/>
      <c r="C2155" s="457"/>
      <c r="D2155" s="457"/>
      <c r="E2155" s="457"/>
      <c r="F2155" s="457"/>
      <c r="G2155" s="457"/>
    </row>
    <row r="2156" spans="1:7" ht="12.75" hidden="1" customHeight="1">
      <c r="A2156" s="77"/>
      <c r="B2156" s="77"/>
      <c r="C2156" s="77"/>
      <c r="D2156" s="77"/>
      <c r="E2156" s="77"/>
      <c r="F2156" s="77"/>
    </row>
    <row r="2157" spans="1:7" ht="12.75" hidden="1" customHeight="1">
      <c r="A2157" s="1" t="s">
        <v>175</v>
      </c>
      <c r="B2157" s="1"/>
      <c r="C2157" s="1"/>
      <c r="D2157" s="94"/>
      <c r="E2157" s="94"/>
      <c r="F2157" s="94"/>
      <c r="G2157" s="414"/>
    </row>
    <row r="2158" spans="1:7" ht="12.75" hidden="1" customHeight="1">
      <c r="A2158" s="1" t="s">
        <v>368</v>
      </c>
      <c r="B2158" s="1"/>
      <c r="C2158" s="1"/>
      <c r="D2158" s="1"/>
      <c r="F2158" s="95" t="s">
        <v>177</v>
      </c>
      <c r="G2158" s="415">
        <f t="shared" ca="1" si="0"/>
        <v>46289</v>
      </c>
    </row>
    <row r="2159" spans="1:7" ht="12.75" hidden="1" customHeight="1">
      <c r="A2159" s="1"/>
      <c r="B2159" s="1"/>
      <c r="C2159" s="1"/>
      <c r="D2159" s="1"/>
      <c r="E2159" s="1"/>
      <c r="F2159" s="1"/>
      <c r="G2159" s="420"/>
    </row>
    <row r="2160" spans="1:7" ht="12.75" hidden="1" customHeight="1">
      <c r="A2160" s="99" t="s">
        <v>472</v>
      </c>
      <c r="B2160" s="100" t="s">
        <v>473</v>
      </c>
      <c r="C2160" s="100"/>
      <c r="D2160" s="100"/>
      <c r="E2160" s="100"/>
      <c r="F2160" s="100"/>
      <c r="G2160" s="138"/>
    </row>
    <row r="2161" spans="1:7" ht="12.75" hidden="1" customHeight="1">
      <c r="A2161" s="1" t="s">
        <v>474</v>
      </c>
      <c r="B2161" s="103"/>
      <c r="C2161" s="104" t="s">
        <v>179</v>
      </c>
      <c r="D2161" s="126">
        <v>2</v>
      </c>
      <c r="E2161" s="103" t="s">
        <v>180</v>
      </c>
      <c r="F2161" s="103" t="s">
        <v>262</v>
      </c>
      <c r="G2161" s="419"/>
    </row>
    <row r="2162" spans="1:7" ht="12.75" hidden="1" customHeight="1">
      <c r="A2162" s="1" t="s">
        <v>182</v>
      </c>
      <c r="B2162" s="1"/>
      <c r="C2162" s="1"/>
      <c r="D2162" s="1"/>
      <c r="E2162" s="1"/>
      <c r="F2162" s="1"/>
      <c r="G2162" s="420"/>
    </row>
    <row r="2163" spans="1:7" ht="12.75" hidden="1" customHeight="1">
      <c r="A2163" s="106" t="s">
        <v>111</v>
      </c>
      <c r="B2163" s="107" t="s">
        <v>183</v>
      </c>
      <c r="C2163" s="106" t="s">
        <v>184</v>
      </c>
      <c r="D2163" s="107" t="s">
        <v>185</v>
      </c>
      <c r="E2163" s="106" t="s">
        <v>186</v>
      </c>
      <c r="F2163" s="108"/>
      <c r="G2163" s="421"/>
    </row>
    <row r="2164" spans="1:7" ht="12.75" hidden="1" customHeight="1">
      <c r="A2164" s="110" t="s">
        <v>187</v>
      </c>
      <c r="B2164" s="100"/>
      <c r="C2164" s="110"/>
      <c r="D2164" s="100"/>
      <c r="E2164" s="111">
        <f t="shared" si="1"/>
        <v>61425</v>
      </c>
      <c r="F2164" s="112"/>
      <c r="G2164" s="422"/>
    </row>
    <row r="2165" spans="1:7" ht="12.75" hidden="1" customHeight="1">
      <c r="A2165" s="110" t="s">
        <v>399</v>
      </c>
      <c r="B2165" s="110" t="s">
        <v>400</v>
      </c>
      <c r="C2165" s="110">
        <v>100000</v>
      </c>
      <c r="D2165" s="110">
        <v>2.5</v>
      </c>
      <c r="E2165" s="101">
        <f t="shared" si="22"/>
        <v>40000</v>
      </c>
      <c r="F2165" s="112"/>
      <c r="G2165" s="422"/>
    </row>
    <row r="2166" spans="1:7" ht="12.75" hidden="1" customHeight="1">
      <c r="A2166" s="110"/>
      <c r="B2166" s="110"/>
      <c r="C2166" s="110"/>
      <c r="D2166" s="110"/>
      <c r="E2166" s="101"/>
      <c r="F2166" s="112"/>
      <c r="G2166" s="422"/>
    </row>
    <row r="2167" spans="1:7" ht="12.75" hidden="1" customHeight="1">
      <c r="A2167" s="110"/>
      <c r="B2167" s="110"/>
      <c r="C2167" s="110"/>
      <c r="D2167" s="110"/>
      <c r="E2167" s="101"/>
      <c r="F2167" s="102" t="s">
        <v>189</v>
      </c>
      <c r="G2167" s="419">
        <f t="shared" si="2"/>
        <v>101425</v>
      </c>
    </row>
    <row r="2168" spans="1:7" ht="12.75" hidden="1" customHeight="1">
      <c r="A2168" s="1" t="s">
        <v>191</v>
      </c>
      <c r="B2168" s="1"/>
      <c r="C2168" s="1"/>
      <c r="D2168" s="1"/>
      <c r="E2168" s="1"/>
      <c r="F2168" s="1"/>
      <c r="G2168" s="420"/>
    </row>
    <row r="2169" spans="1:7" ht="12.75" hidden="1" customHeight="1">
      <c r="A2169" s="115" t="s">
        <v>111</v>
      </c>
      <c r="B2169" s="106" t="s">
        <v>193</v>
      </c>
      <c r="C2169" s="80" t="s">
        <v>194</v>
      </c>
      <c r="D2169" s="106" t="s">
        <v>195</v>
      </c>
      <c r="E2169" s="81" t="s">
        <v>186</v>
      </c>
      <c r="F2169" s="108"/>
      <c r="G2169" s="421"/>
    </row>
    <row r="2170" spans="1:7" ht="12.75" hidden="1" customHeight="1">
      <c r="A2170" s="110" t="s">
        <v>401</v>
      </c>
      <c r="B2170" s="106"/>
      <c r="C2170" s="111"/>
      <c r="D2170" s="110"/>
      <c r="E2170" s="119"/>
      <c r="F2170" s="112"/>
      <c r="G2170" s="422"/>
    </row>
    <row r="2171" spans="1:7" ht="12.75" hidden="1" customHeight="1">
      <c r="A2171" s="110" t="s">
        <v>475</v>
      </c>
      <c r="B2171" s="123"/>
      <c r="C2171" s="63"/>
      <c r="D2171" s="63"/>
      <c r="E2171" s="119"/>
      <c r="F2171" s="112"/>
      <c r="G2171" s="422"/>
    </row>
    <row r="2172" spans="1:7" ht="12.75" hidden="1" customHeight="1">
      <c r="A2172" s="110" t="s">
        <v>387</v>
      </c>
      <c r="B2172" s="106"/>
      <c r="C2172" s="110"/>
      <c r="D2172" s="110"/>
      <c r="E2172" s="119"/>
      <c r="F2172" s="112"/>
      <c r="G2172" s="422"/>
    </row>
    <row r="2173" spans="1:7" ht="12.75" hidden="1" customHeight="1">
      <c r="A2173" s="63" t="s">
        <v>388</v>
      </c>
      <c r="B2173" s="63"/>
      <c r="C2173" s="63"/>
      <c r="D2173" s="63"/>
      <c r="E2173" s="101"/>
      <c r="F2173" s="112"/>
      <c r="G2173" s="422"/>
    </row>
    <row r="2174" spans="1:7" ht="12.75" hidden="1" customHeight="1">
      <c r="A2174" s="110" t="s">
        <v>389</v>
      </c>
      <c r="B2174" s="110"/>
      <c r="C2174" s="110"/>
      <c r="D2174" s="110"/>
      <c r="E2174" s="101"/>
      <c r="F2174" s="112"/>
      <c r="G2174" s="422"/>
    </row>
    <row r="2175" spans="1:7" ht="12.75" hidden="1" customHeight="1">
      <c r="A2175" s="110" t="s">
        <v>476</v>
      </c>
      <c r="B2175" s="106" t="s">
        <v>256</v>
      </c>
      <c r="C2175" s="110"/>
      <c r="D2175" s="110"/>
      <c r="E2175" s="101">
        <f>1.19*2500000</f>
        <v>2975000</v>
      </c>
      <c r="F2175" s="112"/>
      <c r="G2175" s="422"/>
    </row>
    <row r="2176" spans="1:7" ht="12.75" hidden="1" customHeight="1">
      <c r="A2176" s="116" t="s">
        <v>477</v>
      </c>
      <c r="B2176" s="142" t="s">
        <v>256</v>
      </c>
      <c r="C2176" s="116">
        <v>550000</v>
      </c>
      <c r="D2176" s="116">
        <v>1</v>
      </c>
      <c r="E2176" s="101">
        <f t="shared" si="14"/>
        <v>550000</v>
      </c>
      <c r="F2176" s="102" t="s">
        <v>189</v>
      </c>
      <c r="G2176" s="419">
        <f t="shared" si="5"/>
        <v>3525000</v>
      </c>
    </row>
    <row r="2177" spans="1:7" ht="12.75" hidden="1" customHeight="1">
      <c r="A2177" s="1" t="s">
        <v>197</v>
      </c>
      <c r="B2177" s="1"/>
      <c r="C2177" s="1"/>
      <c r="D2177" s="1"/>
      <c r="E2177" s="1"/>
      <c r="F2177" s="1"/>
      <c r="G2177" s="420"/>
    </row>
    <row r="2178" spans="1:7" ht="12.75" hidden="1" customHeight="1">
      <c r="A2178" s="117" t="s">
        <v>198</v>
      </c>
      <c r="B2178" s="117" t="s">
        <v>199</v>
      </c>
      <c r="C2178" s="117" t="s">
        <v>200</v>
      </c>
      <c r="D2178" s="117" t="s">
        <v>201</v>
      </c>
      <c r="E2178" s="81" t="s">
        <v>186</v>
      </c>
      <c r="F2178" s="108"/>
      <c r="G2178" s="421"/>
    </row>
    <row r="2179" spans="1:7" ht="12.75" hidden="1" customHeight="1">
      <c r="A2179" s="110" t="s">
        <v>391</v>
      </c>
      <c r="B2179" s="110"/>
      <c r="C2179" s="110"/>
      <c r="D2179" s="110"/>
      <c r="E2179" s="101">
        <v>450000</v>
      </c>
      <c r="F2179" s="112"/>
      <c r="G2179" s="422"/>
    </row>
    <row r="2180" spans="1:7" ht="12.75" hidden="1" customHeight="1">
      <c r="A2180" s="63"/>
      <c r="B2180" s="63"/>
      <c r="C2180" s="63"/>
      <c r="D2180" s="63"/>
      <c r="E2180" s="113"/>
      <c r="F2180" s="112"/>
      <c r="G2180" s="422"/>
    </row>
    <row r="2181" spans="1:7" ht="12.75" hidden="1" customHeight="1">
      <c r="A2181" s="110"/>
      <c r="B2181" s="110"/>
      <c r="C2181" s="110"/>
      <c r="D2181" s="110"/>
      <c r="E2181" s="101"/>
      <c r="F2181" s="112"/>
      <c r="G2181" s="422"/>
    </row>
    <row r="2182" spans="1:7" ht="12.75" hidden="1" customHeight="1">
      <c r="A2182" s="110"/>
      <c r="B2182" s="110"/>
      <c r="C2182" s="110"/>
      <c r="D2182" s="110"/>
      <c r="E2182" s="101"/>
      <c r="F2182" s="112"/>
      <c r="G2182" s="422"/>
    </row>
    <row r="2183" spans="1:7" ht="12.75" hidden="1" customHeight="1">
      <c r="A2183" s="116"/>
      <c r="B2183" s="116"/>
      <c r="C2183" s="116"/>
      <c r="D2183" s="116"/>
      <c r="E2183" s="105"/>
      <c r="F2183" s="102" t="s">
        <v>189</v>
      </c>
      <c r="G2183" s="419">
        <f t="shared" si="6"/>
        <v>450000</v>
      </c>
    </row>
    <row r="2184" spans="1:7" ht="12.75" hidden="1" customHeight="1">
      <c r="A2184" s="1" t="s">
        <v>202</v>
      </c>
      <c r="B2184" s="1"/>
      <c r="C2184" s="1"/>
      <c r="D2184" s="1"/>
      <c r="E2184" s="1"/>
      <c r="F2184" s="1"/>
      <c r="G2184" s="420"/>
    </row>
    <row r="2185" spans="1:7" ht="12.75" hidden="1" customHeight="1">
      <c r="A2185" s="117" t="s">
        <v>203</v>
      </c>
      <c r="B2185" s="80" t="s">
        <v>204</v>
      </c>
      <c r="C2185" s="117" t="s">
        <v>205</v>
      </c>
      <c r="D2185" s="80" t="s">
        <v>206</v>
      </c>
      <c r="E2185" s="117" t="s">
        <v>207</v>
      </c>
      <c r="F2185" s="80" t="s">
        <v>208</v>
      </c>
      <c r="G2185" s="423"/>
    </row>
    <row r="2186" spans="1:7" ht="12.75" hidden="1" customHeight="1">
      <c r="A2186" s="110" t="s">
        <v>188</v>
      </c>
      <c r="B2186" s="100">
        <f>+B32</f>
        <v>140000</v>
      </c>
      <c r="C2186" s="111">
        <f t="shared" si="7"/>
        <v>105000</v>
      </c>
      <c r="D2186" s="120">
        <f t="shared" si="8"/>
        <v>245000</v>
      </c>
      <c r="E2186" s="122">
        <v>0.5</v>
      </c>
      <c r="F2186" s="119">
        <f t="shared" si="22"/>
        <v>490000</v>
      </c>
      <c r="G2186" s="424"/>
    </row>
    <row r="2187" spans="1:7" ht="12.75" hidden="1" customHeight="1">
      <c r="A2187" s="63" t="s">
        <v>190</v>
      </c>
      <c r="B2187" s="100">
        <f>+B33</f>
        <v>91000</v>
      </c>
      <c r="C2187" s="111">
        <f t="shared" si="7"/>
        <v>68250</v>
      </c>
      <c r="D2187" s="120">
        <f t="shared" si="8"/>
        <v>159250</v>
      </c>
      <c r="E2187" s="122">
        <v>0.5</v>
      </c>
      <c r="F2187" s="119">
        <f t="shared" si="22"/>
        <v>318500</v>
      </c>
      <c r="G2187" s="424"/>
    </row>
    <row r="2188" spans="1:7" ht="12.75" hidden="1" customHeight="1">
      <c r="A2188" s="110" t="s">
        <v>321</v>
      </c>
      <c r="B2188" s="100">
        <f>+B473</f>
        <v>120000</v>
      </c>
      <c r="C2188" s="111">
        <f t="shared" si="7"/>
        <v>90000</v>
      </c>
      <c r="D2188" s="120">
        <f t="shared" si="8"/>
        <v>210000</v>
      </c>
      <c r="E2188" s="122">
        <v>0.5</v>
      </c>
      <c r="F2188" s="119">
        <f t="shared" si="22"/>
        <v>420000</v>
      </c>
      <c r="G2188" s="424"/>
    </row>
    <row r="2189" spans="1:7" ht="12.75" hidden="1" customHeight="1">
      <c r="A2189" s="63"/>
      <c r="B2189" s="1"/>
      <c r="C2189" s="63"/>
      <c r="D2189" s="1"/>
      <c r="E2189" s="63"/>
      <c r="F2189" s="101"/>
      <c r="G2189" s="424"/>
    </row>
    <row r="2190" spans="1:7" ht="12.75" hidden="1" customHeight="1">
      <c r="A2190" s="110"/>
      <c r="B2190" s="100"/>
      <c r="C2190" s="110"/>
      <c r="D2190" s="100"/>
      <c r="E2190" s="110"/>
      <c r="F2190" s="101"/>
      <c r="G2190" s="424"/>
    </row>
    <row r="2191" spans="1:7" ht="12.75" hidden="1" customHeight="1">
      <c r="A2191" s="116"/>
      <c r="B2191" s="103"/>
      <c r="C2191" s="116"/>
      <c r="D2191" s="103"/>
      <c r="E2191" s="116"/>
      <c r="F2191" s="101"/>
      <c r="G2191" s="425"/>
    </row>
    <row r="2192" spans="1:7" ht="12.75" hidden="1" customHeight="1">
      <c r="A2192" s="1"/>
      <c r="B2192" s="1"/>
      <c r="C2192" s="1"/>
      <c r="D2192" s="1"/>
      <c r="E2192" s="1"/>
      <c r="F2192" s="1" t="s">
        <v>189</v>
      </c>
      <c r="G2192" s="225">
        <f t="shared" si="10"/>
        <v>1228500</v>
      </c>
    </row>
    <row r="2193" spans="1:7" ht="12.75" hidden="1" customHeight="1">
      <c r="A2193" s="1"/>
      <c r="B2193" s="1"/>
      <c r="C2193" s="1"/>
      <c r="D2193" s="1"/>
      <c r="E2193" s="1"/>
      <c r="F2193" s="1"/>
      <c r="G2193" s="420"/>
    </row>
    <row r="2194" spans="1:7" ht="12.75" hidden="1" customHeight="1">
      <c r="A2194" s="103" t="s">
        <v>209</v>
      </c>
      <c r="B2194" s="1"/>
      <c r="C2194" s="1" t="s">
        <v>210</v>
      </c>
      <c r="D2194" s="1" t="s">
        <v>211</v>
      </c>
      <c r="E2194" s="1"/>
      <c r="F2194" s="1"/>
      <c r="G2194" s="225">
        <f t="shared" si="11"/>
        <v>5304925</v>
      </c>
    </row>
    <row r="2195" spans="1:7" ht="12.75" hidden="1" customHeight="1">
      <c r="A2195" s="1"/>
      <c r="B2195" s="1"/>
      <c r="C2195" s="1"/>
      <c r="D2195" s="1"/>
      <c r="E2195" s="1"/>
      <c r="F2195" s="1"/>
      <c r="G2195" s="420"/>
    </row>
    <row r="2196" spans="1:7" ht="12.75" hidden="1" customHeight="1">
      <c r="A2196" s="1"/>
      <c r="B2196" s="1"/>
      <c r="C2196" s="1"/>
      <c r="D2196" s="1"/>
      <c r="E2196" s="1" t="s">
        <v>212</v>
      </c>
      <c r="F2196" s="1"/>
      <c r="G2196" s="225">
        <f t="shared" si="12"/>
        <v>1591477.5</v>
      </c>
    </row>
    <row r="2197" spans="1:7" ht="12.75" hidden="1" customHeight="1">
      <c r="A2197" s="1"/>
      <c r="B2197" s="1"/>
      <c r="C2197" s="1"/>
      <c r="D2197" s="1"/>
      <c r="E2197" s="1"/>
      <c r="F2197" s="1"/>
      <c r="G2197" s="420"/>
    </row>
    <row r="2198" spans="1:7" ht="12.75" hidden="1" customHeight="1">
      <c r="A2198" s="103" t="s">
        <v>213</v>
      </c>
      <c r="B2198" s="1"/>
      <c r="C2198" s="1"/>
      <c r="D2198" s="1" t="s">
        <v>214</v>
      </c>
      <c r="E2198" s="1"/>
      <c r="F2198" s="1"/>
      <c r="G2198" s="225">
        <f t="shared" si="13"/>
        <v>6896402.5</v>
      </c>
    </row>
    <row r="2199" spans="1:7" ht="12.75" hidden="1" customHeight="1">
      <c r="A2199" s="1"/>
      <c r="B2199" s="1"/>
      <c r="C2199" s="1"/>
      <c r="D2199" s="1"/>
      <c r="E2199" s="1"/>
      <c r="F2199" s="1"/>
      <c r="G2199" s="420"/>
    </row>
    <row r="2200" spans="1:7" ht="15" hidden="1" customHeight="1">
      <c r="A2200" s="468" t="s">
        <v>174</v>
      </c>
      <c r="B2200" s="457"/>
      <c r="C2200" s="457"/>
      <c r="D2200" s="457"/>
      <c r="E2200" s="457"/>
      <c r="F2200" s="457"/>
      <c r="G2200" s="457"/>
    </row>
    <row r="2201" spans="1:7" ht="12.75" hidden="1" customHeight="1"/>
    <row r="2202" spans="1:7" ht="12.75" hidden="1" customHeight="1">
      <c r="A2202" s="1" t="s">
        <v>175</v>
      </c>
      <c r="B2202" s="1"/>
      <c r="C2202" s="1"/>
      <c r="D2202" s="94"/>
      <c r="E2202" s="94"/>
      <c r="F2202" s="94"/>
      <c r="G2202" s="414"/>
    </row>
    <row r="2203" spans="1:7" ht="12.75" hidden="1" customHeight="1">
      <c r="A2203" s="1" t="s">
        <v>368</v>
      </c>
      <c r="B2203" s="1"/>
      <c r="C2203" s="1"/>
      <c r="D2203" s="1"/>
      <c r="F2203" s="95" t="s">
        <v>177</v>
      </c>
      <c r="G2203" s="415">
        <f t="shared" ca="1" si="0"/>
        <v>46289</v>
      </c>
    </row>
    <row r="2204" spans="1:7" ht="12.75" hidden="1" customHeight="1">
      <c r="A2204" s="1"/>
      <c r="B2204" s="1"/>
      <c r="C2204" s="1"/>
      <c r="D2204" s="1"/>
      <c r="E2204" s="1"/>
      <c r="F2204" s="1"/>
      <c r="G2204" s="420"/>
    </row>
    <row r="2205" spans="1:7" ht="30.75" hidden="1" customHeight="1">
      <c r="A2205" s="99" t="s">
        <v>478</v>
      </c>
      <c r="B2205" s="525" t="str">
        <f>+Presupuesto!B107</f>
        <v>Tanque   espesador   de   lodos,   en  concreto, incluye refuerzo Ø3/8" c/0.20m, ambos sentidos, esp. muro = 0,10 m.   L =1,25 m.   H = 1,25 m.</v>
      </c>
      <c r="C2205" s="526"/>
      <c r="D2205" s="526"/>
      <c r="E2205" s="526"/>
      <c r="F2205" s="526"/>
      <c r="G2205" s="527"/>
    </row>
    <row r="2206" spans="1:7" ht="12.75" hidden="1" customHeight="1">
      <c r="A2206" s="102"/>
      <c r="B2206" s="103"/>
      <c r="C2206" s="103" t="s">
        <v>179</v>
      </c>
      <c r="D2206" s="126">
        <v>150</v>
      </c>
      <c r="E2206" s="103" t="s">
        <v>180</v>
      </c>
      <c r="F2206" s="103" t="s">
        <v>337</v>
      </c>
      <c r="G2206" s="419"/>
    </row>
    <row r="2207" spans="1:7" ht="12.75" hidden="1" customHeight="1">
      <c r="A2207" s="1" t="s">
        <v>182</v>
      </c>
      <c r="B2207" s="1"/>
      <c r="C2207" s="1"/>
      <c r="D2207" s="1"/>
      <c r="E2207" s="1"/>
      <c r="F2207" s="1"/>
      <c r="G2207" s="420"/>
    </row>
    <row r="2208" spans="1:7" ht="12.75" hidden="1" customHeight="1">
      <c r="A2208" s="106" t="s">
        <v>111</v>
      </c>
      <c r="B2208" s="107" t="s">
        <v>183</v>
      </c>
      <c r="C2208" s="106" t="s">
        <v>184</v>
      </c>
      <c r="D2208" s="107" t="s">
        <v>185</v>
      </c>
      <c r="E2208" s="106" t="s">
        <v>186</v>
      </c>
      <c r="F2208" s="108"/>
      <c r="G2208" s="421"/>
    </row>
    <row r="2209" spans="1:7" ht="12.75" hidden="1" customHeight="1">
      <c r="A2209" s="110" t="s">
        <v>187</v>
      </c>
      <c r="B2209" s="100"/>
      <c r="C2209" s="110"/>
      <c r="D2209" s="100"/>
      <c r="E2209" s="111">
        <f t="shared" si="1"/>
        <v>17175</v>
      </c>
      <c r="F2209" s="112"/>
      <c r="G2209" s="422"/>
    </row>
    <row r="2210" spans="1:7" ht="12.75" hidden="1" customHeight="1">
      <c r="A2210" s="110"/>
      <c r="B2210" s="110"/>
      <c r="C2210" s="110"/>
      <c r="D2210" s="110"/>
      <c r="E2210" s="101"/>
      <c r="F2210" s="112"/>
      <c r="G2210" s="422"/>
    </row>
    <row r="2211" spans="1:7" ht="12.75" hidden="1" customHeight="1">
      <c r="A2211" s="110"/>
      <c r="B2211" s="110"/>
      <c r="C2211" s="110"/>
      <c r="D2211" s="110"/>
      <c r="E2211" s="101"/>
      <c r="F2211" s="112"/>
      <c r="G2211" s="422"/>
    </row>
    <row r="2212" spans="1:7" ht="12.75" hidden="1" customHeight="1">
      <c r="A2212" s="110"/>
      <c r="B2212" s="110"/>
      <c r="C2212" s="110"/>
      <c r="D2212" s="110"/>
      <c r="E2212" s="101"/>
      <c r="F2212" s="102" t="s">
        <v>189</v>
      </c>
      <c r="G2212" s="419">
        <f t="shared" si="2"/>
        <v>17175</v>
      </c>
    </row>
    <row r="2213" spans="1:7" ht="12.75" hidden="1" customHeight="1">
      <c r="A2213" s="1" t="s">
        <v>191</v>
      </c>
      <c r="B2213" s="1"/>
      <c r="C2213" s="1"/>
      <c r="D2213" s="1"/>
      <c r="E2213" s="1"/>
      <c r="F2213" s="1"/>
      <c r="G2213" s="420"/>
    </row>
    <row r="2214" spans="1:7" ht="12.75" hidden="1" customHeight="1">
      <c r="A2214" s="115" t="s">
        <v>111</v>
      </c>
      <c r="B2214" s="106" t="s">
        <v>193</v>
      </c>
      <c r="C2214" s="80" t="s">
        <v>194</v>
      </c>
      <c r="D2214" s="106" t="s">
        <v>195</v>
      </c>
      <c r="E2214" s="81" t="s">
        <v>186</v>
      </c>
      <c r="F2214" s="108"/>
      <c r="G2214" s="421"/>
    </row>
    <row r="2215" spans="1:7" ht="12.75" hidden="1" customHeight="1">
      <c r="A2215" s="110" t="s">
        <v>479</v>
      </c>
      <c r="B2215" s="106" t="s">
        <v>220</v>
      </c>
      <c r="C2215" s="111">
        <v>2150</v>
      </c>
      <c r="D2215" s="110">
        <v>80</v>
      </c>
      <c r="E2215" s="119">
        <f t="shared" si="14"/>
        <v>172000</v>
      </c>
      <c r="F2215" s="112"/>
      <c r="G2215" s="422"/>
    </row>
    <row r="2216" spans="1:7" ht="12.75" hidden="1" customHeight="1">
      <c r="A2216" s="63" t="s">
        <v>480</v>
      </c>
      <c r="B2216" s="106" t="s">
        <v>253</v>
      </c>
      <c r="C2216" s="63">
        <v>5600</v>
      </c>
      <c r="D2216" s="63">
        <v>20.16</v>
      </c>
      <c r="E2216" s="119">
        <f t="shared" si="14"/>
        <v>112896</v>
      </c>
      <c r="F2216" s="112"/>
      <c r="G2216" s="422"/>
    </row>
    <row r="2217" spans="1:7" ht="12.75" hidden="1" customHeight="1">
      <c r="A2217" s="110" t="s">
        <v>481</v>
      </c>
      <c r="B2217" s="106" t="s">
        <v>220</v>
      </c>
      <c r="C2217" s="110">
        <v>425000</v>
      </c>
      <c r="D2217" s="110">
        <v>0.16</v>
      </c>
      <c r="E2217" s="119">
        <f t="shared" si="14"/>
        <v>68000</v>
      </c>
      <c r="F2217" s="112"/>
      <c r="G2217" s="422"/>
    </row>
    <row r="2218" spans="1:7" ht="12.75" hidden="1" customHeight="1">
      <c r="A2218" s="63" t="s">
        <v>482</v>
      </c>
      <c r="B2218" s="123" t="s">
        <v>220</v>
      </c>
      <c r="C2218" s="63">
        <v>39000</v>
      </c>
      <c r="D2218" s="63">
        <v>6.25</v>
      </c>
      <c r="E2218" s="119">
        <f t="shared" si="14"/>
        <v>243750</v>
      </c>
      <c r="F2218" s="112"/>
      <c r="G2218" s="422"/>
    </row>
    <row r="2219" spans="1:7" ht="12.75" hidden="1" customHeight="1">
      <c r="A2219" s="110"/>
      <c r="B2219" s="110"/>
      <c r="C2219" s="110"/>
      <c r="D2219" s="110"/>
      <c r="E2219" s="101"/>
      <c r="F2219" s="112"/>
      <c r="G2219" s="422"/>
    </row>
    <row r="2220" spans="1:7" ht="12.75" hidden="1" customHeight="1">
      <c r="A2220" s="110"/>
      <c r="B2220" s="110"/>
      <c r="C2220" s="110"/>
      <c r="D2220" s="110"/>
      <c r="E2220" s="101"/>
      <c r="F2220" s="112"/>
      <c r="G2220" s="422"/>
    </row>
    <row r="2221" spans="1:7" ht="12.75" hidden="1" customHeight="1">
      <c r="A2221" s="116"/>
      <c r="B2221" s="116"/>
      <c r="C2221" s="116"/>
      <c r="D2221" s="116"/>
      <c r="E2221" s="101"/>
      <c r="F2221" s="102" t="s">
        <v>189</v>
      </c>
      <c r="G2221" s="419">
        <f t="shared" si="5"/>
        <v>596646</v>
      </c>
    </row>
    <row r="2222" spans="1:7" ht="12.75" hidden="1" customHeight="1">
      <c r="A2222" s="1" t="s">
        <v>197</v>
      </c>
      <c r="B2222" s="1"/>
      <c r="C2222" s="1"/>
      <c r="D2222" s="1"/>
      <c r="E2222" s="1"/>
      <c r="F2222" s="1"/>
      <c r="G2222" s="420"/>
    </row>
    <row r="2223" spans="1:7" ht="12.75" hidden="1" customHeight="1">
      <c r="A2223" s="117" t="s">
        <v>198</v>
      </c>
      <c r="B2223" s="117" t="s">
        <v>199</v>
      </c>
      <c r="C2223" s="117" t="s">
        <v>200</v>
      </c>
      <c r="D2223" s="117" t="s">
        <v>201</v>
      </c>
      <c r="E2223" s="81" t="s">
        <v>186</v>
      </c>
      <c r="F2223" s="108"/>
      <c r="G2223" s="421"/>
    </row>
    <row r="2224" spans="1:7" ht="12.75" hidden="1" customHeight="1">
      <c r="A2224" s="110" t="s">
        <v>243</v>
      </c>
      <c r="B2224" s="110"/>
      <c r="C2224" s="110"/>
      <c r="D2224" s="110"/>
      <c r="E2224" s="101">
        <v>100000</v>
      </c>
      <c r="F2224" s="112"/>
      <c r="G2224" s="422"/>
    </row>
    <row r="2225" spans="1:7" ht="12.75" hidden="1" customHeight="1">
      <c r="A2225" s="63"/>
      <c r="B2225" s="63"/>
      <c r="C2225" s="63"/>
      <c r="D2225" s="63"/>
      <c r="E2225" s="113"/>
      <c r="F2225" s="112"/>
      <c r="G2225" s="422"/>
    </row>
    <row r="2226" spans="1:7" ht="12.75" hidden="1" customHeight="1">
      <c r="A2226" s="110"/>
      <c r="B2226" s="110"/>
      <c r="C2226" s="110"/>
      <c r="D2226" s="110"/>
      <c r="E2226" s="101"/>
      <c r="F2226" s="112"/>
      <c r="G2226" s="422"/>
    </row>
    <row r="2227" spans="1:7" ht="12.75" hidden="1" customHeight="1">
      <c r="A2227" s="110"/>
      <c r="B2227" s="110"/>
      <c r="C2227" s="110"/>
      <c r="D2227" s="110"/>
      <c r="E2227" s="101"/>
      <c r="F2227" s="112"/>
      <c r="G2227" s="422"/>
    </row>
    <row r="2228" spans="1:7" ht="12.75" hidden="1" customHeight="1">
      <c r="A2228" s="116"/>
      <c r="B2228" s="116"/>
      <c r="C2228" s="116"/>
      <c r="D2228" s="116"/>
      <c r="E2228" s="105"/>
      <c r="F2228" s="102" t="s">
        <v>189</v>
      </c>
      <c r="G2228" s="419">
        <f t="shared" si="6"/>
        <v>100000</v>
      </c>
    </row>
    <row r="2229" spans="1:7" ht="12.75" hidden="1" customHeight="1">
      <c r="A2229" s="1" t="s">
        <v>202</v>
      </c>
      <c r="B2229" s="1"/>
      <c r="C2229" s="1"/>
      <c r="D2229" s="1"/>
      <c r="E2229" s="1"/>
      <c r="F2229" s="1"/>
      <c r="G2229" s="420"/>
    </row>
    <row r="2230" spans="1:7" ht="12.75" hidden="1" customHeight="1">
      <c r="A2230" s="117" t="s">
        <v>203</v>
      </c>
      <c r="B2230" s="80" t="s">
        <v>204</v>
      </c>
      <c r="C2230" s="117" t="s">
        <v>205</v>
      </c>
      <c r="D2230" s="80" t="s">
        <v>206</v>
      </c>
      <c r="E2230" s="117" t="s">
        <v>207</v>
      </c>
      <c r="F2230" s="80" t="s">
        <v>208</v>
      </c>
      <c r="G2230" s="423"/>
    </row>
    <row r="2231" spans="1:7" ht="12.75" hidden="1" customHeight="1">
      <c r="A2231" s="110" t="s">
        <v>188</v>
      </c>
      <c r="B2231" s="100">
        <f>+B32</f>
        <v>140000</v>
      </c>
      <c r="C2231" s="110">
        <v>60000</v>
      </c>
      <c r="D2231" s="100">
        <f t="shared" si="8"/>
        <v>200000</v>
      </c>
      <c r="E2231" s="110">
        <v>1</v>
      </c>
      <c r="F2231" s="119">
        <f t="shared" si="22"/>
        <v>200000</v>
      </c>
      <c r="G2231" s="424"/>
    </row>
    <row r="2232" spans="1:7" ht="12.75" hidden="1" customHeight="1">
      <c r="A2232" s="63" t="s">
        <v>190</v>
      </c>
      <c r="B2232" s="100">
        <f>+B33</f>
        <v>91000</v>
      </c>
      <c r="C2232" s="111">
        <v>52500</v>
      </c>
      <c r="D2232" s="120">
        <f t="shared" si="8"/>
        <v>143500</v>
      </c>
      <c r="E2232" s="110">
        <v>1</v>
      </c>
      <c r="F2232" s="119">
        <f t="shared" si="22"/>
        <v>143500</v>
      </c>
      <c r="G2232" s="424"/>
    </row>
    <row r="2233" spans="1:7" ht="12.75" hidden="1" customHeight="1">
      <c r="A2233" s="110"/>
      <c r="B2233" s="100"/>
      <c r="C2233" s="110"/>
      <c r="D2233" s="100"/>
      <c r="E2233" s="110"/>
      <c r="F2233" s="101"/>
      <c r="G2233" s="424"/>
    </row>
    <row r="2234" spans="1:7" ht="12.75" hidden="1" customHeight="1">
      <c r="A2234" s="63"/>
      <c r="B2234" s="1"/>
      <c r="C2234" s="63"/>
      <c r="D2234" s="1"/>
      <c r="E2234" s="63"/>
      <c r="F2234" s="101"/>
      <c r="G2234" s="424"/>
    </row>
    <row r="2235" spans="1:7" ht="12.75" hidden="1" customHeight="1">
      <c r="A2235" s="110"/>
      <c r="B2235" s="100"/>
      <c r="C2235" s="110"/>
      <c r="D2235" s="100"/>
      <c r="E2235" s="110"/>
      <c r="F2235" s="101"/>
      <c r="G2235" s="424"/>
    </row>
    <row r="2236" spans="1:7" ht="12.75" hidden="1" customHeight="1">
      <c r="A2236" s="116"/>
      <c r="B2236" s="103"/>
      <c r="C2236" s="116"/>
      <c r="D2236" s="103"/>
      <c r="E2236" s="116"/>
      <c r="F2236" s="101"/>
      <c r="G2236" s="425"/>
    </row>
    <row r="2237" spans="1:7" ht="12.75" hidden="1" customHeight="1">
      <c r="A2237" s="1"/>
      <c r="B2237" s="1"/>
      <c r="C2237" s="1"/>
      <c r="D2237" s="1"/>
      <c r="E2237" s="1"/>
      <c r="F2237" s="1" t="s">
        <v>189</v>
      </c>
      <c r="G2237" s="225">
        <f t="shared" si="10"/>
        <v>343500</v>
      </c>
    </row>
    <row r="2238" spans="1:7" ht="12.75" hidden="1" customHeight="1">
      <c r="A2238" s="1"/>
      <c r="B2238" s="1"/>
      <c r="C2238" s="1"/>
      <c r="D2238" s="1"/>
      <c r="E2238" s="1"/>
      <c r="F2238" s="1"/>
      <c r="G2238" s="420"/>
    </row>
    <row r="2239" spans="1:7" ht="12.75" hidden="1" customHeight="1">
      <c r="A2239" s="103" t="s">
        <v>209</v>
      </c>
      <c r="B2239" s="1"/>
      <c r="C2239" s="1" t="s">
        <v>210</v>
      </c>
      <c r="D2239" s="1" t="s">
        <v>211</v>
      </c>
      <c r="E2239" s="1"/>
      <c r="F2239" s="1"/>
      <c r="G2239" s="225">
        <f t="shared" si="11"/>
        <v>1057321</v>
      </c>
    </row>
    <row r="2240" spans="1:7" ht="12.75" hidden="1" customHeight="1">
      <c r="A2240" s="1"/>
      <c r="B2240" s="1"/>
      <c r="C2240" s="1"/>
      <c r="D2240" s="1"/>
      <c r="E2240" s="1"/>
      <c r="F2240" s="1"/>
      <c r="G2240" s="420"/>
    </row>
    <row r="2241" spans="1:7" ht="12.75" hidden="1" customHeight="1">
      <c r="A2241" s="1"/>
      <c r="B2241" s="1"/>
      <c r="C2241" s="1"/>
      <c r="D2241" s="1"/>
      <c r="E2241" s="1" t="s">
        <v>212</v>
      </c>
      <c r="F2241" s="1"/>
      <c r="G2241" s="225">
        <f t="shared" si="12"/>
        <v>317196.3</v>
      </c>
    </row>
    <row r="2242" spans="1:7" ht="12.75" hidden="1" customHeight="1">
      <c r="A2242" s="1"/>
      <c r="B2242" s="1"/>
      <c r="C2242" s="1"/>
      <c r="D2242" s="1"/>
      <c r="E2242" s="1"/>
      <c r="F2242" s="1"/>
      <c r="G2242" s="420"/>
    </row>
    <row r="2243" spans="1:7" ht="12.75" hidden="1" customHeight="1">
      <c r="A2243" s="103" t="s">
        <v>213</v>
      </c>
      <c r="B2243" s="1"/>
      <c r="C2243" s="1"/>
      <c r="D2243" s="1" t="s">
        <v>214</v>
      </c>
      <c r="E2243" s="1"/>
      <c r="F2243" s="1"/>
      <c r="G2243" s="225">
        <f t="shared" si="13"/>
        <v>1374517.3</v>
      </c>
    </row>
    <row r="2244" spans="1:7" ht="12.75" hidden="1" customHeight="1"/>
    <row r="2245" spans="1:7" ht="15" hidden="1" customHeight="1">
      <c r="A2245" s="468" t="s">
        <v>174</v>
      </c>
      <c r="B2245" s="457"/>
      <c r="C2245" s="457"/>
      <c r="D2245" s="457"/>
      <c r="E2245" s="457"/>
      <c r="F2245" s="457"/>
      <c r="G2245" s="457"/>
    </row>
    <row r="2246" spans="1:7" ht="12.75" hidden="1" customHeight="1"/>
    <row r="2247" spans="1:7" ht="12.75" hidden="1" customHeight="1">
      <c r="A2247" s="1" t="s">
        <v>175</v>
      </c>
      <c r="B2247" s="1"/>
      <c r="C2247" s="1"/>
      <c r="D2247" s="94"/>
      <c r="E2247" s="94"/>
      <c r="F2247" s="94"/>
      <c r="G2247" s="414"/>
    </row>
    <row r="2248" spans="1:7" ht="12.75" hidden="1" customHeight="1">
      <c r="A2248" s="1" t="s">
        <v>368</v>
      </c>
      <c r="B2248" s="1"/>
      <c r="C2248" s="1"/>
      <c r="D2248" s="1"/>
      <c r="F2248" s="95" t="s">
        <v>177</v>
      </c>
      <c r="G2248" s="415">
        <f t="shared" ca="1" si="0"/>
        <v>46289</v>
      </c>
    </row>
    <row r="2249" spans="1:7" ht="12.75" hidden="1" customHeight="1">
      <c r="A2249" s="1"/>
      <c r="B2249" s="1"/>
      <c r="C2249" s="1"/>
      <c r="D2249" s="1"/>
      <c r="E2249" s="1"/>
      <c r="F2249" s="1"/>
      <c r="G2249" s="420"/>
    </row>
    <row r="2250" spans="1:7" ht="12.75" hidden="1" customHeight="1">
      <c r="A2250" s="99" t="s">
        <v>483</v>
      </c>
      <c r="B2250" s="100" t="s">
        <v>484</v>
      </c>
      <c r="C2250" s="100"/>
      <c r="D2250" s="100"/>
      <c r="E2250" s="100"/>
      <c r="F2250" s="100"/>
      <c r="G2250" s="138"/>
    </row>
    <row r="2251" spans="1:7" ht="12.75" hidden="1" customHeight="1">
      <c r="A2251" s="102"/>
      <c r="B2251" s="103"/>
      <c r="C2251" s="103" t="s">
        <v>179</v>
      </c>
      <c r="D2251" s="126">
        <v>150</v>
      </c>
      <c r="E2251" s="103" t="s">
        <v>180</v>
      </c>
      <c r="F2251" s="103" t="s">
        <v>337</v>
      </c>
      <c r="G2251" s="419"/>
    </row>
    <row r="2252" spans="1:7" ht="12.75" hidden="1" customHeight="1">
      <c r="A2252" s="1" t="s">
        <v>182</v>
      </c>
      <c r="B2252" s="1"/>
      <c r="C2252" s="1"/>
      <c r="D2252" s="1"/>
      <c r="E2252" s="1"/>
      <c r="F2252" s="1"/>
      <c r="G2252" s="420"/>
    </row>
    <row r="2253" spans="1:7" ht="12.75" hidden="1" customHeight="1">
      <c r="A2253" s="106" t="s">
        <v>111</v>
      </c>
      <c r="B2253" s="107" t="s">
        <v>183</v>
      </c>
      <c r="C2253" s="106" t="s">
        <v>184</v>
      </c>
      <c r="D2253" s="107" t="s">
        <v>185</v>
      </c>
      <c r="E2253" s="106" t="s">
        <v>186</v>
      </c>
      <c r="F2253" s="108"/>
      <c r="G2253" s="421"/>
    </row>
    <row r="2254" spans="1:7" ht="12.75" hidden="1" customHeight="1">
      <c r="A2254" s="110" t="s">
        <v>187</v>
      </c>
      <c r="B2254" s="100"/>
      <c r="C2254" s="110"/>
      <c r="D2254" s="100"/>
      <c r="E2254" s="111">
        <f t="shared" si="1"/>
        <v>404.25</v>
      </c>
      <c r="F2254" s="112"/>
      <c r="G2254" s="422"/>
    </row>
    <row r="2255" spans="1:7" ht="12.75" hidden="1" customHeight="1">
      <c r="A2255" s="110"/>
      <c r="B2255" s="110"/>
      <c r="C2255" s="110"/>
      <c r="D2255" s="110"/>
      <c r="E2255" s="101"/>
      <c r="F2255" s="112"/>
      <c r="G2255" s="422"/>
    </row>
    <row r="2256" spans="1:7" ht="12.75" hidden="1" customHeight="1">
      <c r="A2256" s="110"/>
      <c r="B2256" s="110"/>
      <c r="C2256" s="110"/>
      <c r="D2256" s="110"/>
      <c r="E2256" s="101"/>
      <c r="F2256" s="112"/>
      <c r="G2256" s="422"/>
    </row>
    <row r="2257" spans="1:7" ht="12.75" hidden="1" customHeight="1">
      <c r="A2257" s="110"/>
      <c r="B2257" s="110"/>
      <c r="C2257" s="110"/>
      <c r="D2257" s="110"/>
      <c r="E2257" s="101"/>
      <c r="F2257" s="102" t="s">
        <v>189</v>
      </c>
      <c r="G2257" s="419">
        <f t="shared" si="2"/>
        <v>404.25</v>
      </c>
    </row>
    <row r="2258" spans="1:7" ht="12.75" hidden="1" customHeight="1">
      <c r="A2258" s="1" t="s">
        <v>191</v>
      </c>
      <c r="B2258" s="1"/>
      <c r="C2258" s="1"/>
      <c r="D2258" s="1"/>
      <c r="E2258" s="1"/>
      <c r="F2258" s="1"/>
      <c r="G2258" s="420"/>
    </row>
    <row r="2259" spans="1:7" ht="12.75" hidden="1" customHeight="1">
      <c r="A2259" s="115" t="s">
        <v>111</v>
      </c>
      <c r="B2259" s="106" t="s">
        <v>193</v>
      </c>
      <c r="C2259" s="80" t="s">
        <v>194</v>
      </c>
      <c r="D2259" s="106" t="s">
        <v>195</v>
      </c>
      <c r="E2259" s="81" t="s">
        <v>186</v>
      </c>
      <c r="F2259" s="108"/>
      <c r="G2259" s="421"/>
    </row>
    <row r="2260" spans="1:7" ht="12.75" hidden="1" customHeight="1">
      <c r="A2260" s="110" t="s">
        <v>485</v>
      </c>
      <c r="B2260" s="106" t="s">
        <v>35</v>
      </c>
      <c r="C2260" s="111">
        <v>7500</v>
      </c>
      <c r="D2260" s="110">
        <v>1.05</v>
      </c>
      <c r="E2260" s="119">
        <f t="shared" si="14"/>
        <v>7875</v>
      </c>
      <c r="F2260" s="112"/>
      <c r="G2260" s="422"/>
    </row>
    <row r="2261" spans="1:7" ht="12.75" hidden="1" customHeight="1">
      <c r="A2261" s="63" t="s">
        <v>486</v>
      </c>
      <c r="B2261" s="123" t="s">
        <v>220</v>
      </c>
      <c r="C2261" s="63">
        <v>750</v>
      </c>
      <c r="D2261" s="63">
        <v>1</v>
      </c>
      <c r="E2261" s="119">
        <f t="shared" si="14"/>
        <v>750</v>
      </c>
      <c r="F2261" s="112"/>
      <c r="G2261" s="422"/>
    </row>
    <row r="2262" spans="1:7" ht="12.75" hidden="1" customHeight="1">
      <c r="A2262" s="110"/>
      <c r="B2262" s="106"/>
      <c r="C2262" s="110"/>
      <c r="D2262" s="110"/>
      <c r="E2262" s="101"/>
      <c r="F2262" s="112"/>
      <c r="G2262" s="422"/>
    </row>
    <row r="2263" spans="1:7" ht="12.75" hidden="1" customHeight="1">
      <c r="A2263" s="63"/>
      <c r="B2263" s="63"/>
      <c r="C2263" s="63"/>
      <c r="D2263" s="63"/>
      <c r="E2263" s="101"/>
      <c r="F2263" s="112"/>
      <c r="G2263" s="422"/>
    </row>
    <row r="2264" spans="1:7" ht="12.75" hidden="1" customHeight="1">
      <c r="A2264" s="110"/>
      <c r="B2264" s="110"/>
      <c r="C2264" s="110"/>
      <c r="D2264" s="110"/>
      <c r="E2264" s="101"/>
      <c r="F2264" s="112"/>
      <c r="G2264" s="422"/>
    </row>
    <row r="2265" spans="1:7" ht="12.75" hidden="1" customHeight="1">
      <c r="A2265" s="110"/>
      <c r="B2265" s="110"/>
      <c r="C2265" s="110"/>
      <c r="D2265" s="110"/>
      <c r="E2265" s="101"/>
      <c r="F2265" s="112"/>
      <c r="G2265" s="422"/>
    </row>
    <row r="2266" spans="1:7" ht="12.75" hidden="1" customHeight="1">
      <c r="A2266" s="116"/>
      <c r="B2266" s="116"/>
      <c r="C2266" s="116"/>
      <c r="D2266" s="116"/>
      <c r="E2266" s="101"/>
      <c r="F2266" s="102" t="s">
        <v>189</v>
      </c>
      <c r="G2266" s="419">
        <f t="shared" si="5"/>
        <v>8625</v>
      </c>
    </row>
    <row r="2267" spans="1:7" ht="12.75" hidden="1" customHeight="1">
      <c r="A2267" s="1" t="s">
        <v>197</v>
      </c>
      <c r="B2267" s="1"/>
      <c r="C2267" s="1"/>
      <c r="D2267" s="1"/>
      <c r="E2267" s="1"/>
      <c r="F2267" s="1"/>
      <c r="G2267" s="420"/>
    </row>
    <row r="2268" spans="1:7" ht="12.75" hidden="1" customHeight="1">
      <c r="A2268" s="117" t="s">
        <v>198</v>
      </c>
      <c r="B2268" s="117" t="s">
        <v>199</v>
      </c>
      <c r="C2268" s="117" t="s">
        <v>200</v>
      </c>
      <c r="D2268" s="117" t="s">
        <v>201</v>
      </c>
      <c r="E2268" s="81" t="s">
        <v>186</v>
      </c>
      <c r="F2268" s="108"/>
      <c r="G2268" s="421"/>
    </row>
    <row r="2269" spans="1:7" ht="12.75" hidden="1" customHeight="1">
      <c r="A2269" s="110" t="s">
        <v>243</v>
      </c>
      <c r="B2269" s="110"/>
      <c r="C2269" s="110"/>
      <c r="D2269" s="110"/>
      <c r="E2269" s="101">
        <v>3000</v>
      </c>
      <c r="F2269" s="112"/>
      <c r="G2269" s="422"/>
    </row>
    <row r="2270" spans="1:7" ht="12.75" hidden="1" customHeight="1">
      <c r="A2270" s="63"/>
      <c r="B2270" s="63"/>
      <c r="C2270" s="63"/>
      <c r="D2270" s="63"/>
      <c r="E2270" s="113"/>
      <c r="F2270" s="112"/>
      <c r="G2270" s="422"/>
    </row>
    <row r="2271" spans="1:7" ht="12.75" hidden="1" customHeight="1">
      <c r="A2271" s="110"/>
      <c r="B2271" s="110"/>
      <c r="C2271" s="110"/>
      <c r="D2271" s="110"/>
      <c r="E2271" s="101"/>
      <c r="F2271" s="112"/>
      <c r="G2271" s="422"/>
    </row>
    <row r="2272" spans="1:7" ht="12.75" hidden="1" customHeight="1">
      <c r="A2272" s="110"/>
      <c r="B2272" s="110"/>
      <c r="C2272" s="110"/>
      <c r="D2272" s="110"/>
      <c r="E2272" s="101"/>
      <c r="F2272" s="112"/>
      <c r="G2272" s="422"/>
    </row>
    <row r="2273" spans="1:7" ht="12.75" hidden="1" customHeight="1">
      <c r="A2273" s="116"/>
      <c r="B2273" s="116"/>
      <c r="C2273" s="116"/>
      <c r="D2273" s="116"/>
      <c r="E2273" s="105"/>
      <c r="F2273" s="102" t="s">
        <v>189</v>
      </c>
      <c r="G2273" s="419">
        <f t="shared" si="6"/>
        <v>3000</v>
      </c>
    </row>
    <row r="2274" spans="1:7" ht="12.75" hidden="1" customHeight="1">
      <c r="A2274" s="1" t="s">
        <v>202</v>
      </c>
      <c r="B2274" s="1"/>
      <c r="C2274" s="1"/>
      <c r="D2274" s="1"/>
      <c r="E2274" s="1"/>
      <c r="F2274" s="1"/>
      <c r="G2274" s="420"/>
    </row>
    <row r="2275" spans="1:7" ht="12.75" hidden="1" customHeight="1">
      <c r="A2275" s="117" t="s">
        <v>203</v>
      </c>
      <c r="B2275" s="80" t="s">
        <v>204</v>
      </c>
      <c r="C2275" s="117" t="s">
        <v>205</v>
      </c>
      <c r="D2275" s="80" t="s">
        <v>206</v>
      </c>
      <c r="E2275" s="117" t="s">
        <v>207</v>
      </c>
      <c r="F2275" s="80" t="s">
        <v>208</v>
      </c>
      <c r="G2275" s="423"/>
    </row>
    <row r="2276" spans="1:7" ht="12.75" hidden="1" customHeight="1">
      <c r="A2276" s="110" t="s">
        <v>188</v>
      </c>
      <c r="B2276" s="100">
        <f>+B32</f>
        <v>140000</v>
      </c>
      <c r="C2276" s="110">
        <f t="shared" si="7"/>
        <v>105000</v>
      </c>
      <c r="D2276" s="100">
        <f t="shared" si="8"/>
        <v>245000</v>
      </c>
      <c r="E2276" s="110">
        <v>50</v>
      </c>
      <c r="F2276" s="119">
        <f t="shared" si="22"/>
        <v>4900</v>
      </c>
      <c r="G2276" s="424"/>
    </row>
    <row r="2277" spans="1:7" ht="12.75" hidden="1" customHeight="1">
      <c r="A2277" s="63" t="s">
        <v>190</v>
      </c>
      <c r="B2277" s="100">
        <f>+B33</f>
        <v>91000</v>
      </c>
      <c r="C2277" s="111">
        <f t="shared" si="7"/>
        <v>68250</v>
      </c>
      <c r="D2277" s="120">
        <f t="shared" si="8"/>
        <v>159250</v>
      </c>
      <c r="E2277" s="110">
        <v>50</v>
      </c>
      <c r="F2277" s="119">
        <f t="shared" si="22"/>
        <v>3185</v>
      </c>
      <c r="G2277" s="424"/>
    </row>
    <row r="2278" spans="1:7" ht="12.75" hidden="1" customHeight="1">
      <c r="A2278" s="110"/>
      <c r="B2278" s="100"/>
      <c r="C2278" s="110"/>
      <c r="D2278" s="100"/>
      <c r="E2278" s="110"/>
      <c r="F2278" s="101"/>
      <c r="G2278" s="424"/>
    </row>
    <row r="2279" spans="1:7" ht="12.75" hidden="1" customHeight="1">
      <c r="A2279" s="63"/>
      <c r="B2279" s="1"/>
      <c r="C2279" s="63"/>
      <c r="D2279" s="1"/>
      <c r="E2279" s="63"/>
      <c r="F2279" s="101"/>
      <c r="G2279" s="424"/>
    </row>
    <row r="2280" spans="1:7" ht="12.75" hidden="1" customHeight="1">
      <c r="A2280" s="110"/>
      <c r="B2280" s="100"/>
      <c r="C2280" s="110"/>
      <c r="D2280" s="100"/>
      <c r="E2280" s="110"/>
      <c r="F2280" s="101"/>
      <c r="G2280" s="424"/>
    </row>
    <row r="2281" spans="1:7" ht="12.75" hidden="1" customHeight="1">
      <c r="A2281" s="116"/>
      <c r="B2281" s="103"/>
      <c r="C2281" s="116"/>
      <c r="D2281" s="103"/>
      <c r="E2281" s="116"/>
      <c r="F2281" s="101"/>
      <c r="G2281" s="425"/>
    </row>
    <row r="2282" spans="1:7" ht="12.75" hidden="1" customHeight="1">
      <c r="A2282" s="1"/>
      <c r="B2282" s="1"/>
      <c r="C2282" s="1"/>
      <c r="D2282" s="1"/>
      <c r="E2282" s="1"/>
      <c r="F2282" s="1" t="s">
        <v>189</v>
      </c>
      <c r="G2282" s="225">
        <f t="shared" si="10"/>
        <v>8085</v>
      </c>
    </row>
    <row r="2283" spans="1:7" ht="12.75" hidden="1" customHeight="1">
      <c r="A2283" s="1"/>
      <c r="B2283" s="1"/>
      <c r="C2283" s="1"/>
      <c r="D2283" s="1"/>
      <c r="E2283" s="1"/>
      <c r="F2283" s="1"/>
      <c r="G2283" s="420"/>
    </row>
    <row r="2284" spans="1:7" ht="12.75" hidden="1" customHeight="1">
      <c r="A2284" s="103" t="s">
        <v>209</v>
      </c>
      <c r="B2284" s="1"/>
      <c r="C2284" s="1" t="s">
        <v>210</v>
      </c>
      <c r="D2284" s="1" t="s">
        <v>211</v>
      </c>
      <c r="E2284" s="1"/>
      <c r="F2284" s="1"/>
      <c r="G2284" s="225">
        <f t="shared" si="11"/>
        <v>20114.25</v>
      </c>
    </row>
    <row r="2285" spans="1:7" ht="12.75" hidden="1" customHeight="1">
      <c r="A2285" s="1"/>
      <c r="B2285" s="1"/>
      <c r="C2285" s="1"/>
      <c r="D2285" s="1"/>
      <c r="E2285" s="1"/>
      <c r="F2285" s="1"/>
      <c r="G2285" s="420"/>
    </row>
    <row r="2286" spans="1:7" ht="12.75" hidden="1" customHeight="1">
      <c r="A2286" s="1"/>
      <c r="B2286" s="1"/>
      <c r="C2286" s="1"/>
      <c r="D2286" s="1"/>
      <c r="E2286" s="1" t="s">
        <v>212</v>
      </c>
      <c r="F2286" s="1"/>
      <c r="G2286" s="225">
        <f t="shared" si="12"/>
        <v>6034.2749999999996</v>
      </c>
    </row>
    <row r="2287" spans="1:7" ht="12.75" hidden="1" customHeight="1">
      <c r="A2287" s="1"/>
      <c r="B2287" s="1"/>
      <c r="C2287" s="1"/>
      <c r="D2287" s="1"/>
      <c r="E2287" s="1"/>
      <c r="F2287" s="1"/>
      <c r="G2287" s="420"/>
    </row>
    <row r="2288" spans="1:7" ht="12.75" hidden="1" customHeight="1">
      <c r="A2288" s="103" t="s">
        <v>213</v>
      </c>
      <c r="B2288" s="1"/>
      <c r="C2288" s="1"/>
      <c r="D2288" s="1" t="s">
        <v>214</v>
      </c>
      <c r="E2288" s="1"/>
      <c r="F2288" s="1"/>
      <c r="G2288" s="225">
        <f t="shared" si="13"/>
        <v>26148.525000000001</v>
      </c>
    </row>
    <row r="2289" spans="1:7" ht="15" hidden="1" customHeight="1">
      <c r="A2289" s="468" t="s">
        <v>174</v>
      </c>
      <c r="B2289" s="457"/>
      <c r="C2289" s="457"/>
      <c r="D2289" s="457"/>
      <c r="E2289" s="457"/>
      <c r="F2289" s="457"/>
      <c r="G2289" s="457"/>
    </row>
    <row r="2290" spans="1:7" ht="12.75" hidden="1" customHeight="1">
      <c r="A2290" s="77"/>
      <c r="B2290" s="77"/>
      <c r="C2290" s="77"/>
      <c r="D2290" s="77"/>
      <c r="E2290" s="77"/>
      <c r="F2290" s="77"/>
    </row>
    <row r="2291" spans="1:7" ht="12.75" hidden="1" customHeight="1">
      <c r="A2291" s="1" t="s">
        <v>175</v>
      </c>
      <c r="B2291" s="1"/>
      <c r="C2291" s="1"/>
      <c r="D2291" s="94"/>
      <c r="E2291" s="94"/>
      <c r="F2291" s="94"/>
      <c r="G2291" s="414"/>
    </row>
    <row r="2292" spans="1:7" ht="12.75" hidden="1" customHeight="1">
      <c r="A2292" s="1" t="s">
        <v>368</v>
      </c>
      <c r="B2292" s="1"/>
      <c r="C2292" s="1"/>
      <c r="D2292" s="1"/>
      <c r="F2292" s="95" t="s">
        <v>177</v>
      </c>
      <c r="G2292" s="415">
        <f t="shared" ca="1" si="0"/>
        <v>46289</v>
      </c>
    </row>
    <row r="2293" spans="1:7" ht="12.75" hidden="1" customHeight="1">
      <c r="A2293" s="1"/>
      <c r="B2293" s="1"/>
      <c r="C2293" s="1"/>
      <c r="D2293" s="1"/>
      <c r="E2293" s="1"/>
      <c r="F2293" s="1"/>
      <c r="G2293" s="420"/>
    </row>
    <row r="2294" spans="1:7" ht="12.75" hidden="1" customHeight="1">
      <c r="A2294" s="99" t="s">
        <v>487</v>
      </c>
      <c r="B2294" s="100" t="s">
        <v>488</v>
      </c>
      <c r="C2294" s="100"/>
      <c r="D2294" s="100"/>
      <c r="E2294" s="100"/>
      <c r="F2294" s="100"/>
      <c r="G2294" s="138"/>
    </row>
    <row r="2295" spans="1:7" ht="12.75" hidden="1" customHeight="1">
      <c r="A2295" s="1" t="s">
        <v>474</v>
      </c>
      <c r="B2295" s="103"/>
      <c r="C2295" s="104" t="s">
        <v>179</v>
      </c>
      <c r="D2295" s="134" t="s">
        <v>489</v>
      </c>
      <c r="E2295" s="103" t="s">
        <v>180</v>
      </c>
      <c r="F2295" s="103" t="s">
        <v>262</v>
      </c>
      <c r="G2295" s="419"/>
    </row>
    <row r="2296" spans="1:7" ht="12.75" hidden="1" customHeight="1">
      <c r="A2296" s="1" t="s">
        <v>182</v>
      </c>
      <c r="B2296" s="1"/>
      <c r="C2296" s="1"/>
      <c r="D2296" s="1"/>
      <c r="E2296" s="1"/>
      <c r="F2296" s="1"/>
      <c r="G2296" s="420"/>
    </row>
    <row r="2297" spans="1:7" ht="12.75" hidden="1" customHeight="1">
      <c r="A2297" s="106" t="s">
        <v>111</v>
      </c>
      <c r="B2297" s="107" t="s">
        <v>183</v>
      </c>
      <c r="C2297" s="106" t="s">
        <v>184</v>
      </c>
      <c r="D2297" s="107" t="s">
        <v>185</v>
      </c>
      <c r="E2297" s="106" t="s">
        <v>186</v>
      </c>
      <c r="F2297" s="108"/>
      <c r="G2297" s="421"/>
    </row>
    <row r="2298" spans="1:7" ht="12.75" hidden="1" customHeight="1">
      <c r="A2298" s="110"/>
      <c r="B2298" s="100"/>
      <c r="C2298" s="110"/>
      <c r="D2298" s="100"/>
      <c r="E2298" s="111"/>
      <c r="F2298" s="112"/>
      <c r="G2298" s="422"/>
    </row>
    <row r="2299" spans="1:7" ht="12.75" hidden="1" customHeight="1">
      <c r="A2299" s="110"/>
      <c r="B2299" s="110"/>
      <c r="C2299" s="110"/>
      <c r="D2299" s="110"/>
      <c r="E2299" s="101"/>
      <c r="F2299" s="112"/>
      <c r="G2299" s="422"/>
    </row>
    <row r="2300" spans="1:7" ht="12.75" hidden="1" customHeight="1">
      <c r="A2300" s="110"/>
      <c r="B2300" s="110"/>
      <c r="C2300" s="110"/>
      <c r="D2300" s="110"/>
      <c r="E2300" s="101"/>
      <c r="F2300" s="112"/>
      <c r="G2300" s="422"/>
    </row>
    <row r="2301" spans="1:7" ht="12.75" hidden="1" customHeight="1">
      <c r="A2301" s="110"/>
      <c r="B2301" s="110"/>
      <c r="C2301" s="110"/>
      <c r="D2301" s="110"/>
      <c r="E2301" s="101"/>
      <c r="F2301" s="102" t="s">
        <v>189</v>
      </c>
      <c r="G2301" s="419"/>
    </row>
    <row r="2302" spans="1:7" ht="12.75" hidden="1" customHeight="1">
      <c r="A2302" s="1" t="s">
        <v>191</v>
      </c>
      <c r="B2302" s="1"/>
      <c r="C2302" s="1"/>
      <c r="D2302" s="1"/>
      <c r="E2302" s="1"/>
      <c r="F2302" s="1"/>
      <c r="G2302" s="420"/>
    </row>
    <row r="2303" spans="1:7" ht="12.75" hidden="1" customHeight="1">
      <c r="A2303" s="115" t="s">
        <v>111</v>
      </c>
      <c r="B2303" s="106" t="s">
        <v>193</v>
      </c>
      <c r="C2303" s="80" t="s">
        <v>194</v>
      </c>
      <c r="D2303" s="106" t="s">
        <v>195</v>
      </c>
      <c r="E2303" s="81" t="s">
        <v>186</v>
      </c>
      <c r="F2303" s="108"/>
      <c r="G2303" s="421"/>
    </row>
    <row r="2304" spans="1:7" ht="12.75" hidden="1" customHeight="1">
      <c r="A2304" s="110" t="s">
        <v>490</v>
      </c>
      <c r="B2304" s="106"/>
      <c r="C2304" s="111"/>
      <c r="D2304" s="110"/>
      <c r="E2304" s="119"/>
      <c r="F2304" s="112"/>
      <c r="G2304" s="422"/>
    </row>
    <row r="2305" spans="1:7" ht="12.75" hidden="1" customHeight="1">
      <c r="A2305" s="110" t="s">
        <v>491</v>
      </c>
      <c r="B2305" s="123" t="s">
        <v>193</v>
      </c>
      <c r="C2305" s="63">
        <v>761085</v>
      </c>
      <c r="D2305" s="63">
        <v>1</v>
      </c>
      <c r="E2305" s="119">
        <f t="shared" si="14"/>
        <v>761085</v>
      </c>
      <c r="F2305" s="112"/>
      <c r="G2305" s="422"/>
    </row>
    <row r="2306" spans="1:7" ht="12.75" hidden="1" customHeight="1">
      <c r="A2306" s="110"/>
      <c r="B2306" s="106"/>
      <c r="C2306" s="110"/>
      <c r="D2306" s="110"/>
      <c r="E2306" s="119"/>
      <c r="F2306" s="112"/>
      <c r="G2306" s="422"/>
    </row>
    <row r="2307" spans="1:7" ht="12.75" hidden="1" customHeight="1">
      <c r="A2307" s="63"/>
      <c r="B2307" s="63"/>
      <c r="C2307" s="63"/>
      <c r="D2307" s="63"/>
      <c r="E2307" s="101"/>
      <c r="F2307" s="112"/>
      <c r="G2307" s="422"/>
    </row>
    <row r="2308" spans="1:7" ht="12.75" hidden="1" customHeight="1">
      <c r="A2308" s="110"/>
      <c r="B2308" s="110"/>
      <c r="C2308" s="110"/>
      <c r="D2308" s="110"/>
      <c r="E2308" s="101"/>
      <c r="F2308" s="112"/>
      <c r="G2308" s="422"/>
    </row>
    <row r="2309" spans="1:7" ht="12.75" hidden="1" customHeight="1">
      <c r="A2309" s="110"/>
      <c r="B2309" s="110"/>
      <c r="C2309" s="110"/>
      <c r="D2309" s="110"/>
      <c r="E2309" s="101"/>
      <c r="F2309" s="112"/>
      <c r="G2309" s="422"/>
    </row>
    <row r="2310" spans="1:7" ht="12.75" hidden="1" customHeight="1">
      <c r="A2310" s="116"/>
      <c r="B2310" s="116"/>
      <c r="C2310" s="116"/>
      <c r="D2310" s="116"/>
      <c r="E2310" s="101"/>
      <c r="F2310" s="102" t="s">
        <v>189</v>
      </c>
      <c r="G2310" s="419">
        <f t="shared" si="5"/>
        <v>761085</v>
      </c>
    </row>
    <row r="2311" spans="1:7" ht="12.75" hidden="1" customHeight="1">
      <c r="A2311" s="1" t="s">
        <v>197</v>
      </c>
      <c r="B2311" s="1"/>
      <c r="C2311" s="1"/>
      <c r="D2311" s="1"/>
      <c r="E2311" s="1"/>
      <c r="F2311" s="1"/>
      <c r="G2311" s="420"/>
    </row>
    <row r="2312" spans="1:7" ht="12.75" hidden="1" customHeight="1">
      <c r="A2312" s="117" t="s">
        <v>198</v>
      </c>
      <c r="B2312" s="117" t="s">
        <v>199</v>
      </c>
      <c r="C2312" s="117" t="s">
        <v>200</v>
      </c>
      <c r="D2312" s="117" t="s">
        <v>201</v>
      </c>
      <c r="E2312" s="81" t="s">
        <v>186</v>
      </c>
      <c r="F2312" s="108"/>
      <c r="G2312" s="421"/>
    </row>
    <row r="2313" spans="1:7" ht="12.75" hidden="1" customHeight="1">
      <c r="A2313" s="110" t="s">
        <v>391</v>
      </c>
      <c r="B2313" s="110"/>
      <c r="C2313" s="110"/>
      <c r="D2313" s="110"/>
      <c r="E2313" s="101">
        <v>80000</v>
      </c>
      <c r="F2313" s="112"/>
      <c r="G2313" s="422"/>
    </row>
    <row r="2314" spans="1:7" ht="12.75" hidden="1" customHeight="1">
      <c r="A2314" s="63"/>
      <c r="B2314" s="63"/>
      <c r="C2314" s="63"/>
      <c r="D2314" s="63"/>
      <c r="E2314" s="113"/>
      <c r="F2314" s="112"/>
      <c r="G2314" s="422"/>
    </row>
    <row r="2315" spans="1:7" ht="12.75" hidden="1" customHeight="1">
      <c r="A2315" s="110"/>
      <c r="B2315" s="110"/>
      <c r="C2315" s="110"/>
      <c r="D2315" s="110"/>
      <c r="E2315" s="101"/>
      <c r="F2315" s="112"/>
      <c r="G2315" s="422"/>
    </row>
    <row r="2316" spans="1:7" ht="12.75" hidden="1" customHeight="1">
      <c r="A2316" s="110"/>
      <c r="B2316" s="110"/>
      <c r="C2316" s="110"/>
      <c r="D2316" s="110"/>
      <c r="E2316" s="101"/>
      <c r="F2316" s="112"/>
      <c r="G2316" s="422"/>
    </row>
    <row r="2317" spans="1:7" ht="12.75" hidden="1" customHeight="1">
      <c r="A2317" s="116"/>
      <c r="B2317" s="116"/>
      <c r="C2317" s="116"/>
      <c r="D2317" s="116"/>
      <c r="E2317" s="105"/>
      <c r="F2317" s="102" t="s">
        <v>189</v>
      </c>
      <c r="G2317" s="419">
        <f t="shared" si="6"/>
        <v>80000</v>
      </c>
    </row>
    <row r="2318" spans="1:7" ht="12.75" hidden="1" customHeight="1">
      <c r="A2318" s="1" t="s">
        <v>202</v>
      </c>
      <c r="B2318" s="1"/>
      <c r="C2318" s="1"/>
      <c r="D2318" s="1"/>
      <c r="E2318" s="1"/>
      <c r="F2318" s="1"/>
      <c r="G2318" s="420"/>
    </row>
    <row r="2319" spans="1:7" ht="12.75" hidden="1" customHeight="1">
      <c r="A2319" s="117" t="s">
        <v>203</v>
      </c>
      <c r="B2319" s="80" t="s">
        <v>204</v>
      </c>
      <c r="C2319" s="117" t="s">
        <v>205</v>
      </c>
      <c r="D2319" s="80" t="s">
        <v>206</v>
      </c>
      <c r="E2319" s="117" t="s">
        <v>207</v>
      </c>
      <c r="F2319" s="80" t="s">
        <v>208</v>
      </c>
      <c r="G2319" s="423"/>
    </row>
    <row r="2320" spans="1:7" ht="12.75" hidden="1" customHeight="1">
      <c r="A2320" s="110"/>
      <c r="B2320" s="100"/>
      <c r="C2320" s="111"/>
      <c r="D2320" s="120"/>
      <c r="E2320" s="122"/>
      <c r="F2320" s="119"/>
      <c r="G2320" s="424"/>
    </row>
    <row r="2321" spans="1:7" ht="12.75" hidden="1" customHeight="1">
      <c r="A2321" s="63"/>
      <c r="B2321" s="100"/>
      <c r="C2321" s="111"/>
      <c r="D2321" s="120"/>
      <c r="E2321" s="122"/>
      <c r="F2321" s="119"/>
      <c r="G2321" s="424"/>
    </row>
    <row r="2322" spans="1:7" ht="12.75" hidden="1" customHeight="1">
      <c r="A2322" s="110"/>
      <c r="B2322" s="100"/>
      <c r="C2322" s="111"/>
      <c r="D2322" s="120"/>
      <c r="E2322" s="122"/>
      <c r="F2322" s="119"/>
      <c r="G2322" s="424"/>
    </row>
    <row r="2323" spans="1:7" ht="12.75" hidden="1" customHeight="1">
      <c r="A2323" s="63"/>
      <c r="B2323" s="1"/>
      <c r="C2323" s="63"/>
      <c r="D2323" s="1"/>
      <c r="E2323" s="63"/>
      <c r="F2323" s="101"/>
      <c r="G2323" s="424"/>
    </row>
    <row r="2324" spans="1:7" ht="12.75" hidden="1" customHeight="1">
      <c r="A2324" s="110"/>
      <c r="B2324" s="100"/>
      <c r="C2324" s="110"/>
      <c r="D2324" s="100"/>
      <c r="E2324" s="110"/>
      <c r="F2324" s="101"/>
      <c r="G2324" s="424"/>
    </row>
    <row r="2325" spans="1:7" ht="12.75" hidden="1" customHeight="1">
      <c r="A2325" s="116"/>
      <c r="B2325" s="103"/>
      <c r="C2325" s="116"/>
      <c r="D2325" s="103"/>
      <c r="E2325" s="116"/>
      <c r="F2325" s="101"/>
      <c r="G2325" s="425"/>
    </row>
    <row r="2326" spans="1:7" ht="12.75" hidden="1" customHeight="1">
      <c r="A2326" s="1"/>
      <c r="B2326" s="1"/>
      <c r="C2326" s="1"/>
      <c r="D2326" s="1"/>
      <c r="E2326" s="1"/>
      <c r="F2326" s="1" t="s">
        <v>189</v>
      </c>
      <c r="G2326" s="225"/>
    </row>
    <row r="2327" spans="1:7" ht="12.75" hidden="1" customHeight="1">
      <c r="A2327" s="1"/>
      <c r="B2327" s="1"/>
      <c r="C2327" s="1"/>
      <c r="D2327" s="1"/>
      <c r="E2327" s="1"/>
      <c r="F2327" s="1"/>
      <c r="G2327" s="420"/>
    </row>
    <row r="2328" spans="1:7" ht="12.75" hidden="1" customHeight="1">
      <c r="A2328" s="103" t="s">
        <v>209</v>
      </c>
      <c r="B2328" s="1"/>
      <c r="C2328" s="1" t="s">
        <v>210</v>
      </c>
      <c r="D2328" s="1" t="s">
        <v>211</v>
      </c>
      <c r="E2328" s="1"/>
      <c r="F2328" s="1"/>
      <c r="G2328" s="225">
        <f t="shared" si="11"/>
        <v>841085</v>
      </c>
    </row>
    <row r="2329" spans="1:7" ht="12.75" hidden="1" customHeight="1">
      <c r="A2329" s="1"/>
      <c r="B2329" s="1"/>
      <c r="C2329" s="1"/>
      <c r="D2329" s="1"/>
      <c r="E2329" s="1"/>
      <c r="F2329" s="1"/>
      <c r="G2329" s="420"/>
    </row>
    <row r="2330" spans="1:7" ht="12.75" hidden="1" customHeight="1">
      <c r="A2330" s="1"/>
      <c r="B2330" s="1"/>
      <c r="C2330" s="1"/>
      <c r="D2330" s="1"/>
      <c r="E2330" s="1" t="s">
        <v>212</v>
      </c>
      <c r="F2330" s="1"/>
      <c r="G2330" s="225">
        <f t="shared" si="12"/>
        <v>252325.5</v>
      </c>
    </row>
    <row r="2331" spans="1:7" ht="12.75" hidden="1" customHeight="1">
      <c r="A2331" s="1"/>
      <c r="B2331" s="1"/>
      <c r="C2331" s="1"/>
      <c r="D2331" s="1"/>
      <c r="E2331" s="1"/>
      <c r="F2331" s="1"/>
      <c r="G2331" s="420"/>
    </row>
    <row r="2332" spans="1:7" ht="12.75" hidden="1" customHeight="1">
      <c r="A2332" s="103" t="s">
        <v>213</v>
      </c>
      <c r="B2332" s="1"/>
      <c r="C2332" s="1"/>
      <c r="D2332" s="1" t="s">
        <v>214</v>
      </c>
      <c r="E2332" s="1"/>
      <c r="F2332" s="1"/>
      <c r="G2332" s="225">
        <f t="shared" si="13"/>
        <v>1093410.5</v>
      </c>
    </row>
    <row r="2333" spans="1:7" ht="15" hidden="1" customHeight="1">
      <c r="A2333" s="468" t="s">
        <v>174</v>
      </c>
      <c r="B2333" s="457"/>
      <c r="C2333" s="457"/>
      <c r="D2333" s="457"/>
      <c r="E2333" s="457"/>
      <c r="F2333" s="457"/>
      <c r="G2333" s="457"/>
    </row>
    <row r="2334" spans="1:7" ht="12.75" hidden="1" customHeight="1">
      <c r="A2334" s="77"/>
      <c r="B2334" s="77"/>
      <c r="C2334" s="77"/>
      <c r="D2334" s="77"/>
      <c r="E2334" s="77"/>
      <c r="F2334" s="77"/>
    </row>
    <row r="2335" spans="1:7" ht="12.75" hidden="1" customHeight="1">
      <c r="A2335" s="1" t="s">
        <v>175</v>
      </c>
      <c r="B2335" s="1"/>
      <c r="C2335" s="1"/>
      <c r="D2335" s="94"/>
      <c r="E2335" s="94"/>
      <c r="F2335" s="94"/>
      <c r="G2335" s="414"/>
    </row>
    <row r="2336" spans="1:7" ht="12.75" hidden="1" customHeight="1">
      <c r="A2336" s="1" t="s">
        <v>368</v>
      </c>
      <c r="B2336" s="1"/>
      <c r="C2336" s="1"/>
      <c r="D2336" s="1"/>
      <c r="F2336" s="95" t="s">
        <v>177</v>
      </c>
      <c r="G2336" s="415">
        <f t="shared" ca="1" si="0"/>
        <v>46289</v>
      </c>
    </row>
    <row r="2337" spans="1:7" ht="12.75" hidden="1" customHeight="1">
      <c r="A2337" s="1"/>
      <c r="B2337" s="1"/>
      <c r="C2337" s="1"/>
      <c r="D2337" s="1"/>
      <c r="E2337" s="1"/>
      <c r="F2337" s="1"/>
      <c r="G2337" s="420"/>
    </row>
    <row r="2338" spans="1:7" ht="12.75" hidden="1" customHeight="1">
      <c r="A2338" s="99" t="s">
        <v>492</v>
      </c>
      <c r="B2338" s="100" t="s">
        <v>493</v>
      </c>
      <c r="C2338" s="100"/>
      <c r="D2338" s="100"/>
      <c r="E2338" s="100"/>
      <c r="F2338" s="100"/>
      <c r="G2338" s="138"/>
    </row>
    <row r="2339" spans="1:7" ht="12.75" hidden="1" customHeight="1">
      <c r="A2339" s="1"/>
      <c r="B2339" s="103"/>
      <c r="C2339" s="104" t="s">
        <v>179</v>
      </c>
      <c r="D2339" s="134" t="s">
        <v>489</v>
      </c>
      <c r="E2339" s="103" t="s">
        <v>180</v>
      </c>
      <c r="F2339" s="103" t="s">
        <v>262</v>
      </c>
      <c r="G2339" s="419"/>
    </row>
    <row r="2340" spans="1:7" ht="12.75" hidden="1" customHeight="1">
      <c r="A2340" s="1" t="s">
        <v>182</v>
      </c>
      <c r="B2340" s="1"/>
      <c r="C2340" s="1"/>
      <c r="D2340" s="1"/>
      <c r="E2340" s="1"/>
      <c r="F2340" s="1"/>
      <c r="G2340" s="420"/>
    </row>
    <row r="2341" spans="1:7" ht="12.75" hidden="1" customHeight="1">
      <c r="A2341" s="106" t="s">
        <v>111</v>
      </c>
      <c r="B2341" s="107" t="s">
        <v>183</v>
      </c>
      <c r="C2341" s="106" t="s">
        <v>184</v>
      </c>
      <c r="D2341" s="107" t="s">
        <v>185</v>
      </c>
      <c r="E2341" s="106" t="s">
        <v>186</v>
      </c>
      <c r="F2341" s="108"/>
      <c r="G2341" s="421"/>
    </row>
    <row r="2342" spans="1:7" ht="12.75" hidden="1" customHeight="1">
      <c r="A2342" s="110"/>
      <c r="B2342" s="100"/>
      <c r="C2342" s="110"/>
      <c r="D2342" s="100"/>
      <c r="E2342" s="111"/>
      <c r="F2342" s="112"/>
      <c r="G2342" s="422"/>
    </row>
    <row r="2343" spans="1:7" ht="12.75" hidden="1" customHeight="1">
      <c r="A2343" s="110"/>
      <c r="B2343" s="110"/>
      <c r="C2343" s="110"/>
      <c r="D2343" s="110"/>
      <c r="E2343" s="101"/>
      <c r="F2343" s="112"/>
      <c r="G2343" s="422"/>
    </row>
    <row r="2344" spans="1:7" ht="12.75" hidden="1" customHeight="1">
      <c r="A2344" s="110"/>
      <c r="B2344" s="110"/>
      <c r="C2344" s="110"/>
      <c r="D2344" s="110"/>
      <c r="E2344" s="101"/>
      <c r="F2344" s="112"/>
      <c r="G2344" s="422"/>
    </row>
    <row r="2345" spans="1:7" ht="12.75" hidden="1" customHeight="1">
      <c r="A2345" s="110"/>
      <c r="B2345" s="110"/>
      <c r="C2345" s="110"/>
      <c r="D2345" s="110"/>
      <c r="E2345" s="101"/>
      <c r="F2345" s="102" t="s">
        <v>189</v>
      </c>
      <c r="G2345" s="419"/>
    </row>
    <row r="2346" spans="1:7" ht="12.75" hidden="1" customHeight="1">
      <c r="A2346" s="1" t="s">
        <v>191</v>
      </c>
      <c r="B2346" s="1"/>
      <c r="C2346" s="1"/>
      <c r="D2346" s="1"/>
      <c r="E2346" s="1"/>
      <c r="F2346" s="1"/>
      <c r="G2346" s="420"/>
    </row>
    <row r="2347" spans="1:7" ht="12.75" hidden="1" customHeight="1">
      <c r="A2347" s="115" t="s">
        <v>111</v>
      </c>
      <c r="B2347" s="106" t="s">
        <v>193</v>
      </c>
      <c r="C2347" s="80" t="s">
        <v>194</v>
      </c>
      <c r="D2347" s="106" t="s">
        <v>195</v>
      </c>
      <c r="E2347" s="81" t="s">
        <v>186</v>
      </c>
      <c r="F2347" s="108"/>
      <c r="G2347" s="421"/>
    </row>
    <row r="2348" spans="1:7" ht="12.75" hidden="1" customHeight="1">
      <c r="A2348" s="110" t="s">
        <v>494</v>
      </c>
      <c r="B2348" s="142" t="s">
        <v>193</v>
      </c>
      <c r="C2348" s="110">
        <v>276500</v>
      </c>
      <c r="D2348" s="116">
        <v>1</v>
      </c>
      <c r="E2348" s="119">
        <f t="shared" si="14"/>
        <v>276500</v>
      </c>
      <c r="F2348" s="112"/>
      <c r="G2348" s="422"/>
    </row>
    <row r="2349" spans="1:7" ht="12.75" hidden="1" customHeight="1">
      <c r="A2349" s="110" t="s">
        <v>486</v>
      </c>
      <c r="B2349" s="123" t="s">
        <v>256</v>
      </c>
      <c r="C2349" s="63">
        <v>110000</v>
      </c>
      <c r="D2349" s="63">
        <v>1</v>
      </c>
      <c r="E2349" s="119">
        <f t="shared" si="14"/>
        <v>110000</v>
      </c>
      <c r="F2349" s="112"/>
      <c r="G2349" s="422"/>
    </row>
    <row r="2350" spans="1:7" ht="12.75" hidden="1" customHeight="1">
      <c r="A2350" s="110"/>
      <c r="B2350" s="106"/>
      <c r="C2350" s="110"/>
      <c r="D2350" s="110"/>
      <c r="E2350" s="119"/>
      <c r="F2350" s="112"/>
      <c r="G2350" s="422"/>
    </row>
    <row r="2351" spans="1:7" ht="12.75" hidden="1" customHeight="1">
      <c r="A2351" s="63"/>
      <c r="B2351" s="63"/>
      <c r="C2351" s="63"/>
      <c r="D2351" s="63"/>
      <c r="E2351" s="101"/>
      <c r="F2351" s="112"/>
      <c r="G2351" s="422"/>
    </row>
    <row r="2352" spans="1:7" ht="12.75" hidden="1" customHeight="1">
      <c r="A2352" s="110"/>
      <c r="B2352" s="110"/>
      <c r="C2352" s="110"/>
      <c r="D2352" s="110"/>
      <c r="E2352" s="101"/>
      <c r="F2352" s="112"/>
      <c r="G2352" s="422"/>
    </row>
    <row r="2353" spans="1:7" ht="12.75" hidden="1" customHeight="1">
      <c r="A2353" s="110"/>
      <c r="B2353" s="110"/>
      <c r="C2353" s="110"/>
      <c r="D2353" s="110"/>
      <c r="E2353" s="101"/>
      <c r="F2353" s="112"/>
      <c r="G2353" s="422"/>
    </row>
    <row r="2354" spans="1:7" ht="12.75" hidden="1" customHeight="1">
      <c r="A2354" s="116"/>
      <c r="B2354" s="116"/>
      <c r="C2354" s="116"/>
      <c r="D2354" s="116"/>
      <c r="E2354" s="101"/>
      <c r="F2354" s="102" t="s">
        <v>189</v>
      </c>
      <c r="G2354" s="419">
        <f t="shared" si="5"/>
        <v>386500</v>
      </c>
    </row>
    <row r="2355" spans="1:7" ht="12.75" hidden="1" customHeight="1">
      <c r="A2355" s="1" t="s">
        <v>197</v>
      </c>
      <c r="B2355" s="1"/>
      <c r="C2355" s="1"/>
      <c r="D2355" s="1"/>
      <c r="E2355" s="1"/>
      <c r="F2355" s="1"/>
      <c r="G2355" s="420"/>
    </row>
    <row r="2356" spans="1:7" ht="12.75" hidden="1" customHeight="1">
      <c r="A2356" s="117" t="s">
        <v>198</v>
      </c>
      <c r="B2356" s="117" t="s">
        <v>199</v>
      </c>
      <c r="C2356" s="117" t="s">
        <v>200</v>
      </c>
      <c r="D2356" s="117" t="s">
        <v>201</v>
      </c>
      <c r="E2356" s="81" t="s">
        <v>186</v>
      </c>
      <c r="F2356" s="108"/>
      <c r="G2356" s="421"/>
    </row>
    <row r="2357" spans="1:7" ht="12.75" hidden="1" customHeight="1">
      <c r="A2357" s="110" t="s">
        <v>391</v>
      </c>
      <c r="B2357" s="110"/>
      <c r="C2357" s="110"/>
      <c r="D2357" s="110"/>
      <c r="E2357" s="101">
        <v>100000</v>
      </c>
      <c r="F2357" s="112"/>
      <c r="G2357" s="422"/>
    </row>
    <row r="2358" spans="1:7" ht="12.75" hidden="1" customHeight="1">
      <c r="A2358" s="63"/>
      <c r="B2358" s="63"/>
      <c r="C2358" s="63"/>
      <c r="D2358" s="63"/>
      <c r="E2358" s="113"/>
      <c r="F2358" s="112"/>
      <c r="G2358" s="422"/>
    </row>
    <row r="2359" spans="1:7" ht="12.75" hidden="1" customHeight="1">
      <c r="A2359" s="110"/>
      <c r="B2359" s="110"/>
      <c r="C2359" s="110"/>
      <c r="D2359" s="110"/>
      <c r="E2359" s="101"/>
      <c r="F2359" s="112"/>
      <c r="G2359" s="422"/>
    </row>
    <row r="2360" spans="1:7" ht="12.75" hidden="1" customHeight="1">
      <c r="A2360" s="110"/>
      <c r="B2360" s="110"/>
      <c r="C2360" s="110"/>
      <c r="D2360" s="110"/>
      <c r="E2360" s="101"/>
      <c r="F2360" s="112"/>
      <c r="G2360" s="422"/>
    </row>
    <row r="2361" spans="1:7" ht="12.75" hidden="1" customHeight="1">
      <c r="A2361" s="116"/>
      <c r="B2361" s="116"/>
      <c r="C2361" s="116"/>
      <c r="D2361" s="116"/>
      <c r="E2361" s="105"/>
      <c r="F2361" s="102" t="s">
        <v>189</v>
      </c>
      <c r="G2361" s="419">
        <f t="shared" si="6"/>
        <v>100000</v>
      </c>
    </row>
    <row r="2362" spans="1:7" ht="12.75" hidden="1" customHeight="1">
      <c r="A2362" s="1" t="s">
        <v>202</v>
      </c>
      <c r="B2362" s="1"/>
      <c r="C2362" s="1"/>
      <c r="D2362" s="1"/>
      <c r="E2362" s="1"/>
      <c r="F2362" s="1"/>
      <c r="G2362" s="420"/>
    </row>
    <row r="2363" spans="1:7" ht="12.75" hidden="1" customHeight="1">
      <c r="A2363" s="117" t="s">
        <v>203</v>
      </c>
      <c r="B2363" s="80" t="s">
        <v>204</v>
      </c>
      <c r="C2363" s="117" t="s">
        <v>205</v>
      </c>
      <c r="D2363" s="80" t="s">
        <v>206</v>
      </c>
      <c r="E2363" s="117" t="s">
        <v>207</v>
      </c>
      <c r="F2363" s="80" t="s">
        <v>208</v>
      </c>
      <c r="G2363" s="423"/>
    </row>
    <row r="2364" spans="1:7" ht="12.75" hidden="1" customHeight="1">
      <c r="A2364" s="110" t="s">
        <v>188</v>
      </c>
      <c r="B2364" s="100">
        <f>+B32</f>
        <v>140000</v>
      </c>
      <c r="C2364" s="110">
        <f t="shared" si="7"/>
        <v>105000</v>
      </c>
      <c r="D2364" s="100">
        <f t="shared" si="8"/>
        <v>245000</v>
      </c>
      <c r="E2364" s="110">
        <v>3</v>
      </c>
      <c r="F2364" s="119">
        <f t="shared" si="22"/>
        <v>81666.666666666672</v>
      </c>
      <c r="G2364" s="424"/>
    </row>
    <row r="2365" spans="1:7" ht="12.75" hidden="1" customHeight="1">
      <c r="A2365" s="63" t="s">
        <v>190</v>
      </c>
      <c r="B2365" s="100">
        <f>+B33</f>
        <v>91000</v>
      </c>
      <c r="C2365" s="111">
        <f t="shared" si="7"/>
        <v>68250</v>
      </c>
      <c r="D2365" s="120">
        <f t="shared" si="8"/>
        <v>159250</v>
      </c>
      <c r="E2365" s="110">
        <v>3</v>
      </c>
      <c r="F2365" s="119">
        <f t="shared" si="22"/>
        <v>53083.333333333336</v>
      </c>
      <c r="G2365" s="424"/>
    </row>
    <row r="2366" spans="1:7" ht="12.75" hidden="1" customHeight="1">
      <c r="A2366" s="110"/>
      <c r="B2366" s="100"/>
      <c r="C2366" s="111"/>
      <c r="D2366" s="120"/>
      <c r="E2366" s="122"/>
      <c r="F2366" s="119"/>
      <c r="G2366" s="424"/>
    </row>
    <row r="2367" spans="1:7" ht="12.75" hidden="1" customHeight="1">
      <c r="A2367" s="63"/>
      <c r="B2367" s="1"/>
      <c r="C2367" s="63"/>
      <c r="D2367" s="1"/>
      <c r="E2367" s="63"/>
      <c r="F2367" s="101"/>
      <c r="G2367" s="424"/>
    </row>
    <row r="2368" spans="1:7" ht="12.75" hidden="1" customHeight="1">
      <c r="A2368" s="110"/>
      <c r="B2368" s="100"/>
      <c r="C2368" s="110"/>
      <c r="D2368" s="100"/>
      <c r="E2368" s="110"/>
      <c r="F2368" s="101"/>
      <c r="G2368" s="424"/>
    </row>
    <row r="2369" spans="1:7" ht="12.75" hidden="1" customHeight="1">
      <c r="A2369" s="116"/>
      <c r="B2369" s="103"/>
      <c r="C2369" s="116"/>
      <c r="D2369" s="103"/>
      <c r="E2369" s="116"/>
      <c r="F2369" s="101"/>
      <c r="G2369" s="425"/>
    </row>
    <row r="2370" spans="1:7" ht="12.75" hidden="1" customHeight="1">
      <c r="A2370" s="1"/>
      <c r="B2370" s="1"/>
      <c r="C2370" s="1"/>
      <c r="D2370" s="1"/>
      <c r="E2370" s="1"/>
      <c r="F2370" s="1" t="s">
        <v>189</v>
      </c>
      <c r="G2370" s="225">
        <f>F2364+F2365</f>
        <v>134750</v>
      </c>
    </row>
    <row r="2371" spans="1:7" ht="12.75" hidden="1" customHeight="1">
      <c r="A2371" s="1"/>
      <c r="B2371" s="1"/>
      <c r="C2371" s="1"/>
      <c r="D2371" s="1"/>
      <c r="E2371" s="1"/>
      <c r="F2371" s="1"/>
      <c r="G2371" s="420"/>
    </row>
    <row r="2372" spans="1:7" ht="12.75" hidden="1" customHeight="1">
      <c r="A2372" s="103" t="s">
        <v>209</v>
      </c>
      <c r="B2372" s="1"/>
      <c r="C2372" s="1" t="s">
        <v>210</v>
      </c>
      <c r="D2372" s="1" t="s">
        <v>211</v>
      </c>
      <c r="E2372" s="1"/>
      <c r="F2372" s="1"/>
      <c r="G2372" s="225">
        <f t="shared" si="11"/>
        <v>621250</v>
      </c>
    </row>
    <row r="2373" spans="1:7" ht="12.75" hidden="1" customHeight="1">
      <c r="A2373" s="1"/>
      <c r="B2373" s="1"/>
      <c r="C2373" s="1"/>
      <c r="D2373" s="1"/>
      <c r="E2373" s="1"/>
      <c r="F2373" s="1"/>
      <c r="G2373" s="420"/>
    </row>
    <row r="2374" spans="1:7" ht="12.75" hidden="1" customHeight="1">
      <c r="A2374" s="1"/>
      <c r="B2374" s="1"/>
      <c r="C2374" s="1"/>
      <c r="D2374" s="1"/>
      <c r="E2374" s="1" t="s">
        <v>212</v>
      </c>
      <c r="F2374" s="1"/>
      <c r="G2374" s="225">
        <f t="shared" si="12"/>
        <v>186375</v>
      </c>
    </row>
    <row r="2375" spans="1:7" ht="12.75" hidden="1" customHeight="1">
      <c r="A2375" s="1"/>
      <c r="B2375" s="1"/>
      <c r="C2375" s="1"/>
      <c r="D2375" s="1"/>
      <c r="E2375" s="1"/>
      <c r="F2375" s="1"/>
      <c r="G2375" s="420"/>
    </row>
    <row r="2376" spans="1:7" ht="12.75" hidden="1" customHeight="1">
      <c r="A2376" s="103" t="s">
        <v>213</v>
      </c>
      <c r="B2376" s="1"/>
      <c r="C2376" s="1"/>
      <c r="D2376" s="1" t="s">
        <v>214</v>
      </c>
      <c r="E2376" s="1"/>
      <c r="F2376" s="1"/>
      <c r="G2376" s="225">
        <f t="shared" si="13"/>
        <v>807625</v>
      </c>
    </row>
    <row r="2377" spans="1:7" ht="15" customHeight="1">
      <c r="A2377" s="468" t="s">
        <v>174</v>
      </c>
      <c r="B2377" s="457"/>
      <c r="C2377" s="457"/>
      <c r="D2377" s="457"/>
      <c r="E2377" s="457"/>
      <c r="F2377" s="457"/>
      <c r="G2377" s="457"/>
    </row>
    <row r="2378" spans="1:7" ht="12.75" customHeight="1" thickBot="1"/>
    <row r="2379" spans="1:7" ht="12.75" customHeight="1">
      <c r="A2379" s="404" t="s">
        <v>175</v>
      </c>
      <c r="B2379" s="405"/>
      <c r="C2379" s="405"/>
      <c r="D2379" s="428"/>
      <c r="E2379" s="428"/>
      <c r="F2379" s="428"/>
      <c r="G2379" s="429"/>
    </row>
    <row r="2380" spans="1:7" ht="12.75" customHeight="1">
      <c r="A2380" s="406" t="s">
        <v>368</v>
      </c>
      <c r="B2380" s="401"/>
      <c r="C2380" s="401"/>
      <c r="D2380" s="401"/>
      <c r="E2380" s="195"/>
      <c r="F2380" s="402" t="s">
        <v>177</v>
      </c>
      <c r="G2380" s="430">
        <f t="shared" ca="1" si="0"/>
        <v>46289</v>
      </c>
    </row>
    <row r="2381" spans="1:7" ht="12.75" customHeight="1">
      <c r="A2381" s="406"/>
      <c r="B2381" s="401"/>
      <c r="C2381" s="401"/>
      <c r="D2381" s="401"/>
      <c r="E2381" s="401"/>
      <c r="F2381" s="401"/>
      <c r="G2381" s="417"/>
    </row>
    <row r="2382" spans="1:7" ht="12.75" customHeight="1">
      <c r="A2382" s="406" t="s">
        <v>856</v>
      </c>
      <c r="B2382" s="401" t="s">
        <v>66</v>
      </c>
      <c r="C2382" s="401"/>
      <c r="D2382" s="401"/>
      <c r="E2382" s="401"/>
      <c r="F2382" s="401"/>
      <c r="G2382" s="417"/>
    </row>
    <row r="2383" spans="1:7" ht="12.75" customHeight="1">
      <c r="A2383" s="406"/>
      <c r="B2383" s="401"/>
      <c r="C2383" s="401" t="s">
        <v>179</v>
      </c>
      <c r="D2383" s="432">
        <v>6</v>
      </c>
      <c r="E2383" s="401" t="s">
        <v>180</v>
      </c>
      <c r="F2383" s="401" t="s">
        <v>226</v>
      </c>
      <c r="G2383" s="417"/>
    </row>
    <row r="2384" spans="1:7" ht="12.75" customHeight="1">
      <c r="A2384" s="406" t="s">
        <v>182</v>
      </c>
      <c r="B2384" s="401"/>
      <c r="C2384" s="401"/>
      <c r="D2384" s="401"/>
      <c r="E2384" s="401"/>
      <c r="F2384" s="401"/>
      <c r="G2384" s="417"/>
    </row>
    <row r="2385" spans="1:7" ht="12.75" customHeight="1">
      <c r="A2385" s="408" t="s">
        <v>111</v>
      </c>
      <c r="B2385" s="169" t="s">
        <v>183</v>
      </c>
      <c r="C2385" s="169" t="s">
        <v>184</v>
      </c>
      <c r="D2385" s="169" t="s">
        <v>185</v>
      </c>
      <c r="E2385" s="169" t="s">
        <v>186</v>
      </c>
      <c r="F2385" s="401"/>
      <c r="G2385" s="417"/>
    </row>
    <row r="2386" spans="1:7" ht="12.75" customHeight="1">
      <c r="A2386" s="406" t="s">
        <v>187</v>
      </c>
      <c r="B2386" s="401"/>
      <c r="C2386" s="401"/>
      <c r="D2386" s="401"/>
      <c r="E2386" s="403">
        <f t="shared" si="1"/>
        <v>2450</v>
      </c>
      <c r="F2386" s="401"/>
      <c r="G2386" s="417"/>
    </row>
    <row r="2387" spans="1:7" ht="12.75" customHeight="1">
      <c r="A2387" s="406"/>
      <c r="B2387" s="401"/>
      <c r="C2387" s="401"/>
      <c r="D2387" s="401"/>
      <c r="E2387" s="401"/>
      <c r="F2387" s="401"/>
      <c r="G2387" s="417"/>
    </row>
    <row r="2388" spans="1:7" ht="12.75" customHeight="1">
      <c r="A2388" s="406"/>
      <c r="B2388" s="401"/>
      <c r="C2388" s="401"/>
      <c r="D2388" s="401"/>
      <c r="E2388" s="401"/>
      <c r="F2388" s="401"/>
      <c r="G2388" s="417"/>
    </row>
    <row r="2389" spans="1:7" ht="12.75" customHeight="1">
      <c r="A2389" s="406"/>
      <c r="B2389" s="401"/>
      <c r="C2389" s="401"/>
      <c r="D2389" s="401"/>
      <c r="E2389" s="401"/>
      <c r="F2389" s="401" t="s">
        <v>189</v>
      </c>
      <c r="G2389" s="417">
        <f t="shared" si="2"/>
        <v>2450</v>
      </c>
    </row>
    <row r="2390" spans="1:7" ht="12.75" customHeight="1">
      <c r="A2390" s="406" t="s">
        <v>191</v>
      </c>
      <c r="B2390" s="401"/>
      <c r="C2390" s="401"/>
      <c r="D2390" s="401"/>
      <c r="E2390" s="401"/>
      <c r="F2390" s="401"/>
      <c r="G2390" s="417"/>
    </row>
    <row r="2391" spans="1:7" ht="12.75" customHeight="1">
      <c r="A2391" s="408" t="s">
        <v>111</v>
      </c>
      <c r="B2391" s="169" t="s">
        <v>193</v>
      </c>
      <c r="C2391" s="169" t="s">
        <v>194</v>
      </c>
      <c r="D2391" s="169" t="s">
        <v>195</v>
      </c>
      <c r="E2391" s="169" t="s">
        <v>186</v>
      </c>
      <c r="F2391" s="401"/>
      <c r="G2391" s="417"/>
    </row>
    <row r="2392" spans="1:7" ht="12.75" customHeight="1">
      <c r="A2392" s="406"/>
      <c r="B2392" s="169"/>
      <c r="C2392" s="403"/>
      <c r="D2392" s="401"/>
      <c r="E2392" s="403"/>
      <c r="F2392" s="401"/>
      <c r="G2392" s="417"/>
    </row>
    <row r="2393" spans="1:7" ht="12.75" customHeight="1">
      <c r="A2393" s="406"/>
      <c r="B2393" s="169"/>
      <c r="C2393" s="401"/>
      <c r="D2393" s="401"/>
      <c r="E2393" s="403"/>
      <c r="F2393" s="401"/>
      <c r="G2393" s="417"/>
    </row>
    <row r="2394" spans="1:7" ht="12.75" customHeight="1">
      <c r="A2394" s="406"/>
      <c r="B2394" s="169"/>
      <c r="C2394" s="401"/>
      <c r="D2394" s="401"/>
      <c r="E2394" s="403"/>
      <c r="F2394" s="401"/>
      <c r="G2394" s="417"/>
    </row>
    <row r="2395" spans="1:7" ht="12.75" customHeight="1">
      <c r="A2395" s="406"/>
      <c r="B2395" s="401"/>
      <c r="C2395" s="401"/>
      <c r="D2395" s="401"/>
      <c r="E2395" s="401"/>
      <c r="F2395" s="401"/>
      <c r="G2395" s="417"/>
    </row>
    <row r="2396" spans="1:7" ht="12.75" customHeight="1">
      <c r="A2396" s="406"/>
      <c r="B2396" s="401"/>
      <c r="C2396" s="401"/>
      <c r="D2396" s="401"/>
      <c r="E2396" s="401"/>
      <c r="F2396" s="401"/>
      <c r="G2396" s="417"/>
    </row>
    <row r="2397" spans="1:7" ht="12.75" customHeight="1">
      <c r="A2397" s="406"/>
      <c r="B2397" s="401"/>
      <c r="C2397" s="401"/>
      <c r="D2397" s="401"/>
      <c r="E2397" s="401"/>
      <c r="F2397" s="401"/>
      <c r="G2397" s="417"/>
    </row>
    <row r="2398" spans="1:7" ht="12.75" customHeight="1">
      <c r="A2398" s="406"/>
      <c r="B2398" s="401"/>
      <c r="C2398" s="401"/>
      <c r="D2398" s="401"/>
      <c r="E2398" s="401"/>
      <c r="F2398" s="401" t="s">
        <v>189</v>
      </c>
      <c r="G2398" s="417">
        <f t="shared" si="5"/>
        <v>0</v>
      </c>
    </row>
    <row r="2399" spans="1:7" ht="12.75" customHeight="1">
      <c r="A2399" s="406" t="s">
        <v>197</v>
      </c>
      <c r="B2399" s="401"/>
      <c r="C2399" s="401"/>
      <c r="D2399" s="401"/>
      <c r="E2399" s="401"/>
      <c r="F2399" s="401"/>
      <c r="G2399" s="417"/>
    </row>
    <row r="2400" spans="1:7" ht="12.75" customHeight="1">
      <c r="A2400" s="408" t="s">
        <v>198</v>
      </c>
      <c r="B2400" s="169" t="s">
        <v>199</v>
      </c>
      <c r="C2400" s="169" t="s">
        <v>200</v>
      </c>
      <c r="D2400" s="169" t="s">
        <v>201</v>
      </c>
      <c r="E2400" s="169" t="s">
        <v>186</v>
      </c>
      <c r="F2400" s="401"/>
      <c r="G2400" s="417"/>
    </row>
    <row r="2401" spans="1:9" ht="12.75" customHeight="1">
      <c r="A2401" s="406"/>
      <c r="B2401" s="401"/>
      <c r="C2401" s="401"/>
      <c r="D2401" s="401"/>
      <c r="E2401" s="403">
        <v>5088.4615384615417</v>
      </c>
      <c r="F2401" s="401"/>
      <c r="G2401" s="417"/>
    </row>
    <row r="2402" spans="1:9" ht="12.75" customHeight="1">
      <c r="A2402" s="406"/>
      <c r="B2402" s="401"/>
      <c r="C2402" s="401"/>
      <c r="D2402" s="401"/>
      <c r="E2402" s="401"/>
      <c r="F2402" s="401"/>
      <c r="G2402" s="417"/>
    </row>
    <row r="2403" spans="1:9" ht="12.75" customHeight="1">
      <c r="A2403" s="406"/>
      <c r="B2403" s="401"/>
      <c r="C2403" s="401"/>
      <c r="D2403" s="401"/>
      <c r="E2403" s="401"/>
      <c r="F2403" s="401"/>
      <c r="G2403" s="417"/>
    </row>
    <row r="2404" spans="1:9" ht="12.75" customHeight="1">
      <c r="A2404" s="406"/>
      <c r="B2404" s="401"/>
      <c r="C2404" s="401"/>
      <c r="D2404" s="401"/>
      <c r="E2404" s="401"/>
      <c r="F2404" s="401"/>
      <c r="G2404" s="417"/>
    </row>
    <row r="2405" spans="1:9" ht="12.75" customHeight="1">
      <c r="A2405" s="406"/>
      <c r="B2405" s="401"/>
      <c r="C2405" s="401"/>
      <c r="D2405" s="401"/>
      <c r="E2405" s="401"/>
      <c r="F2405" s="401" t="s">
        <v>189</v>
      </c>
      <c r="G2405" s="417">
        <f t="shared" si="6"/>
        <v>5088.4615384615417</v>
      </c>
    </row>
    <row r="2406" spans="1:9" ht="12.75" customHeight="1">
      <c r="A2406" s="406" t="s">
        <v>202</v>
      </c>
      <c r="B2406" s="401"/>
      <c r="C2406" s="401"/>
      <c r="D2406" s="401"/>
      <c r="E2406" s="401"/>
      <c r="F2406" s="401"/>
      <c r="G2406" s="417"/>
    </row>
    <row r="2407" spans="1:9" ht="12.75" customHeight="1">
      <c r="A2407" s="408" t="s">
        <v>203</v>
      </c>
      <c r="B2407" s="169" t="s">
        <v>204</v>
      </c>
      <c r="C2407" s="169" t="s">
        <v>205</v>
      </c>
      <c r="D2407" s="169" t="s">
        <v>206</v>
      </c>
      <c r="E2407" s="169" t="s">
        <v>207</v>
      </c>
      <c r="F2407" s="169" t="s">
        <v>208</v>
      </c>
      <c r="G2407" s="417"/>
    </row>
    <row r="2408" spans="1:9" ht="12.75" customHeight="1">
      <c r="A2408" s="406" t="s">
        <v>495</v>
      </c>
      <c r="B2408" s="401">
        <f>+B33*2</f>
        <v>182000</v>
      </c>
      <c r="C2408" s="403">
        <f t="shared" si="7"/>
        <v>136500</v>
      </c>
      <c r="D2408" s="403">
        <f t="shared" si="8"/>
        <v>318500</v>
      </c>
      <c r="E2408" s="432">
        <v>6.5</v>
      </c>
      <c r="F2408" s="403">
        <f t="shared" si="22"/>
        <v>49000</v>
      </c>
      <c r="G2408" s="417"/>
    </row>
    <row r="2409" spans="1:9" ht="12.75" customHeight="1">
      <c r="A2409" s="406"/>
      <c r="B2409" s="401"/>
      <c r="C2409" s="403"/>
      <c r="D2409" s="403"/>
      <c r="E2409" s="401"/>
      <c r="F2409" s="403"/>
      <c r="G2409" s="417"/>
    </row>
    <row r="2410" spans="1:9" ht="12.75" customHeight="1">
      <c r="A2410" s="406"/>
      <c r="B2410" s="401"/>
      <c r="C2410" s="401"/>
      <c r="D2410" s="401"/>
      <c r="E2410" s="401"/>
      <c r="F2410" s="401"/>
      <c r="G2410" s="417"/>
    </row>
    <row r="2411" spans="1:9" ht="12.75" customHeight="1">
      <c r="A2411" s="406"/>
      <c r="B2411" s="401"/>
      <c r="C2411" s="401"/>
      <c r="D2411" s="401"/>
      <c r="E2411" s="401"/>
      <c r="F2411" s="401"/>
      <c r="G2411" s="417"/>
    </row>
    <row r="2412" spans="1:9" ht="12.75" customHeight="1">
      <c r="A2412" s="406"/>
      <c r="B2412" s="401"/>
      <c r="C2412" s="401"/>
      <c r="D2412" s="401"/>
      <c r="E2412" s="401"/>
      <c r="F2412" s="401"/>
      <c r="G2412" s="417"/>
    </row>
    <row r="2413" spans="1:9" ht="12.75" customHeight="1">
      <c r="A2413" s="406"/>
      <c r="B2413" s="401"/>
      <c r="C2413" s="401"/>
      <c r="D2413" s="401"/>
      <c r="E2413" s="401"/>
      <c r="F2413" s="401"/>
      <c r="G2413" s="417"/>
    </row>
    <row r="2414" spans="1:9" ht="12.75" customHeight="1">
      <c r="A2414" s="406"/>
      <c r="B2414" s="401"/>
      <c r="C2414" s="401"/>
      <c r="D2414" s="401"/>
      <c r="E2414" s="401"/>
      <c r="F2414" s="401" t="s">
        <v>189</v>
      </c>
      <c r="G2414" s="417">
        <f t="shared" si="10"/>
        <v>49000</v>
      </c>
    </row>
    <row r="2415" spans="1:9" ht="12.75" customHeight="1">
      <c r="A2415" s="406"/>
      <c r="B2415" s="401"/>
      <c r="C2415" s="401"/>
      <c r="D2415" s="401"/>
      <c r="E2415" s="401"/>
      <c r="F2415" s="401"/>
      <c r="G2415" s="417"/>
    </row>
    <row r="2416" spans="1:9" ht="12.75" customHeight="1">
      <c r="A2416" s="406" t="s">
        <v>209</v>
      </c>
      <c r="B2416" s="401"/>
      <c r="C2416" s="401" t="s">
        <v>210</v>
      </c>
      <c r="D2416" s="401" t="s">
        <v>211</v>
      </c>
      <c r="E2416" s="401"/>
      <c r="F2416" s="401"/>
      <c r="G2416" s="417">
        <f t="shared" si="11"/>
        <v>56538.461538461539</v>
      </c>
      <c r="I2416">
        <v>66885</v>
      </c>
    </row>
    <row r="2417" spans="1:7" ht="12.75" customHeight="1">
      <c r="A2417" s="406"/>
      <c r="B2417" s="401"/>
      <c r="C2417" s="401"/>
      <c r="D2417" s="401"/>
      <c r="E2417" s="401"/>
      <c r="F2417" s="401"/>
      <c r="G2417" s="417"/>
    </row>
    <row r="2418" spans="1:7" ht="12.75" customHeight="1">
      <c r="A2418" s="406"/>
      <c r="B2418" s="401"/>
      <c r="C2418" s="401"/>
      <c r="D2418" s="401"/>
      <c r="E2418" s="401" t="s">
        <v>212</v>
      </c>
      <c r="F2418" s="401"/>
      <c r="G2418" s="417">
        <f t="shared" si="12"/>
        <v>16961.538461538461</v>
      </c>
    </row>
    <row r="2419" spans="1:7" ht="12.75" customHeight="1">
      <c r="A2419" s="406"/>
      <c r="B2419" s="401"/>
      <c r="C2419" s="401"/>
      <c r="D2419" s="401"/>
      <c r="E2419" s="401"/>
      <c r="F2419" s="401"/>
      <c r="G2419" s="417"/>
    </row>
    <row r="2420" spans="1:7" ht="12.75" customHeight="1" thickBot="1">
      <c r="A2420" s="411" t="s">
        <v>213</v>
      </c>
      <c r="B2420" s="412"/>
      <c r="C2420" s="412"/>
      <c r="D2420" s="412" t="s">
        <v>214</v>
      </c>
      <c r="E2420" s="412"/>
      <c r="F2420" s="412"/>
      <c r="G2420" s="418">
        <f t="shared" si="13"/>
        <v>73500</v>
      </c>
    </row>
  </sheetData>
  <mergeCells count="61">
    <mergeCell ref="A1:G1"/>
    <mergeCell ref="A45:G45"/>
    <mergeCell ref="A89:G89"/>
    <mergeCell ref="A133:G133"/>
    <mergeCell ref="A177:G177"/>
    <mergeCell ref="A220:G220"/>
    <mergeCell ref="A264:G264"/>
    <mergeCell ref="A308:G308"/>
    <mergeCell ref="A352:G352"/>
    <mergeCell ref="A368:A373"/>
    <mergeCell ref="A396:G396"/>
    <mergeCell ref="B401:G401"/>
    <mergeCell ref="A440:G440"/>
    <mergeCell ref="B445:G445"/>
    <mergeCell ref="A484:G484"/>
    <mergeCell ref="A528:G528"/>
    <mergeCell ref="A572:G572"/>
    <mergeCell ref="A616:G616"/>
    <mergeCell ref="A660:G660"/>
    <mergeCell ref="A704:G704"/>
    <mergeCell ref="A748:G748"/>
    <mergeCell ref="D789:F789"/>
    <mergeCell ref="D791:F791"/>
    <mergeCell ref="A792:G792"/>
    <mergeCell ref="A1539:G1539"/>
    <mergeCell ref="A836:G836"/>
    <mergeCell ref="A880:G880"/>
    <mergeCell ref="D919:F919"/>
    <mergeCell ref="D923:F923"/>
    <mergeCell ref="A924:G924"/>
    <mergeCell ref="D963:F963"/>
    <mergeCell ref="D967:F967"/>
    <mergeCell ref="A968:G968"/>
    <mergeCell ref="A1012:G1012"/>
    <mergeCell ref="A1276:G1276"/>
    <mergeCell ref="A1320:G1320"/>
    <mergeCell ref="A1583:G1583"/>
    <mergeCell ref="A1627:G1627"/>
    <mergeCell ref="A1671:G1671"/>
    <mergeCell ref="A1715:G1715"/>
    <mergeCell ref="A1759:G1759"/>
    <mergeCell ref="A1803:G1803"/>
    <mergeCell ref="A1847:G1847"/>
    <mergeCell ref="A1891:G1891"/>
    <mergeCell ref="A1935:G1935"/>
    <mergeCell ref="A1979:G1979"/>
    <mergeCell ref="A2289:G2289"/>
    <mergeCell ref="A2333:G2333"/>
    <mergeCell ref="A2377:G2377"/>
    <mergeCell ref="A2023:G2023"/>
    <mergeCell ref="A2067:G2067"/>
    <mergeCell ref="A2111:G2111"/>
    <mergeCell ref="A2155:G2155"/>
    <mergeCell ref="A2200:G2200"/>
    <mergeCell ref="B2205:G2205"/>
    <mergeCell ref="A2245:G2245"/>
    <mergeCell ref="A1056:G1056"/>
    <mergeCell ref="A1100:G1100"/>
    <mergeCell ref="A1144:G1144"/>
    <mergeCell ref="A1188:G1188"/>
    <mergeCell ref="A1232:G1232"/>
  </mergeCells>
  <pageMargins left="0.7" right="0.7" top="0.75" bottom="0.75" header="0" footer="0"/>
  <pageSetup orientation="landscape"/>
  <headerFooter>
    <oddHeader>&amp;L&amp;C&amp;R</oddHeader>
    <oddFooter>&amp;L&amp;C&amp;R</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3AEE5-6608-0C38-1B15-685E8F7EBB78}">
  <dimension ref="A1:K1000"/>
  <sheetViews>
    <sheetView tabSelected="1" topLeftCell="A241" workbookViewId="0">
      <selection activeCell="G264" sqref="G264"/>
    </sheetView>
  </sheetViews>
  <sheetFormatPr baseColWidth="10" defaultColWidth="12.6640625" defaultRowHeight="15" customHeight="1"/>
  <cols>
    <col min="1" max="1" width="18.6640625" customWidth="1"/>
    <col min="2" max="3" width="11.6640625" customWidth="1"/>
    <col min="4" max="4" width="11.33203125" customWidth="1"/>
    <col min="5" max="6" width="11.6640625" customWidth="1"/>
    <col min="7" max="7" width="15.88671875" style="192" customWidth="1"/>
    <col min="8" max="9" width="10" customWidth="1"/>
    <col min="10" max="10" width="14" customWidth="1"/>
    <col min="11" max="25" width="10" customWidth="1"/>
  </cols>
  <sheetData>
    <row r="1" spans="1:11" ht="15" customHeight="1">
      <c r="A1" s="531" t="s">
        <v>174</v>
      </c>
      <c r="B1" s="457"/>
      <c r="C1" s="457"/>
      <c r="D1" s="457"/>
      <c r="E1" s="457"/>
      <c r="F1" s="457"/>
      <c r="G1" s="457"/>
    </row>
    <row r="2" spans="1:11" ht="12.75" customHeight="1"/>
    <row r="3" spans="1:11" ht="12.75" customHeight="1">
      <c r="A3" s="1" t="s">
        <v>175</v>
      </c>
      <c r="B3" s="1"/>
      <c r="C3" s="1"/>
      <c r="D3" s="94"/>
      <c r="E3" s="94"/>
      <c r="F3" s="94"/>
      <c r="G3" s="414"/>
      <c r="H3" s="94"/>
    </row>
    <row r="4" spans="1:11" ht="12.75" customHeight="1">
      <c r="A4" s="1" t="s">
        <v>176</v>
      </c>
      <c r="B4" s="1"/>
      <c r="C4" s="1"/>
      <c r="D4" s="1"/>
      <c r="F4" s="95" t="s">
        <v>177</v>
      </c>
      <c r="G4" s="415">
        <f t="shared" ref="G4:G708" ca="1" si="0">+TODAY()</f>
        <v>46289</v>
      </c>
      <c r="H4" s="95"/>
      <c r="I4" s="98"/>
    </row>
    <row r="5" spans="1:11" ht="12.75" customHeight="1" thickBot="1">
      <c r="A5" s="1"/>
      <c r="B5" s="94"/>
      <c r="C5" s="94"/>
      <c r="D5" s="94"/>
      <c r="E5" s="94"/>
      <c r="F5" s="94"/>
      <c r="G5" s="414"/>
      <c r="H5" s="94"/>
    </row>
    <row r="6" spans="1:11" ht="12.75" customHeight="1">
      <c r="A6" s="404" t="s">
        <v>178</v>
      </c>
      <c r="B6" s="405" t="s">
        <v>10</v>
      </c>
      <c r="C6" s="405"/>
      <c r="D6" s="405"/>
      <c r="E6" s="405"/>
      <c r="F6" s="405"/>
      <c r="G6" s="416"/>
      <c r="H6" s="94"/>
    </row>
    <row r="7" spans="1:11" ht="12.75" customHeight="1">
      <c r="A7" s="406"/>
      <c r="B7" s="401"/>
      <c r="C7" s="402" t="s">
        <v>179</v>
      </c>
      <c r="D7" s="169">
        <v>12</v>
      </c>
      <c r="E7" s="402" t="s">
        <v>180</v>
      </c>
      <c r="F7" s="169" t="s">
        <v>181</v>
      </c>
      <c r="G7" s="417"/>
      <c r="H7" s="94"/>
    </row>
    <row r="8" spans="1:11" ht="12.75" customHeight="1">
      <c r="A8" s="406" t="s">
        <v>182</v>
      </c>
      <c r="B8" s="401"/>
      <c r="C8" s="401"/>
      <c r="D8" s="401"/>
      <c r="E8" s="401"/>
      <c r="F8" s="401"/>
      <c r="G8" s="417"/>
      <c r="H8" s="94"/>
    </row>
    <row r="9" spans="1:11" ht="12.75" customHeight="1">
      <c r="A9" s="408" t="s">
        <v>111</v>
      </c>
      <c r="B9" s="169" t="s">
        <v>183</v>
      </c>
      <c r="C9" s="169" t="s">
        <v>184</v>
      </c>
      <c r="D9" s="169" t="s">
        <v>185</v>
      </c>
      <c r="E9" s="169" t="s">
        <v>186</v>
      </c>
      <c r="F9" s="401"/>
      <c r="G9" s="417"/>
      <c r="H9" s="94"/>
    </row>
    <row r="10" spans="1:11" ht="12.75" customHeight="1">
      <c r="A10" s="406" t="s">
        <v>187</v>
      </c>
      <c r="B10" s="401"/>
      <c r="C10" s="401"/>
      <c r="D10" s="401"/>
      <c r="E10" s="403">
        <f t="shared" ref="E10:E714" si="1">G38*0.05</f>
        <v>224.35897435897434</v>
      </c>
      <c r="F10" s="401"/>
      <c r="G10" s="417"/>
      <c r="H10" s="94"/>
    </row>
    <row r="11" spans="1:11" ht="12.75" customHeight="1">
      <c r="A11" s="406"/>
      <c r="B11" s="401"/>
      <c r="C11" s="401"/>
      <c r="D11" s="401"/>
      <c r="E11" s="403"/>
      <c r="F11" s="401"/>
      <c r="G11" s="417"/>
      <c r="H11" s="94"/>
    </row>
    <row r="12" spans="1:11" ht="12.75" customHeight="1">
      <c r="A12" s="406"/>
      <c r="B12" s="401"/>
      <c r="C12" s="401"/>
      <c r="D12" s="401"/>
      <c r="E12" s="403"/>
      <c r="F12" s="401"/>
      <c r="G12" s="417"/>
      <c r="H12" s="94"/>
      <c r="J12" t="s">
        <v>188</v>
      </c>
      <c r="K12">
        <v>150000</v>
      </c>
    </row>
    <row r="13" spans="1:11" ht="12.75" customHeight="1">
      <c r="A13" s="406"/>
      <c r="B13" s="401"/>
      <c r="C13" s="401"/>
      <c r="D13" s="401"/>
      <c r="E13" s="401"/>
      <c r="F13" s="402" t="s">
        <v>189</v>
      </c>
      <c r="G13" s="417">
        <f t="shared" ref="G13:G717" si="2">E10+E11+E12+E13</f>
        <v>224.35897435897434</v>
      </c>
      <c r="H13" s="94"/>
      <c r="J13" t="s">
        <v>190</v>
      </c>
      <c r="K13">
        <v>100000</v>
      </c>
    </row>
    <row r="14" spans="1:11" ht="12.75" customHeight="1">
      <c r="A14" s="406" t="s">
        <v>191</v>
      </c>
      <c r="B14" s="401"/>
      <c r="C14" s="401"/>
      <c r="D14" s="401"/>
      <c r="E14" s="401"/>
      <c r="F14" s="401"/>
      <c r="G14" s="417"/>
      <c r="H14" s="94"/>
      <c r="J14" t="s">
        <v>192</v>
      </c>
      <c r="K14">
        <v>120000</v>
      </c>
    </row>
    <row r="15" spans="1:11" ht="12.75" customHeight="1">
      <c r="A15" s="408" t="s">
        <v>111</v>
      </c>
      <c r="B15" s="169" t="s">
        <v>193</v>
      </c>
      <c r="C15" s="169" t="s">
        <v>194</v>
      </c>
      <c r="D15" s="169" t="s">
        <v>195</v>
      </c>
      <c r="E15" s="169" t="s">
        <v>186</v>
      </c>
      <c r="F15" s="401"/>
      <c r="G15" s="417"/>
      <c r="H15" s="94"/>
      <c r="J15" t="s">
        <v>196</v>
      </c>
      <c r="K15">
        <v>120000</v>
      </c>
    </row>
    <row r="16" spans="1:11" ht="12.75" customHeight="1">
      <c r="A16" s="406"/>
      <c r="B16" s="169"/>
      <c r="C16" s="401"/>
      <c r="D16" s="401"/>
      <c r="E16" s="401"/>
      <c r="F16" s="401"/>
      <c r="G16" s="417"/>
      <c r="H16" s="94"/>
    </row>
    <row r="17" spans="1:10" ht="12.75" customHeight="1">
      <c r="A17" s="406"/>
      <c r="B17" s="169"/>
      <c r="C17" s="401"/>
      <c r="D17" s="401"/>
      <c r="E17" s="401"/>
      <c r="F17" s="401"/>
      <c r="G17" s="417"/>
      <c r="H17" s="94"/>
    </row>
    <row r="18" spans="1:10" ht="12.75" customHeight="1">
      <c r="A18" s="406"/>
      <c r="B18" s="169"/>
      <c r="C18" s="401"/>
      <c r="D18" s="401"/>
      <c r="E18" s="401"/>
      <c r="F18" s="401"/>
      <c r="G18" s="417"/>
      <c r="H18" s="94"/>
    </row>
    <row r="19" spans="1:10" ht="12.75" customHeight="1">
      <c r="A19" s="406"/>
      <c r="B19" s="169"/>
      <c r="C19" s="401"/>
      <c r="D19" s="401"/>
      <c r="E19" s="401"/>
      <c r="F19" s="401"/>
      <c r="G19" s="417"/>
      <c r="H19" s="94"/>
    </row>
    <row r="20" spans="1:10" ht="12.75" customHeight="1">
      <c r="A20" s="406"/>
      <c r="B20" s="401"/>
      <c r="C20" s="401"/>
      <c r="D20" s="401"/>
      <c r="E20" s="401"/>
      <c r="F20" s="401"/>
      <c r="G20" s="417"/>
      <c r="H20" s="94"/>
    </row>
    <row r="21" spans="1:10" ht="12.75" customHeight="1">
      <c r="A21" s="406"/>
      <c r="B21" s="401"/>
      <c r="C21" s="401"/>
      <c r="D21" s="401"/>
      <c r="E21" s="401"/>
      <c r="F21" s="401"/>
      <c r="G21" s="417"/>
      <c r="H21" s="94"/>
    </row>
    <row r="22" spans="1:10" ht="12.75" customHeight="1">
      <c r="A22" s="406"/>
      <c r="B22" s="401"/>
      <c r="C22" s="401"/>
      <c r="D22" s="401"/>
      <c r="E22" s="401"/>
      <c r="F22" s="402" t="s">
        <v>189</v>
      </c>
      <c r="G22" s="417"/>
      <c r="H22" s="94"/>
    </row>
    <row r="23" spans="1:10" ht="12.75" customHeight="1">
      <c r="A23" s="406" t="s">
        <v>197</v>
      </c>
      <c r="B23" s="401"/>
      <c r="C23" s="401"/>
      <c r="D23" s="401"/>
      <c r="E23" s="401"/>
      <c r="F23" s="401"/>
      <c r="G23" s="417"/>
      <c r="H23" s="94"/>
    </row>
    <row r="24" spans="1:10" ht="12.75" customHeight="1">
      <c r="A24" s="408" t="s">
        <v>198</v>
      </c>
      <c r="B24" s="169" t="s">
        <v>199</v>
      </c>
      <c r="C24" s="169" t="s">
        <v>200</v>
      </c>
      <c r="D24" s="169" t="s">
        <v>201</v>
      </c>
      <c r="E24" s="169" t="s">
        <v>186</v>
      </c>
      <c r="F24" s="401"/>
      <c r="G24" s="417"/>
      <c r="H24" s="94"/>
    </row>
    <row r="25" spans="1:10" ht="12.75" customHeight="1">
      <c r="A25" s="406"/>
      <c r="B25" s="401"/>
      <c r="C25" s="401"/>
      <c r="D25" s="401"/>
      <c r="E25" s="401"/>
      <c r="F25" s="401"/>
      <c r="G25" s="417"/>
      <c r="H25" s="94"/>
    </row>
    <row r="26" spans="1:10" ht="12.75" customHeight="1">
      <c r="A26" s="406"/>
      <c r="B26" s="401"/>
      <c r="C26" s="401"/>
      <c r="D26" s="401"/>
      <c r="E26" s="401"/>
      <c r="F26" s="401"/>
      <c r="G26" s="417"/>
      <c r="H26" s="94"/>
    </row>
    <row r="27" spans="1:10" ht="12.75" customHeight="1">
      <c r="A27" s="406"/>
      <c r="B27" s="401"/>
      <c r="C27" s="401"/>
      <c r="D27" s="401"/>
      <c r="E27" s="401"/>
      <c r="F27" s="401"/>
      <c r="G27" s="417"/>
      <c r="H27" s="94"/>
    </row>
    <row r="28" spans="1:10" ht="12.75" customHeight="1">
      <c r="A28" s="406"/>
      <c r="B28" s="401"/>
      <c r="C28" s="401"/>
      <c r="D28" s="401"/>
      <c r="E28" s="401"/>
      <c r="F28" s="401"/>
      <c r="G28" s="417"/>
      <c r="H28" s="94"/>
    </row>
    <row r="29" spans="1:10" ht="12.75" customHeight="1">
      <c r="A29" s="406"/>
      <c r="B29" s="401"/>
      <c r="C29" s="401"/>
      <c r="D29" s="401"/>
      <c r="E29" s="401"/>
      <c r="F29" s="402" t="s">
        <v>189</v>
      </c>
      <c r="G29" s="417"/>
      <c r="H29" s="94"/>
    </row>
    <row r="30" spans="1:10" ht="12.75" customHeight="1">
      <c r="A30" s="406" t="s">
        <v>202</v>
      </c>
      <c r="B30" s="401"/>
      <c r="C30" s="401"/>
      <c r="D30" s="401"/>
      <c r="E30" s="401"/>
      <c r="F30" s="401"/>
      <c r="G30" s="417"/>
      <c r="H30" s="94"/>
    </row>
    <row r="31" spans="1:10" ht="12.75" customHeight="1">
      <c r="A31" s="408" t="s">
        <v>203</v>
      </c>
      <c r="B31" s="169" t="s">
        <v>204</v>
      </c>
      <c r="C31" s="169" t="s">
        <v>205</v>
      </c>
      <c r="D31" s="169" t="s">
        <v>206</v>
      </c>
      <c r="E31" s="169" t="s">
        <v>207</v>
      </c>
      <c r="F31" s="169" t="s">
        <v>208</v>
      </c>
      <c r="G31" s="417"/>
      <c r="H31" s="94"/>
    </row>
    <row r="32" spans="1:10" ht="12.75" customHeight="1">
      <c r="A32" s="410" t="s">
        <v>188</v>
      </c>
      <c r="B32" s="401">
        <v>140000</v>
      </c>
      <c r="C32" s="401">
        <f t="shared" ref="C32:C77" si="3">B32*0.75</f>
        <v>105000</v>
      </c>
      <c r="D32" s="401">
        <f t="shared" ref="D32:D736" si="4">B32+C32</f>
        <v>245000</v>
      </c>
      <c r="E32" s="401">
        <v>90</v>
      </c>
      <c r="F32" s="403">
        <f t="shared" ref="F32:F736" si="5">D32/E32</f>
        <v>2722.2222222222222</v>
      </c>
      <c r="G32" s="417"/>
      <c r="H32" s="94"/>
      <c r="I32" s="49">
        <f>60000*30</f>
        <v>1800000</v>
      </c>
      <c r="J32" s="65" t="e">
        <f>+#REF!+I32</f>
        <v>#REF!</v>
      </c>
    </row>
    <row r="33" spans="1:9" ht="12.75" customHeight="1">
      <c r="A33" s="410" t="s">
        <v>190</v>
      </c>
      <c r="B33" s="403">
        <v>90769.230769230751</v>
      </c>
      <c r="C33" s="403">
        <f t="shared" si="3"/>
        <v>68076.923076923063</v>
      </c>
      <c r="D33" s="403">
        <f t="shared" si="4"/>
        <v>158846.15384615381</v>
      </c>
      <c r="E33" s="401">
        <v>90</v>
      </c>
      <c r="F33" s="403">
        <f t="shared" si="5"/>
        <v>1764.9572649572647</v>
      </c>
      <c r="G33" s="417"/>
      <c r="H33" s="94"/>
    </row>
    <row r="34" spans="1:9" ht="12.75" customHeight="1">
      <c r="A34" s="406"/>
      <c r="B34" s="401"/>
      <c r="C34" s="401"/>
      <c r="D34" s="401"/>
      <c r="E34" s="401"/>
      <c r="F34" s="401"/>
      <c r="G34" s="417"/>
      <c r="H34" s="94"/>
    </row>
    <row r="35" spans="1:9" ht="12.75" customHeight="1">
      <c r="A35" s="406"/>
      <c r="B35" s="401"/>
      <c r="C35" s="401"/>
      <c r="D35" s="401"/>
      <c r="E35" s="401"/>
      <c r="F35" s="401"/>
      <c r="G35" s="417"/>
      <c r="H35" s="94"/>
    </row>
    <row r="36" spans="1:9" ht="12.75" customHeight="1">
      <c r="A36" s="406"/>
      <c r="B36" s="401"/>
      <c r="C36" s="401"/>
      <c r="D36" s="401"/>
      <c r="E36" s="401"/>
      <c r="F36" s="401"/>
      <c r="G36" s="417"/>
      <c r="H36" s="94"/>
    </row>
    <row r="37" spans="1:9" ht="12.75" customHeight="1">
      <c r="A37" s="406"/>
      <c r="B37" s="401"/>
      <c r="C37" s="401"/>
      <c r="D37" s="401"/>
      <c r="E37" s="401"/>
      <c r="F37" s="401"/>
      <c r="G37" s="417"/>
      <c r="H37" s="94"/>
    </row>
    <row r="38" spans="1:9" ht="12.75" customHeight="1">
      <c r="A38" s="406"/>
      <c r="B38" s="401"/>
      <c r="C38" s="401"/>
      <c r="D38" s="401"/>
      <c r="E38" s="401"/>
      <c r="F38" s="402" t="s">
        <v>189</v>
      </c>
      <c r="G38" s="417">
        <f t="shared" ref="G38:G742" si="6">F32+F33+F34+F35+F36+F37</f>
        <v>4487.1794871794864</v>
      </c>
      <c r="H38" s="94"/>
    </row>
    <row r="39" spans="1:9" ht="12.75" customHeight="1">
      <c r="A39" s="406"/>
      <c r="B39" s="401"/>
      <c r="C39" s="401"/>
      <c r="D39" s="401"/>
      <c r="E39" s="401"/>
      <c r="F39" s="401"/>
      <c r="G39" s="417"/>
      <c r="H39" s="94"/>
    </row>
    <row r="40" spans="1:9" ht="12.75" customHeight="1">
      <c r="A40" s="406" t="s">
        <v>209</v>
      </c>
      <c r="B40" s="401"/>
      <c r="C40" s="401" t="s">
        <v>210</v>
      </c>
      <c r="D40" s="471" t="s">
        <v>211</v>
      </c>
      <c r="E40" s="472"/>
      <c r="F40" s="472"/>
      <c r="G40" s="417">
        <f t="shared" ref="G40:G744" si="7">G13+G22+G29+G38</f>
        <v>4711.538461538461</v>
      </c>
      <c r="H40" s="94"/>
    </row>
    <row r="41" spans="1:9" ht="12.75" customHeight="1">
      <c r="A41" s="406"/>
      <c r="B41" s="401"/>
      <c r="C41" s="401"/>
      <c r="D41" s="401"/>
      <c r="E41" s="401"/>
      <c r="F41" s="401"/>
      <c r="G41" s="417"/>
      <c r="H41" s="94"/>
    </row>
    <row r="42" spans="1:9" ht="12.75" customHeight="1">
      <c r="A42" s="406"/>
      <c r="B42" s="401"/>
      <c r="C42" s="401"/>
      <c r="D42" s="401"/>
      <c r="E42" s="401" t="s">
        <v>212</v>
      </c>
      <c r="F42" s="401"/>
      <c r="G42" s="417">
        <f t="shared" ref="G42:G746" si="8">0.3*G40</f>
        <v>1413.4615384615383</v>
      </c>
      <c r="H42" s="94"/>
    </row>
    <row r="43" spans="1:9" ht="12.75" customHeight="1">
      <c r="A43" s="406"/>
      <c r="B43" s="401"/>
      <c r="C43" s="401"/>
      <c r="D43" s="401"/>
      <c r="E43" s="401"/>
      <c r="F43" s="401"/>
      <c r="G43" s="417"/>
      <c r="H43" s="94"/>
    </row>
    <row r="44" spans="1:9" ht="12.75" customHeight="1" thickBot="1">
      <c r="A44" s="411" t="s">
        <v>213</v>
      </c>
      <c r="B44" s="412"/>
      <c r="C44" s="412"/>
      <c r="D44" s="469" t="s">
        <v>214</v>
      </c>
      <c r="E44" s="470"/>
      <c r="F44" s="470"/>
      <c r="G44" s="418">
        <f t="shared" ref="G44:G748" si="9">G40+G42</f>
        <v>6124.9999999999991</v>
      </c>
      <c r="H44" s="94"/>
    </row>
    <row r="45" spans="1:9" ht="15" customHeight="1">
      <c r="A45" s="531" t="s">
        <v>174</v>
      </c>
      <c r="B45" s="457"/>
      <c r="C45" s="457"/>
      <c r="D45" s="457"/>
      <c r="E45" s="457"/>
      <c r="F45" s="457"/>
      <c r="G45" s="457"/>
    </row>
    <row r="46" spans="1:9" ht="12.75" customHeight="1" thickBot="1"/>
    <row r="47" spans="1:9" ht="12.75" customHeight="1">
      <c r="A47" s="404" t="s">
        <v>175</v>
      </c>
      <c r="B47" s="405"/>
      <c r="C47" s="405"/>
      <c r="D47" s="428"/>
      <c r="E47" s="428"/>
      <c r="F47" s="428"/>
      <c r="G47" s="429"/>
      <c r="H47" s="94"/>
    </row>
    <row r="48" spans="1:9" ht="12.75" customHeight="1">
      <c r="A48" s="406" t="str">
        <f t="shared" ref="A48:C239" si="10">+A4</f>
        <v xml:space="preserve">OBRA N°      Bocatoma - Acueducto </v>
      </c>
      <c r="B48" s="401"/>
      <c r="C48" s="401"/>
      <c r="D48" s="401"/>
      <c r="E48" s="195"/>
      <c r="F48" s="402" t="s">
        <v>177</v>
      </c>
      <c r="G48" s="430">
        <f t="shared" ca="1" si="0"/>
        <v>46289</v>
      </c>
      <c r="H48" s="95"/>
      <c r="I48" s="98"/>
    </row>
    <row r="49" spans="1:11" ht="12.75" customHeight="1">
      <c r="A49" s="406"/>
      <c r="B49" s="426"/>
      <c r="C49" s="426"/>
      <c r="D49" s="426"/>
      <c r="E49" s="426"/>
      <c r="F49" s="426"/>
      <c r="G49" s="431"/>
    </row>
    <row r="50" spans="1:11" ht="12.75" customHeight="1">
      <c r="A50" s="406" t="s">
        <v>215</v>
      </c>
      <c r="B50" s="401" t="s">
        <v>216</v>
      </c>
      <c r="C50" s="401"/>
      <c r="D50" s="401"/>
      <c r="E50" s="401"/>
      <c r="F50" s="401"/>
      <c r="G50" s="417"/>
    </row>
    <row r="51" spans="1:11" ht="12.75" customHeight="1">
      <c r="A51" s="406"/>
      <c r="B51" s="401"/>
      <c r="C51" s="402" t="s">
        <v>179</v>
      </c>
      <c r="D51" s="169">
        <v>1</v>
      </c>
      <c r="E51" s="402" t="s">
        <v>180</v>
      </c>
      <c r="F51" s="169" t="s">
        <v>217</v>
      </c>
      <c r="G51" s="417"/>
    </row>
    <row r="52" spans="1:11" ht="12.75" customHeight="1">
      <c r="A52" s="406" t="s">
        <v>182</v>
      </c>
      <c r="B52" s="401"/>
      <c r="C52" s="401"/>
      <c r="D52" s="401"/>
      <c r="E52" s="401"/>
      <c r="F52" s="401"/>
      <c r="G52" s="417"/>
    </row>
    <row r="53" spans="1:11" ht="12.75" customHeight="1">
      <c r="A53" s="408" t="s">
        <v>111</v>
      </c>
      <c r="B53" s="169" t="s">
        <v>183</v>
      </c>
      <c r="C53" s="169" t="s">
        <v>184</v>
      </c>
      <c r="D53" s="169" t="s">
        <v>185</v>
      </c>
      <c r="E53" s="169" t="s">
        <v>186</v>
      </c>
      <c r="F53" s="401"/>
      <c r="G53" s="417"/>
    </row>
    <row r="54" spans="1:11" ht="12.75" customHeight="1">
      <c r="A54" s="406" t="s">
        <v>187</v>
      </c>
      <c r="B54" s="401"/>
      <c r="C54" s="401"/>
      <c r="D54" s="401"/>
      <c r="E54" s="403">
        <f t="shared" si="1"/>
        <v>21623.696703278267</v>
      </c>
      <c r="F54" s="401"/>
      <c r="G54" s="417"/>
    </row>
    <row r="55" spans="1:11" ht="12.75" customHeight="1">
      <c r="A55" s="406"/>
      <c r="B55" s="401"/>
      <c r="C55" s="401"/>
      <c r="D55" s="401"/>
      <c r="E55" s="403"/>
      <c r="F55" s="401"/>
      <c r="G55" s="417"/>
    </row>
    <row r="56" spans="1:11" ht="12.75" customHeight="1">
      <c r="A56" s="406"/>
      <c r="B56" s="401"/>
      <c r="C56" s="401"/>
      <c r="D56" s="401"/>
      <c r="E56" s="403"/>
      <c r="F56" s="401"/>
      <c r="G56" s="417"/>
      <c r="J56" s="49">
        <f>+K56*350</f>
        <v>4998000</v>
      </c>
      <c r="K56" s="49">
        <f>12000*1.19</f>
        <v>14280</v>
      </c>
    </row>
    <row r="57" spans="1:11" ht="12.75" customHeight="1">
      <c r="A57" s="406"/>
      <c r="B57" s="401"/>
      <c r="C57" s="401"/>
      <c r="D57" s="401"/>
      <c r="E57" s="401"/>
      <c r="F57" s="402" t="s">
        <v>189</v>
      </c>
      <c r="G57" s="417">
        <f t="shared" si="2"/>
        <v>21623.696703278267</v>
      </c>
    </row>
    <row r="58" spans="1:11" ht="12.75" customHeight="1">
      <c r="A58" s="406" t="s">
        <v>191</v>
      </c>
      <c r="B58" s="401"/>
      <c r="C58" s="401"/>
      <c r="D58" s="401"/>
      <c r="E58" s="401"/>
      <c r="F58" s="401"/>
      <c r="G58" s="417"/>
    </row>
    <row r="59" spans="1:11" ht="12.75" customHeight="1">
      <c r="A59" s="408" t="s">
        <v>111</v>
      </c>
      <c r="B59" s="169" t="s">
        <v>193</v>
      </c>
      <c r="C59" s="169" t="s">
        <v>194</v>
      </c>
      <c r="D59" s="169" t="s">
        <v>195</v>
      </c>
      <c r="E59" s="169" t="s">
        <v>186</v>
      </c>
      <c r="F59" s="401"/>
      <c r="G59" s="417"/>
    </row>
    <row r="60" spans="1:11" ht="12.75" customHeight="1">
      <c r="A60" s="406" t="s">
        <v>218</v>
      </c>
      <c r="B60" s="169" t="s">
        <v>193</v>
      </c>
      <c r="C60" s="401">
        <v>1400</v>
      </c>
      <c r="D60" s="401">
        <v>25</v>
      </c>
      <c r="E60" s="401">
        <f t="shared" ref="E60:E677" si="11">C60*D60</f>
        <v>35000</v>
      </c>
      <c r="F60" s="401"/>
      <c r="G60" s="417"/>
    </row>
    <row r="61" spans="1:11" ht="12.75" customHeight="1">
      <c r="A61" s="406" t="s">
        <v>219</v>
      </c>
      <c r="B61" s="169" t="s">
        <v>220</v>
      </c>
      <c r="C61" s="401">
        <v>30000</v>
      </c>
      <c r="D61" s="401">
        <v>1</v>
      </c>
      <c r="E61" s="401">
        <f t="shared" si="11"/>
        <v>30000</v>
      </c>
      <c r="F61" s="401"/>
      <c r="G61" s="417"/>
    </row>
    <row r="62" spans="1:11" ht="12.75" customHeight="1">
      <c r="A62" s="406" t="s">
        <v>221</v>
      </c>
      <c r="B62" s="169" t="s">
        <v>220</v>
      </c>
      <c r="C62" s="401">
        <v>60000</v>
      </c>
      <c r="D62" s="401">
        <v>1</v>
      </c>
      <c r="E62" s="401">
        <f t="shared" si="11"/>
        <v>60000</v>
      </c>
      <c r="F62" s="401"/>
      <c r="G62" s="417"/>
    </row>
    <row r="63" spans="1:11" ht="12.75" customHeight="1">
      <c r="A63" s="406"/>
      <c r="B63" s="169"/>
      <c r="C63" s="401"/>
      <c r="D63" s="401"/>
      <c r="E63" s="401"/>
      <c r="F63" s="401"/>
      <c r="G63" s="417"/>
    </row>
    <row r="64" spans="1:11" ht="12.75" customHeight="1">
      <c r="A64" s="406"/>
      <c r="B64" s="401"/>
      <c r="C64" s="401"/>
      <c r="D64" s="401"/>
      <c r="E64" s="401"/>
      <c r="F64" s="401"/>
      <c r="G64" s="417"/>
    </row>
    <row r="65" spans="1:7" ht="12.75" customHeight="1">
      <c r="A65" s="406"/>
      <c r="B65" s="401"/>
      <c r="C65" s="401"/>
      <c r="D65" s="401"/>
      <c r="E65" s="401"/>
      <c r="F65" s="401"/>
      <c r="G65" s="417"/>
    </row>
    <row r="66" spans="1:7" ht="12.75" customHeight="1">
      <c r="A66" s="406"/>
      <c r="B66" s="401"/>
      <c r="C66" s="401"/>
      <c r="D66" s="401"/>
      <c r="E66" s="401"/>
      <c r="F66" s="402" t="s">
        <v>189</v>
      </c>
      <c r="G66" s="417">
        <f t="shared" ref="G66:G726" si="12">E60+E61+E62+E63+E64+E65+E66</f>
        <v>125000</v>
      </c>
    </row>
    <row r="67" spans="1:7" ht="12.75" customHeight="1">
      <c r="A67" s="406" t="s">
        <v>197</v>
      </c>
      <c r="B67" s="401"/>
      <c r="C67" s="401"/>
      <c r="D67" s="401"/>
      <c r="E67" s="401"/>
      <c r="F67" s="401"/>
      <c r="G67" s="417"/>
    </row>
    <row r="68" spans="1:7" ht="12.75" customHeight="1">
      <c r="A68" s="408" t="s">
        <v>198</v>
      </c>
      <c r="B68" s="169" t="s">
        <v>199</v>
      </c>
      <c r="C68" s="169" t="s">
        <v>200</v>
      </c>
      <c r="D68" s="169" t="s">
        <v>201</v>
      </c>
      <c r="E68" s="169" t="s">
        <v>186</v>
      </c>
      <c r="F68" s="401"/>
      <c r="G68" s="417"/>
    </row>
    <row r="69" spans="1:7" ht="12.75" customHeight="1">
      <c r="A69" s="406" t="s">
        <v>222</v>
      </c>
      <c r="B69" s="401"/>
      <c r="C69" s="401"/>
      <c r="D69" s="401"/>
      <c r="E69" s="403">
        <v>50229.292308079494</v>
      </c>
      <c r="F69" s="401"/>
      <c r="G69" s="417"/>
    </row>
    <row r="70" spans="1:7" ht="12.75" customHeight="1">
      <c r="A70" s="406"/>
      <c r="B70" s="401"/>
      <c r="C70" s="401"/>
      <c r="D70" s="401"/>
      <c r="E70" s="401"/>
      <c r="F70" s="401"/>
      <c r="G70" s="417"/>
    </row>
    <row r="71" spans="1:7" ht="12.75" customHeight="1">
      <c r="A71" s="406"/>
      <c r="B71" s="401"/>
      <c r="C71" s="401"/>
      <c r="D71" s="401"/>
      <c r="E71" s="401"/>
      <c r="F71" s="401"/>
      <c r="G71" s="417"/>
    </row>
    <row r="72" spans="1:7" ht="12.75" customHeight="1">
      <c r="A72" s="406"/>
      <c r="B72" s="401"/>
      <c r="C72" s="401"/>
      <c r="D72" s="401"/>
      <c r="E72" s="401"/>
      <c r="F72" s="401"/>
      <c r="G72" s="417"/>
    </row>
    <row r="73" spans="1:7" ht="12.75" customHeight="1">
      <c r="A73" s="406"/>
      <c r="B73" s="401"/>
      <c r="C73" s="401"/>
      <c r="D73" s="401"/>
      <c r="E73" s="401"/>
      <c r="F73" s="402" t="s">
        <v>189</v>
      </c>
      <c r="G73" s="417">
        <f t="shared" ref="G73:G733" si="13">E69+E70+E71+E72+E73</f>
        <v>50229.292308079494</v>
      </c>
    </row>
    <row r="74" spans="1:7" ht="12.75" customHeight="1">
      <c r="A74" s="406" t="s">
        <v>202</v>
      </c>
      <c r="B74" s="401"/>
      <c r="C74" s="401"/>
      <c r="D74" s="401"/>
      <c r="E74" s="401"/>
      <c r="F74" s="401"/>
      <c r="G74" s="417"/>
    </row>
    <row r="75" spans="1:7" ht="12.75" customHeight="1">
      <c r="A75" s="408" t="s">
        <v>203</v>
      </c>
      <c r="B75" s="169" t="s">
        <v>204</v>
      </c>
      <c r="C75" s="169" t="s">
        <v>205</v>
      </c>
      <c r="D75" s="169" t="s">
        <v>206</v>
      </c>
      <c r="E75" s="169" t="s">
        <v>207</v>
      </c>
      <c r="F75" s="169" t="s">
        <v>208</v>
      </c>
      <c r="G75" s="417"/>
    </row>
    <row r="76" spans="1:7" ht="12.75" customHeight="1">
      <c r="A76" s="410" t="s">
        <v>188</v>
      </c>
      <c r="B76" s="401">
        <f t="shared" si="10"/>
        <v>140000</v>
      </c>
      <c r="C76" s="401">
        <f t="shared" si="3"/>
        <v>105000</v>
      </c>
      <c r="D76" s="401">
        <f t="shared" si="4"/>
        <v>245000</v>
      </c>
      <c r="E76" s="427">
        <v>1.3025316611818707</v>
      </c>
      <c r="F76" s="403">
        <f t="shared" si="5"/>
        <v>188095.23584071329</v>
      </c>
      <c r="G76" s="417"/>
    </row>
    <row r="77" spans="1:7" ht="12.75" customHeight="1">
      <c r="A77" s="410" t="s">
        <v>223</v>
      </c>
      <c r="B77" s="403">
        <f>+B33*2</f>
        <v>181538.4615384615</v>
      </c>
      <c r="C77" s="403">
        <f t="shared" si="3"/>
        <v>136153.84615384613</v>
      </c>
      <c r="D77" s="403">
        <f t="shared" si="4"/>
        <v>317692.30769230763</v>
      </c>
      <c r="E77" s="427">
        <v>1.3</v>
      </c>
      <c r="F77" s="403">
        <f t="shared" si="5"/>
        <v>244378.69822485201</v>
      </c>
      <c r="G77" s="417"/>
    </row>
    <row r="78" spans="1:7" ht="12.75" customHeight="1">
      <c r="A78" s="406"/>
      <c r="B78" s="401"/>
      <c r="C78" s="401"/>
      <c r="D78" s="401"/>
      <c r="E78" s="401"/>
      <c r="F78" s="401"/>
      <c r="G78" s="417"/>
    </row>
    <row r="79" spans="1:7" ht="12.75" customHeight="1">
      <c r="A79" s="406"/>
      <c r="B79" s="401"/>
      <c r="C79" s="401"/>
      <c r="D79" s="401"/>
      <c r="E79" s="401"/>
      <c r="F79" s="401"/>
      <c r="G79" s="417"/>
    </row>
    <row r="80" spans="1:7" ht="12.75" customHeight="1">
      <c r="A80" s="406"/>
      <c r="B80" s="401"/>
      <c r="C80" s="401"/>
      <c r="D80" s="401"/>
      <c r="E80" s="401"/>
      <c r="F80" s="401"/>
      <c r="G80" s="417"/>
    </row>
    <row r="81" spans="1:9" ht="12.75" customHeight="1">
      <c r="A81" s="406"/>
      <c r="B81" s="401"/>
      <c r="C81" s="401"/>
      <c r="D81" s="401"/>
      <c r="E81" s="401"/>
      <c r="F81" s="401"/>
      <c r="G81" s="417"/>
    </row>
    <row r="82" spans="1:9" ht="12.75" customHeight="1">
      <c r="A82" s="406"/>
      <c r="B82" s="401"/>
      <c r="C82" s="401"/>
      <c r="D82" s="401"/>
      <c r="E82" s="401"/>
      <c r="F82" s="402" t="s">
        <v>189</v>
      </c>
      <c r="G82" s="417">
        <f t="shared" si="6"/>
        <v>432473.93406556529</v>
      </c>
    </row>
    <row r="83" spans="1:9" ht="12.75" customHeight="1">
      <c r="A83" s="406"/>
      <c r="B83" s="401"/>
      <c r="C83" s="401"/>
      <c r="D83" s="401"/>
      <c r="E83" s="401"/>
      <c r="F83" s="401"/>
      <c r="G83" s="417"/>
    </row>
    <row r="84" spans="1:9" ht="12.75" customHeight="1">
      <c r="A84" s="406" t="s">
        <v>209</v>
      </c>
      <c r="B84" s="401"/>
      <c r="C84" s="401" t="s">
        <v>210</v>
      </c>
      <c r="D84" s="471" t="s">
        <v>211</v>
      </c>
      <c r="E84" s="472"/>
      <c r="F84" s="472"/>
      <c r="G84" s="417">
        <f t="shared" si="7"/>
        <v>629326.92307692301</v>
      </c>
    </row>
    <row r="85" spans="1:9" ht="12.75" customHeight="1">
      <c r="A85" s="406"/>
      <c r="B85" s="401"/>
      <c r="C85" s="401"/>
      <c r="D85" s="401"/>
      <c r="E85" s="401"/>
      <c r="F85" s="401"/>
      <c r="G85" s="417"/>
    </row>
    <row r="86" spans="1:9" ht="12.75" customHeight="1">
      <c r="A86" s="406"/>
      <c r="B86" s="401"/>
      <c r="C86" s="401"/>
      <c r="D86" s="401"/>
      <c r="E86" s="401" t="s">
        <v>212</v>
      </c>
      <c r="F86" s="401"/>
      <c r="G86" s="417">
        <f t="shared" si="8"/>
        <v>188798.07692307691</v>
      </c>
    </row>
    <row r="87" spans="1:9" ht="12.75" customHeight="1">
      <c r="A87" s="406"/>
      <c r="B87" s="401"/>
      <c r="C87" s="401"/>
      <c r="D87" s="401"/>
      <c r="E87" s="401"/>
      <c r="F87" s="401"/>
      <c r="G87" s="417"/>
    </row>
    <row r="88" spans="1:9" ht="12.75" customHeight="1" thickBot="1">
      <c r="A88" s="411" t="s">
        <v>213</v>
      </c>
      <c r="B88" s="412"/>
      <c r="C88" s="412"/>
      <c r="D88" s="469" t="s">
        <v>214</v>
      </c>
      <c r="E88" s="470"/>
      <c r="F88" s="470"/>
      <c r="G88" s="418">
        <f t="shared" si="9"/>
        <v>818124.99999999988</v>
      </c>
    </row>
    <row r="89" spans="1:9" ht="15" customHeight="1">
      <c r="A89" s="531" t="s">
        <v>174</v>
      </c>
      <c r="B89" s="457"/>
      <c r="C89" s="457"/>
      <c r="D89" s="457"/>
      <c r="E89" s="457"/>
      <c r="F89" s="457"/>
      <c r="G89" s="457"/>
    </row>
    <row r="90" spans="1:9" ht="12.75" customHeight="1" thickBot="1">
      <c r="A90" s="1"/>
      <c r="B90" s="1"/>
      <c r="C90" s="1"/>
      <c r="D90" s="1"/>
      <c r="E90" s="1"/>
      <c r="F90" s="1"/>
      <c r="G90" s="420"/>
    </row>
    <row r="91" spans="1:9" ht="12.75" customHeight="1">
      <c r="A91" s="404" t="s">
        <v>175</v>
      </c>
      <c r="B91" s="405"/>
      <c r="C91" s="405"/>
      <c r="D91" s="428"/>
      <c r="E91" s="428"/>
      <c r="F91" s="428"/>
      <c r="G91" s="429"/>
      <c r="H91" s="94"/>
    </row>
    <row r="92" spans="1:9" ht="12.75" customHeight="1">
      <c r="A92" s="406" t="str">
        <f>+A4</f>
        <v xml:space="preserve">OBRA N°      Bocatoma - Acueducto </v>
      </c>
      <c r="B92" s="401"/>
      <c r="C92" s="401"/>
      <c r="D92" s="401"/>
      <c r="E92" s="195"/>
      <c r="F92" s="402" t="s">
        <v>177</v>
      </c>
      <c r="G92" s="430">
        <f t="shared" ca="1" si="0"/>
        <v>46289</v>
      </c>
      <c r="H92" s="95"/>
      <c r="I92" s="98"/>
    </row>
    <row r="93" spans="1:9" ht="12.75" customHeight="1">
      <c r="A93" s="406"/>
      <c r="B93" s="426"/>
      <c r="C93" s="426"/>
      <c r="D93" s="426"/>
      <c r="E93" s="426"/>
      <c r="F93" s="426"/>
      <c r="G93" s="431"/>
    </row>
    <row r="94" spans="1:9" ht="12.75" customHeight="1">
      <c r="A94" s="406" t="s">
        <v>224</v>
      </c>
      <c r="B94" s="401" t="s">
        <v>225</v>
      </c>
      <c r="C94" s="401"/>
      <c r="D94" s="401"/>
      <c r="E94" s="401"/>
      <c r="F94" s="401"/>
      <c r="G94" s="417"/>
    </row>
    <row r="95" spans="1:9" ht="12.75" customHeight="1">
      <c r="A95" s="406"/>
      <c r="B95" s="401"/>
      <c r="C95" s="401" t="s">
        <v>179</v>
      </c>
      <c r="D95" s="169">
        <v>4</v>
      </c>
      <c r="E95" s="401" t="s">
        <v>180</v>
      </c>
      <c r="F95" s="401" t="s">
        <v>226</v>
      </c>
      <c r="G95" s="417"/>
    </row>
    <row r="96" spans="1:9" ht="12.75" customHeight="1">
      <c r="A96" s="406" t="s">
        <v>182</v>
      </c>
      <c r="B96" s="401"/>
      <c r="C96" s="401"/>
      <c r="D96" s="401"/>
      <c r="E96" s="401"/>
      <c r="F96" s="401"/>
      <c r="G96" s="417"/>
    </row>
    <row r="97" spans="1:7" ht="12.75" customHeight="1">
      <c r="A97" s="408" t="s">
        <v>111</v>
      </c>
      <c r="B97" s="169" t="s">
        <v>183</v>
      </c>
      <c r="C97" s="169" t="s">
        <v>184</v>
      </c>
      <c r="D97" s="169" t="s">
        <v>185</v>
      </c>
      <c r="E97" s="169" t="s">
        <v>186</v>
      </c>
      <c r="F97" s="401"/>
      <c r="G97" s="417"/>
    </row>
    <row r="98" spans="1:7" ht="12.75" customHeight="1">
      <c r="A98" s="406" t="s">
        <v>187</v>
      </c>
      <c r="B98" s="401"/>
      <c r="C98" s="401"/>
      <c r="D98" s="401"/>
      <c r="E98" s="403">
        <f t="shared" si="1"/>
        <v>4487.1795161115142</v>
      </c>
      <c r="F98" s="401"/>
      <c r="G98" s="417"/>
    </row>
    <row r="99" spans="1:7" ht="12.75" customHeight="1">
      <c r="A99" s="406"/>
      <c r="B99" s="401"/>
      <c r="C99" s="401"/>
      <c r="D99" s="401"/>
      <c r="E99" s="401"/>
      <c r="F99" s="401"/>
      <c r="G99" s="417"/>
    </row>
    <row r="100" spans="1:7" ht="12.75" customHeight="1">
      <c r="A100" s="406"/>
      <c r="B100" s="401"/>
      <c r="C100" s="401"/>
      <c r="D100" s="401"/>
      <c r="E100" s="401"/>
      <c r="F100" s="401"/>
      <c r="G100" s="417"/>
    </row>
    <row r="101" spans="1:7" ht="12.75" customHeight="1">
      <c r="A101" s="406"/>
      <c r="B101" s="401"/>
      <c r="C101" s="401"/>
      <c r="D101" s="401"/>
      <c r="E101" s="401"/>
      <c r="F101" s="401" t="s">
        <v>189</v>
      </c>
      <c r="G101" s="417">
        <f t="shared" si="2"/>
        <v>4487.1795161115142</v>
      </c>
    </row>
    <row r="102" spans="1:7" ht="12.75" customHeight="1">
      <c r="A102" s="406" t="s">
        <v>191</v>
      </c>
      <c r="B102" s="401"/>
      <c r="C102" s="401"/>
      <c r="D102" s="401"/>
      <c r="E102" s="401"/>
      <c r="F102" s="401"/>
      <c r="G102" s="417"/>
    </row>
    <row r="103" spans="1:7" ht="12.75" customHeight="1">
      <c r="A103" s="408" t="s">
        <v>111</v>
      </c>
      <c r="B103" s="169" t="s">
        <v>193</v>
      </c>
      <c r="C103" s="169" t="s">
        <v>194</v>
      </c>
      <c r="D103" s="169" t="s">
        <v>195</v>
      </c>
      <c r="E103" s="169" t="s">
        <v>186</v>
      </c>
      <c r="F103" s="401"/>
      <c r="G103" s="417"/>
    </row>
    <row r="104" spans="1:7" ht="12.75" customHeight="1">
      <c r="A104" s="406"/>
      <c r="B104" s="401"/>
      <c r="C104" s="401"/>
      <c r="D104" s="401"/>
      <c r="E104" s="401"/>
      <c r="F104" s="401"/>
      <c r="G104" s="417"/>
    </row>
    <row r="105" spans="1:7" ht="12.75" customHeight="1">
      <c r="A105" s="406"/>
      <c r="B105" s="401"/>
      <c r="C105" s="401"/>
      <c r="D105" s="401"/>
      <c r="E105" s="401"/>
      <c r="F105" s="401"/>
      <c r="G105" s="417"/>
    </row>
    <row r="106" spans="1:7" ht="12.75" customHeight="1">
      <c r="A106" s="406"/>
      <c r="B106" s="401"/>
      <c r="C106" s="401"/>
      <c r="D106" s="401"/>
      <c r="E106" s="401"/>
      <c r="F106" s="401"/>
      <c r="G106" s="417"/>
    </row>
    <row r="107" spans="1:7" ht="12.75" customHeight="1">
      <c r="A107" s="406"/>
      <c r="B107" s="401"/>
      <c r="C107" s="401"/>
      <c r="D107" s="401"/>
      <c r="E107" s="401"/>
      <c r="F107" s="401"/>
      <c r="G107" s="417"/>
    </row>
    <row r="108" spans="1:7" ht="12.75" customHeight="1">
      <c r="A108" s="406"/>
      <c r="B108" s="401"/>
      <c r="C108" s="401"/>
      <c r="D108" s="401"/>
      <c r="E108" s="401"/>
      <c r="F108" s="401"/>
      <c r="G108" s="417"/>
    </row>
    <row r="109" spans="1:7" ht="12.75" customHeight="1">
      <c r="A109" s="406"/>
      <c r="B109" s="401"/>
      <c r="C109" s="401"/>
      <c r="D109" s="401"/>
      <c r="E109" s="401"/>
      <c r="F109" s="401"/>
      <c r="G109" s="417"/>
    </row>
    <row r="110" spans="1:7" ht="12.75" customHeight="1">
      <c r="A110" s="406"/>
      <c r="B110" s="401"/>
      <c r="C110" s="401"/>
      <c r="D110" s="401"/>
      <c r="E110" s="401"/>
      <c r="F110" s="401" t="s">
        <v>189</v>
      </c>
      <c r="G110" s="417">
        <f t="shared" si="12"/>
        <v>0</v>
      </c>
    </row>
    <row r="111" spans="1:7" ht="12.75" customHeight="1">
      <c r="A111" s="406" t="s">
        <v>197</v>
      </c>
      <c r="B111" s="401"/>
      <c r="C111" s="401"/>
      <c r="D111" s="401"/>
      <c r="E111" s="401"/>
      <c r="F111" s="401"/>
      <c r="G111" s="417"/>
    </row>
    <row r="112" spans="1:7" ht="12.75" customHeight="1">
      <c r="A112" s="408" t="s">
        <v>198</v>
      </c>
      <c r="B112" s="169" t="s">
        <v>199</v>
      </c>
      <c r="C112" s="169" t="s">
        <v>200</v>
      </c>
      <c r="D112" s="169" t="s">
        <v>201</v>
      </c>
      <c r="E112" s="169" t="s">
        <v>186</v>
      </c>
      <c r="F112" s="401"/>
      <c r="G112" s="417"/>
    </row>
    <row r="113" spans="1:7" ht="12.75" customHeight="1">
      <c r="A113" s="406"/>
      <c r="B113" s="401"/>
      <c r="C113" s="401"/>
      <c r="D113" s="401"/>
      <c r="E113" s="401"/>
      <c r="F113" s="401"/>
      <c r="G113" s="417"/>
    </row>
    <row r="114" spans="1:7" ht="12.75" customHeight="1">
      <c r="A114" s="406"/>
      <c r="B114" s="401"/>
      <c r="C114" s="401"/>
      <c r="D114" s="401"/>
      <c r="E114" s="401"/>
      <c r="F114" s="401"/>
      <c r="G114" s="417"/>
    </row>
    <row r="115" spans="1:7" ht="12.75" customHeight="1">
      <c r="A115" s="406"/>
      <c r="B115" s="401"/>
      <c r="C115" s="401"/>
      <c r="D115" s="401"/>
      <c r="E115" s="401"/>
      <c r="F115" s="401"/>
      <c r="G115" s="417"/>
    </row>
    <row r="116" spans="1:7" ht="12.75" customHeight="1">
      <c r="A116" s="406"/>
      <c r="B116" s="401"/>
      <c r="C116" s="401"/>
      <c r="D116" s="401"/>
      <c r="E116" s="401"/>
      <c r="F116" s="401"/>
      <c r="G116" s="417"/>
    </row>
    <row r="117" spans="1:7" ht="12.75" customHeight="1">
      <c r="A117" s="406"/>
      <c r="B117" s="401"/>
      <c r="C117" s="401"/>
      <c r="D117" s="401"/>
      <c r="E117" s="401"/>
      <c r="F117" s="401" t="s">
        <v>189</v>
      </c>
      <c r="G117" s="417">
        <f t="shared" si="13"/>
        <v>0</v>
      </c>
    </row>
    <row r="118" spans="1:7" ht="12.75" customHeight="1">
      <c r="A118" s="406" t="s">
        <v>202</v>
      </c>
      <c r="B118" s="401"/>
      <c r="C118" s="401"/>
      <c r="D118" s="401"/>
      <c r="E118" s="401"/>
      <c r="F118" s="401"/>
      <c r="G118" s="417"/>
    </row>
    <row r="119" spans="1:7" ht="12.75" customHeight="1">
      <c r="A119" s="408" t="s">
        <v>203</v>
      </c>
      <c r="B119" s="169" t="s">
        <v>204</v>
      </c>
      <c r="C119" s="169" t="s">
        <v>205</v>
      </c>
      <c r="D119" s="169" t="s">
        <v>206</v>
      </c>
      <c r="E119" s="169" t="s">
        <v>207</v>
      </c>
      <c r="F119" s="169" t="s">
        <v>208</v>
      </c>
      <c r="G119" s="417"/>
    </row>
    <row r="120" spans="1:7" ht="12.75" customHeight="1">
      <c r="A120" s="406" t="s">
        <v>227</v>
      </c>
      <c r="B120" s="401">
        <f>+B33*2</f>
        <v>181538.4615384615</v>
      </c>
      <c r="C120" s="403">
        <f t="shared" ref="C120:C736" si="14">0.75*B120</f>
        <v>136153.84615384613</v>
      </c>
      <c r="D120" s="403">
        <f t="shared" si="4"/>
        <v>317692.30769230763</v>
      </c>
      <c r="E120" s="432">
        <v>3.5399999771751101</v>
      </c>
      <c r="F120" s="403">
        <f t="shared" si="5"/>
        <v>89743.590322230288</v>
      </c>
      <c r="G120" s="417"/>
    </row>
    <row r="121" spans="1:7" ht="12.75" customHeight="1">
      <c r="A121" s="406"/>
      <c r="B121" s="401"/>
      <c r="C121" s="401"/>
      <c r="D121" s="401"/>
      <c r="E121" s="401"/>
      <c r="F121" s="401"/>
      <c r="G121" s="417"/>
    </row>
    <row r="122" spans="1:7" ht="12.75" customHeight="1">
      <c r="A122" s="406"/>
      <c r="B122" s="401"/>
      <c r="C122" s="401"/>
      <c r="D122" s="401"/>
      <c r="E122" s="401"/>
      <c r="F122" s="401"/>
      <c r="G122" s="417"/>
    </row>
    <row r="123" spans="1:7" ht="12.75" customHeight="1">
      <c r="A123" s="406"/>
      <c r="B123" s="401"/>
      <c r="C123" s="401"/>
      <c r="D123" s="401"/>
      <c r="E123" s="401"/>
      <c r="F123" s="401"/>
      <c r="G123" s="417"/>
    </row>
    <row r="124" spans="1:7" ht="12.75" customHeight="1">
      <c r="A124" s="406"/>
      <c r="B124" s="401"/>
      <c r="C124" s="401"/>
      <c r="D124" s="401"/>
      <c r="E124" s="401"/>
      <c r="F124" s="401"/>
      <c r="G124" s="417"/>
    </row>
    <row r="125" spans="1:7" ht="12.75" customHeight="1">
      <c r="A125" s="406"/>
      <c r="B125" s="401"/>
      <c r="C125" s="401"/>
      <c r="D125" s="401"/>
      <c r="E125" s="401"/>
      <c r="F125" s="401"/>
      <c r="G125" s="417"/>
    </row>
    <row r="126" spans="1:7" ht="12.75" customHeight="1">
      <c r="A126" s="406"/>
      <c r="B126" s="401"/>
      <c r="C126" s="401"/>
      <c r="D126" s="401"/>
      <c r="E126" s="401"/>
      <c r="F126" s="401" t="s">
        <v>189</v>
      </c>
      <c r="G126" s="417">
        <f t="shared" si="6"/>
        <v>89743.590322230288</v>
      </c>
    </row>
    <row r="127" spans="1:7" ht="12.75" customHeight="1">
      <c r="A127" s="406"/>
      <c r="B127" s="401"/>
      <c r="C127" s="401"/>
      <c r="D127" s="401"/>
      <c r="E127" s="401"/>
      <c r="F127" s="401"/>
      <c r="G127" s="417"/>
    </row>
    <row r="128" spans="1:7" ht="12.75" customHeight="1">
      <c r="A128" s="406" t="s">
        <v>209</v>
      </c>
      <c r="B128" s="401"/>
      <c r="C128" s="401" t="s">
        <v>210</v>
      </c>
      <c r="D128" s="471" t="s">
        <v>211</v>
      </c>
      <c r="E128" s="472"/>
      <c r="F128" s="472"/>
      <c r="G128" s="417">
        <f t="shared" si="7"/>
        <v>94230.769838341803</v>
      </c>
    </row>
    <row r="129" spans="1:9" ht="12.75" customHeight="1">
      <c r="A129" s="406"/>
      <c r="B129" s="401"/>
      <c r="C129" s="401"/>
      <c r="D129" s="401"/>
      <c r="E129" s="401"/>
      <c r="F129" s="401"/>
      <c r="G129" s="417"/>
    </row>
    <row r="130" spans="1:9" ht="12.75" customHeight="1">
      <c r="A130" s="406"/>
      <c r="B130" s="401"/>
      <c r="C130" s="401"/>
      <c r="D130" s="401"/>
      <c r="E130" s="401" t="s">
        <v>212</v>
      </c>
      <c r="F130" s="401"/>
      <c r="G130" s="417">
        <f t="shared" si="8"/>
        <v>28269.230951502541</v>
      </c>
    </row>
    <row r="131" spans="1:9" ht="12.75" customHeight="1">
      <c r="A131" s="406"/>
      <c r="B131" s="401"/>
      <c r="C131" s="401"/>
      <c r="D131" s="401"/>
      <c r="E131" s="401"/>
      <c r="F131" s="401"/>
      <c r="G131" s="417"/>
    </row>
    <row r="132" spans="1:9" ht="12.75" customHeight="1" thickBot="1">
      <c r="A132" s="411" t="s">
        <v>213</v>
      </c>
      <c r="B132" s="412"/>
      <c r="C132" s="412"/>
      <c r="D132" s="469" t="s">
        <v>214</v>
      </c>
      <c r="E132" s="470"/>
      <c r="F132" s="470"/>
      <c r="G132" s="418">
        <f t="shared" si="9"/>
        <v>122500.00078984434</v>
      </c>
    </row>
    <row r="133" spans="1:9" ht="15" customHeight="1">
      <c r="A133" s="531" t="s">
        <v>174</v>
      </c>
      <c r="B133" s="457"/>
      <c r="C133" s="457"/>
      <c r="D133" s="457"/>
      <c r="E133" s="457"/>
      <c r="F133" s="457"/>
      <c r="G133" s="457"/>
    </row>
    <row r="134" spans="1:9" ht="12.75" customHeight="1" thickBot="1">
      <c r="A134" s="77"/>
      <c r="B134" s="77"/>
      <c r="C134" s="77"/>
      <c r="D134" s="77"/>
      <c r="E134" s="77"/>
      <c r="F134" s="77"/>
    </row>
    <row r="135" spans="1:9" ht="12.75" customHeight="1">
      <c r="A135" s="404" t="s">
        <v>175</v>
      </c>
      <c r="B135" s="405"/>
      <c r="C135" s="405"/>
      <c r="D135" s="428"/>
      <c r="E135" s="428"/>
      <c r="F135" s="428"/>
      <c r="G135" s="429"/>
      <c r="H135" s="94"/>
    </row>
    <row r="136" spans="1:9" ht="12.75" customHeight="1">
      <c r="A136" s="406" t="str">
        <f t="shared" ref="A136:B165" si="15">+A4</f>
        <v xml:space="preserve">OBRA N°      Bocatoma - Acueducto </v>
      </c>
      <c r="B136" s="401"/>
      <c r="C136" s="401"/>
      <c r="D136" s="401"/>
      <c r="E136" s="195"/>
      <c r="F136" s="402" t="s">
        <v>177</v>
      </c>
      <c r="G136" s="430">
        <f t="shared" ca="1" si="0"/>
        <v>46289</v>
      </c>
      <c r="H136" s="95"/>
      <c r="I136" s="98"/>
    </row>
    <row r="137" spans="1:9" ht="12.75" customHeight="1">
      <c r="A137" s="406"/>
      <c r="B137" s="426"/>
      <c r="C137" s="426"/>
      <c r="D137" s="426"/>
      <c r="E137" s="426"/>
      <c r="F137" s="426"/>
      <c r="G137" s="431"/>
    </row>
    <row r="138" spans="1:9" ht="12.75" customHeight="1">
      <c r="A138" s="406" t="s">
        <v>228</v>
      </c>
      <c r="B138" s="401" t="s">
        <v>229</v>
      </c>
      <c r="C138" s="401"/>
      <c r="D138" s="401"/>
      <c r="E138" s="401"/>
      <c r="F138" s="401"/>
      <c r="G138" s="417"/>
    </row>
    <row r="139" spans="1:9" ht="12.75" customHeight="1">
      <c r="A139" s="406"/>
      <c r="B139" s="401"/>
      <c r="C139" s="401" t="s">
        <v>179</v>
      </c>
      <c r="D139" s="169">
        <v>1</v>
      </c>
      <c r="E139" s="401" t="s">
        <v>180</v>
      </c>
      <c r="F139" s="401" t="s">
        <v>226</v>
      </c>
      <c r="G139" s="417"/>
    </row>
    <row r="140" spans="1:9" ht="12.75" customHeight="1">
      <c r="A140" s="406" t="s">
        <v>182</v>
      </c>
      <c r="B140" s="401"/>
      <c r="C140" s="401"/>
      <c r="D140" s="401"/>
      <c r="E140" s="401"/>
      <c r="F140" s="401"/>
      <c r="G140" s="417"/>
    </row>
    <row r="141" spans="1:9" ht="12.75" customHeight="1">
      <c r="A141" s="408" t="s">
        <v>111</v>
      </c>
      <c r="B141" s="169" t="s">
        <v>183</v>
      </c>
      <c r="C141" s="169" t="s">
        <v>184</v>
      </c>
      <c r="D141" s="169" t="s">
        <v>185</v>
      </c>
      <c r="E141" s="169" t="s">
        <v>186</v>
      </c>
      <c r="F141" s="401"/>
      <c r="G141" s="417"/>
    </row>
    <row r="142" spans="1:9" ht="12.75" customHeight="1">
      <c r="A142" s="406" t="s">
        <v>187</v>
      </c>
      <c r="B142" s="401"/>
      <c r="C142" s="401"/>
      <c r="D142" s="401"/>
      <c r="E142" s="403">
        <f t="shared" si="1"/>
        <v>6962.7676007352975</v>
      </c>
      <c r="F142" s="401"/>
      <c r="G142" s="417"/>
    </row>
    <row r="143" spans="1:9" ht="12.75" customHeight="1">
      <c r="A143" s="406"/>
      <c r="B143" s="401"/>
      <c r="C143" s="401"/>
      <c r="D143" s="401"/>
      <c r="E143" s="401"/>
      <c r="F143" s="401"/>
      <c r="G143" s="417"/>
    </row>
    <row r="144" spans="1:9" ht="12.75" customHeight="1">
      <c r="A144" s="406"/>
      <c r="B144" s="401"/>
      <c r="C144" s="401"/>
      <c r="D144" s="401"/>
      <c r="E144" s="401"/>
      <c r="F144" s="401"/>
      <c r="G144" s="417"/>
    </row>
    <row r="145" spans="1:7" ht="12.75" customHeight="1">
      <c r="A145" s="406"/>
      <c r="B145" s="401"/>
      <c r="C145" s="401"/>
      <c r="D145" s="401"/>
      <c r="E145" s="401"/>
      <c r="F145" s="401" t="s">
        <v>189</v>
      </c>
      <c r="G145" s="417">
        <f t="shared" si="2"/>
        <v>6962.7676007352975</v>
      </c>
    </row>
    <row r="146" spans="1:7" ht="12.75" customHeight="1">
      <c r="A146" s="406" t="s">
        <v>191</v>
      </c>
      <c r="B146" s="401"/>
      <c r="C146" s="401"/>
      <c r="D146" s="401"/>
      <c r="E146" s="401"/>
      <c r="F146" s="401"/>
      <c r="G146" s="417"/>
    </row>
    <row r="147" spans="1:7" ht="12.75" customHeight="1">
      <c r="A147" s="408" t="s">
        <v>111</v>
      </c>
      <c r="B147" s="169" t="s">
        <v>193</v>
      </c>
      <c r="C147" s="169" t="s">
        <v>194</v>
      </c>
      <c r="D147" s="169" t="s">
        <v>195</v>
      </c>
      <c r="E147" s="169" t="s">
        <v>186</v>
      </c>
      <c r="F147" s="401"/>
      <c r="G147" s="417"/>
    </row>
    <row r="148" spans="1:7" ht="12.75" customHeight="1">
      <c r="A148" s="406" t="s">
        <v>230</v>
      </c>
      <c r="B148" s="169" t="s">
        <v>231</v>
      </c>
      <c r="C148" s="401">
        <v>75000</v>
      </c>
      <c r="D148" s="401">
        <v>1</v>
      </c>
      <c r="E148" s="401">
        <f>+C148*D148</f>
        <v>75000</v>
      </c>
      <c r="F148" s="401"/>
      <c r="G148" s="417"/>
    </row>
    <row r="149" spans="1:7" ht="12.75" customHeight="1">
      <c r="A149" s="406"/>
      <c r="B149" s="401"/>
      <c r="C149" s="401"/>
      <c r="D149" s="401"/>
      <c r="E149" s="401"/>
      <c r="F149" s="401"/>
      <c r="G149" s="417"/>
    </row>
    <row r="150" spans="1:7" ht="12.75" customHeight="1">
      <c r="A150" s="406"/>
      <c r="B150" s="401"/>
      <c r="C150" s="401"/>
      <c r="D150" s="401"/>
      <c r="E150" s="401"/>
      <c r="F150" s="401"/>
      <c r="G150" s="417"/>
    </row>
    <row r="151" spans="1:7" ht="12.75" customHeight="1">
      <c r="A151" s="406"/>
      <c r="B151" s="401"/>
      <c r="C151" s="401"/>
      <c r="D151" s="401"/>
      <c r="E151" s="401"/>
      <c r="F151" s="401"/>
      <c r="G151" s="417"/>
    </row>
    <row r="152" spans="1:7" ht="12.75" customHeight="1">
      <c r="A152" s="406"/>
      <c r="B152" s="401"/>
      <c r="C152" s="401"/>
      <c r="D152" s="401"/>
      <c r="E152" s="401"/>
      <c r="F152" s="401"/>
      <c r="G152" s="417"/>
    </row>
    <row r="153" spans="1:7" ht="12.75" customHeight="1">
      <c r="A153" s="406"/>
      <c r="B153" s="401"/>
      <c r="C153" s="401"/>
      <c r="D153" s="401"/>
      <c r="E153" s="401"/>
      <c r="F153" s="401"/>
      <c r="G153" s="417"/>
    </row>
    <row r="154" spans="1:7" ht="12.75" customHeight="1">
      <c r="A154" s="406"/>
      <c r="B154" s="401"/>
      <c r="C154" s="401"/>
      <c r="D154" s="401"/>
      <c r="E154" s="401"/>
      <c r="F154" s="401" t="s">
        <v>189</v>
      </c>
      <c r="G154" s="417">
        <f t="shared" si="12"/>
        <v>75000</v>
      </c>
    </row>
    <row r="155" spans="1:7" ht="12.75" customHeight="1">
      <c r="A155" s="406" t="s">
        <v>197</v>
      </c>
      <c r="B155" s="401"/>
      <c r="C155" s="401"/>
      <c r="D155" s="401"/>
      <c r="E155" s="401"/>
      <c r="F155" s="401"/>
      <c r="G155" s="417"/>
    </row>
    <row r="156" spans="1:7" ht="12.75" customHeight="1">
      <c r="A156" s="408" t="s">
        <v>198</v>
      </c>
      <c r="B156" s="169" t="s">
        <v>199</v>
      </c>
      <c r="C156" s="169" t="s">
        <v>200</v>
      </c>
      <c r="D156" s="169" t="s">
        <v>201</v>
      </c>
      <c r="E156" s="169" t="s">
        <v>186</v>
      </c>
      <c r="F156" s="401"/>
      <c r="G156" s="417"/>
    </row>
    <row r="157" spans="1:7" ht="12.75" customHeight="1">
      <c r="A157" s="406" t="s">
        <v>232</v>
      </c>
      <c r="B157" s="401"/>
      <c r="C157" s="401"/>
      <c r="D157" s="401"/>
      <c r="E157" s="401">
        <v>40000</v>
      </c>
      <c r="F157" s="401"/>
      <c r="G157" s="417"/>
    </row>
    <row r="158" spans="1:7" ht="12.75" customHeight="1">
      <c r="A158" s="406"/>
      <c r="B158" s="401"/>
      <c r="C158" s="401"/>
      <c r="D158" s="401"/>
      <c r="E158" s="401"/>
      <c r="F158" s="401"/>
      <c r="G158" s="417"/>
    </row>
    <row r="159" spans="1:7" ht="12.75" customHeight="1">
      <c r="A159" s="406"/>
      <c r="B159" s="401"/>
      <c r="C159" s="401"/>
      <c r="D159" s="401"/>
      <c r="E159" s="401"/>
      <c r="F159" s="401"/>
      <c r="G159" s="417"/>
    </row>
    <row r="160" spans="1:7" ht="12.75" customHeight="1">
      <c r="A160" s="406"/>
      <c r="B160" s="401"/>
      <c r="C160" s="401"/>
      <c r="D160" s="401"/>
      <c r="E160" s="401"/>
      <c r="F160" s="401"/>
      <c r="G160" s="417"/>
    </row>
    <row r="161" spans="1:7" ht="12.75" customHeight="1">
      <c r="A161" s="406"/>
      <c r="B161" s="401"/>
      <c r="C161" s="401"/>
      <c r="D161" s="401"/>
      <c r="E161" s="401"/>
      <c r="F161" s="401" t="s">
        <v>189</v>
      </c>
      <c r="G161" s="417">
        <f t="shared" si="13"/>
        <v>40000</v>
      </c>
    </row>
    <row r="162" spans="1:7" ht="12.75" customHeight="1">
      <c r="A162" s="406" t="s">
        <v>202</v>
      </c>
      <c r="B162" s="401"/>
      <c r="C162" s="401"/>
      <c r="D162" s="401"/>
      <c r="E162" s="401"/>
      <c r="F162" s="401"/>
      <c r="G162" s="417"/>
    </row>
    <row r="163" spans="1:7" ht="12.75" customHeight="1">
      <c r="A163" s="408" t="s">
        <v>203</v>
      </c>
      <c r="B163" s="169" t="s">
        <v>204</v>
      </c>
      <c r="C163" s="169" t="s">
        <v>205</v>
      </c>
      <c r="D163" s="169" t="s">
        <v>206</v>
      </c>
      <c r="E163" s="169" t="s">
        <v>207</v>
      </c>
      <c r="F163" s="169" t="s">
        <v>208</v>
      </c>
      <c r="G163" s="417"/>
    </row>
    <row r="164" spans="1:7" ht="12.75" customHeight="1">
      <c r="A164" s="406" t="s">
        <v>192</v>
      </c>
      <c r="B164" s="401">
        <f>+K14</f>
        <v>120000</v>
      </c>
      <c r="C164" s="401">
        <f t="shared" si="14"/>
        <v>90000</v>
      </c>
      <c r="D164" s="401">
        <f t="shared" si="4"/>
        <v>210000</v>
      </c>
      <c r="E164" s="427">
        <v>2.458751568953641</v>
      </c>
      <c r="F164" s="403">
        <f t="shared" si="5"/>
        <v>85409.198168552131</v>
      </c>
      <c r="G164" s="417"/>
    </row>
    <row r="165" spans="1:7" ht="12.75" customHeight="1">
      <c r="A165" s="406" t="s">
        <v>190</v>
      </c>
      <c r="B165" s="401">
        <f t="shared" si="15"/>
        <v>90769.230769230751</v>
      </c>
      <c r="C165" s="403">
        <f t="shared" si="14"/>
        <v>68076.923076923063</v>
      </c>
      <c r="D165" s="403">
        <f t="shared" si="4"/>
        <v>158846.15384615381</v>
      </c>
      <c r="E165" s="427">
        <v>2.95</v>
      </c>
      <c r="F165" s="403">
        <f t="shared" si="5"/>
        <v>53846.153846153829</v>
      </c>
      <c r="G165" s="417"/>
    </row>
    <row r="166" spans="1:7" ht="12.75" customHeight="1">
      <c r="A166" s="406"/>
      <c r="B166" s="401"/>
      <c r="C166" s="401"/>
      <c r="D166" s="401"/>
      <c r="E166" s="401"/>
      <c r="F166" s="401"/>
      <c r="G166" s="417"/>
    </row>
    <row r="167" spans="1:7" ht="12.75" customHeight="1">
      <c r="A167" s="406"/>
      <c r="B167" s="401"/>
      <c r="C167" s="401"/>
      <c r="D167" s="401"/>
      <c r="E167" s="401"/>
      <c r="F167" s="401"/>
      <c r="G167" s="417"/>
    </row>
    <row r="168" spans="1:7" ht="12.75" customHeight="1">
      <c r="A168" s="406"/>
      <c r="B168" s="401"/>
      <c r="C168" s="401"/>
      <c r="D168" s="401"/>
      <c r="E168" s="401"/>
      <c r="F168" s="401"/>
      <c r="G168" s="417"/>
    </row>
    <row r="169" spans="1:7" ht="12.75" customHeight="1">
      <c r="A169" s="406"/>
      <c r="B169" s="401"/>
      <c r="C169" s="401"/>
      <c r="D169" s="401"/>
      <c r="E169" s="401"/>
      <c r="F169" s="401"/>
      <c r="G169" s="417"/>
    </row>
    <row r="170" spans="1:7" ht="12.75" customHeight="1">
      <c r="A170" s="406"/>
      <c r="B170" s="401"/>
      <c r="C170" s="401"/>
      <c r="D170" s="401"/>
      <c r="E170" s="401"/>
      <c r="F170" s="401" t="s">
        <v>189</v>
      </c>
      <c r="G170" s="417">
        <f t="shared" si="6"/>
        <v>139255.35201470595</v>
      </c>
    </row>
    <row r="171" spans="1:7" ht="12.75" customHeight="1">
      <c r="A171" s="406"/>
      <c r="B171" s="401"/>
      <c r="C171" s="401"/>
      <c r="D171" s="401"/>
      <c r="E171" s="401"/>
      <c r="F171" s="401"/>
      <c r="G171" s="417"/>
    </row>
    <row r="172" spans="1:7" ht="12.75" customHeight="1">
      <c r="A172" s="406" t="s">
        <v>209</v>
      </c>
      <c r="B172" s="401"/>
      <c r="C172" s="401" t="s">
        <v>210</v>
      </c>
      <c r="D172" s="471" t="s">
        <v>211</v>
      </c>
      <c r="E172" s="472"/>
      <c r="F172" s="472"/>
      <c r="G172" s="417">
        <f t="shared" si="7"/>
        <v>261218.11961544125</v>
      </c>
    </row>
    <row r="173" spans="1:7" ht="12.75" customHeight="1">
      <c r="A173" s="406"/>
      <c r="B173" s="401"/>
      <c r="C173" s="401"/>
      <c r="D173" s="401"/>
      <c r="E173" s="401"/>
      <c r="F173" s="401"/>
      <c r="G173" s="417"/>
    </row>
    <row r="174" spans="1:7" ht="12.75" customHeight="1">
      <c r="A174" s="406"/>
      <c r="B174" s="401"/>
      <c r="C174" s="401"/>
      <c r="D174" s="401"/>
      <c r="E174" s="401" t="s">
        <v>212</v>
      </c>
      <c r="F174" s="401"/>
      <c r="G174" s="417">
        <f t="shared" si="8"/>
        <v>78365.435884632374</v>
      </c>
    </row>
    <row r="175" spans="1:7" ht="12.75" customHeight="1">
      <c r="A175" s="406"/>
      <c r="B175" s="401"/>
      <c r="C175" s="401"/>
      <c r="D175" s="401"/>
      <c r="E175" s="401"/>
      <c r="F175" s="401"/>
      <c r="G175" s="417"/>
    </row>
    <row r="176" spans="1:7" ht="12.75" customHeight="1" thickBot="1">
      <c r="A176" s="411" t="s">
        <v>213</v>
      </c>
      <c r="B176" s="412"/>
      <c r="C176" s="412"/>
      <c r="D176" s="469" t="s">
        <v>214</v>
      </c>
      <c r="E176" s="470"/>
      <c r="F176" s="470"/>
      <c r="G176" s="418">
        <f t="shared" si="9"/>
        <v>339583.55550007359</v>
      </c>
    </row>
    <row r="177" spans="1:9" ht="15" customHeight="1">
      <c r="A177" s="531" t="s">
        <v>174</v>
      </c>
      <c r="B177" s="457"/>
      <c r="C177" s="457"/>
      <c r="D177" s="457"/>
      <c r="E177" s="457"/>
      <c r="F177" s="457"/>
      <c r="G177" s="457"/>
    </row>
    <row r="178" spans="1:9" ht="12.75" customHeight="1"/>
    <row r="179" spans="1:9" ht="12.75" customHeight="1">
      <c r="A179" s="1" t="s">
        <v>175</v>
      </c>
      <c r="B179" s="1"/>
      <c r="C179" s="1"/>
      <c r="D179" s="94"/>
      <c r="E179" s="94"/>
      <c r="F179" s="94"/>
      <c r="G179" s="414"/>
      <c r="H179" s="94"/>
    </row>
    <row r="180" spans="1:9" ht="12.75" customHeight="1">
      <c r="A180" s="1" t="str">
        <f t="shared" ref="A180:B208" si="16">+A4</f>
        <v xml:space="preserve">OBRA N°      Bocatoma - Acueducto </v>
      </c>
      <c r="B180" s="1"/>
      <c r="C180" s="1"/>
      <c r="D180" s="1"/>
      <c r="F180" s="95" t="s">
        <v>177</v>
      </c>
      <c r="G180" s="415">
        <f t="shared" ca="1" si="0"/>
        <v>46289</v>
      </c>
      <c r="H180" s="95"/>
      <c r="I180" s="98"/>
    </row>
    <row r="181" spans="1:9" ht="12.75" customHeight="1">
      <c r="A181" s="94"/>
      <c r="B181" s="94"/>
      <c r="C181" s="94"/>
      <c r="D181" s="94"/>
      <c r="E181" s="94"/>
      <c r="F181" s="94"/>
      <c r="G181" s="414"/>
    </row>
    <row r="182" spans="1:9" ht="12.75" customHeight="1">
      <c r="A182" s="99" t="s">
        <v>233</v>
      </c>
      <c r="B182" s="100" t="s">
        <v>234</v>
      </c>
      <c r="C182" s="100"/>
      <c r="D182" s="100"/>
      <c r="E182" s="100"/>
      <c r="F182" s="100"/>
      <c r="G182" s="138"/>
    </row>
    <row r="183" spans="1:9" ht="12.75" customHeight="1">
      <c r="A183" s="102"/>
      <c r="B183" s="103"/>
      <c r="C183" s="103" t="s">
        <v>179</v>
      </c>
      <c r="D183" s="104">
        <v>0.75</v>
      </c>
      <c r="E183" s="103" t="s">
        <v>180</v>
      </c>
      <c r="F183" s="103" t="s">
        <v>226</v>
      </c>
      <c r="G183" s="419"/>
    </row>
    <row r="184" spans="1:9" ht="12.75" customHeight="1">
      <c r="A184" s="1" t="s">
        <v>182</v>
      </c>
      <c r="B184" s="1"/>
      <c r="C184" s="1"/>
      <c r="D184" s="1"/>
      <c r="E184" s="1"/>
      <c r="F184" s="1"/>
      <c r="G184" s="420"/>
    </row>
    <row r="185" spans="1:9" ht="12.75" customHeight="1">
      <c r="A185" s="106" t="s">
        <v>111</v>
      </c>
      <c r="B185" s="107" t="s">
        <v>183</v>
      </c>
      <c r="C185" s="106" t="s">
        <v>184</v>
      </c>
      <c r="D185" s="107" t="s">
        <v>185</v>
      </c>
      <c r="E185" s="106" t="s">
        <v>186</v>
      </c>
      <c r="F185" s="108"/>
      <c r="G185" s="421"/>
    </row>
    <row r="186" spans="1:9" ht="12.75" customHeight="1">
      <c r="A186" s="110" t="s">
        <v>187</v>
      </c>
      <c r="B186" s="100"/>
      <c r="C186" s="110"/>
      <c r="D186" s="100"/>
      <c r="E186" s="111">
        <f t="shared" si="1"/>
        <v>24051.282051282051</v>
      </c>
      <c r="F186" s="112"/>
      <c r="G186" s="422"/>
    </row>
    <row r="187" spans="1:9" ht="12.75" customHeight="1">
      <c r="A187" s="110"/>
      <c r="B187" s="110"/>
      <c r="C187" s="110"/>
      <c r="D187" s="110"/>
      <c r="E187" s="119"/>
      <c r="F187" s="112"/>
      <c r="G187" s="422"/>
    </row>
    <row r="188" spans="1:9" ht="12.75" customHeight="1">
      <c r="A188" s="110"/>
      <c r="B188" s="110"/>
      <c r="C188" s="110"/>
      <c r="D188" s="110"/>
      <c r="E188" s="119"/>
      <c r="F188" s="112"/>
      <c r="G188" s="422"/>
    </row>
    <row r="189" spans="1:9" ht="12.75" customHeight="1">
      <c r="A189" s="110"/>
      <c r="B189" s="110"/>
      <c r="C189" s="110"/>
      <c r="D189" s="110"/>
      <c r="E189" s="101"/>
      <c r="F189" s="102" t="s">
        <v>189</v>
      </c>
      <c r="G189" s="419">
        <f t="shared" si="2"/>
        <v>24051.282051282051</v>
      </c>
    </row>
    <row r="190" spans="1:9" ht="12.75" customHeight="1">
      <c r="A190" s="1" t="s">
        <v>191</v>
      </c>
      <c r="B190" s="1"/>
      <c r="C190" s="1"/>
      <c r="D190" s="1"/>
      <c r="E190" s="1"/>
      <c r="F190" s="1"/>
      <c r="G190" s="420"/>
    </row>
    <row r="191" spans="1:9" ht="12.75" customHeight="1">
      <c r="A191" s="115" t="s">
        <v>111</v>
      </c>
      <c r="B191" s="106" t="s">
        <v>193</v>
      </c>
      <c r="C191" s="80" t="s">
        <v>194</v>
      </c>
      <c r="D191" s="106" t="s">
        <v>195</v>
      </c>
      <c r="E191" s="81" t="s">
        <v>186</v>
      </c>
      <c r="F191" s="108"/>
      <c r="G191" s="421"/>
    </row>
    <row r="192" spans="1:9" ht="12.75" customHeight="1">
      <c r="A192" s="110" t="s">
        <v>235</v>
      </c>
      <c r="B192" s="106" t="s">
        <v>236</v>
      </c>
      <c r="C192" s="110">
        <v>40000</v>
      </c>
      <c r="D192" s="110">
        <f>7*0.6</f>
        <v>4.2</v>
      </c>
      <c r="E192" s="101">
        <f t="shared" si="11"/>
        <v>168000</v>
      </c>
      <c r="F192" s="112"/>
      <c r="G192" s="422"/>
    </row>
    <row r="193" spans="1:7" ht="12.75" customHeight="1">
      <c r="A193" s="63" t="s">
        <v>237</v>
      </c>
      <c r="B193" s="123" t="s">
        <v>238</v>
      </c>
      <c r="C193" s="63">
        <v>200000</v>
      </c>
      <c r="D193" s="63">
        <f>1.5*0.6</f>
        <v>0.89999999999999991</v>
      </c>
      <c r="E193" s="101">
        <f t="shared" si="11"/>
        <v>179999.99999999997</v>
      </c>
      <c r="F193" s="112"/>
      <c r="G193" s="422"/>
    </row>
    <row r="194" spans="1:7" ht="12.75" customHeight="1">
      <c r="A194" s="110" t="s">
        <v>239</v>
      </c>
      <c r="B194" s="106" t="s">
        <v>238</v>
      </c>
      <c r="C194" s="110">
        <v>170000</v>
      </c>
      <c r="D194" s="110">
        <v>0.4</v>
      </c>
      <c r="E194" s="101">
        <f t="shared" si="11"/>
        <v>68000</v>
      </c>
      <c r="F194" s="112"/>
      <c r="G194" s="422"/>
    </row>
    <row r="195" spans="1:7" ht="12.75" customHeight="1">
      <c r="A195" s="110" t="s">
        <v>240</v>
      </c>
      <c r="B195" s="106" t="s">
        <v>220</v>
      </c>
      <c r="C195" s="110">
        <v>35000</v>
      </c>
      <c r="D195" s="110">
        <v>1</v>
      </c>
      <c r="E195" s="101">
        <f t="shared" si="11"/>
        <v>35000</v>
      </c>
      <c r="F195" s="112"/>
      <c r="G195" s="422"/>
    </row>
    <row r="196" spans="1:7" ht="12.75" customHeight="1">
      <c r="A196" s="110" t="s">
        <v>241</v>
      </c>
      <c r="B196" s="106" t="s">
        <v>220</v>
      </c>
      <c r="C196" s="110">
        <v>85000</v>
      </c>
      <c r="D196" s="110">
        <v>1</v>
      </c>
      <c r="E196" s="101">
        <f t="shared" si="11"/>
        <v>85000</v>
      </c>
      <c r="F196" s="112"/>
      <c r="G196" s="422"/>
    </row>
    <row r="197" spans="1:7" ht="12.75" customHeight="1">
      <c r="A197" s="110" t="s">
        <v>242</v>
      </c>
      <c r="B197" s="106" t="s">
        <v>220</v>
      </c>
      <c r="C197" s="111">
        <f>(E192+E193+E194+E195+E196)*0.05</f>
        <v>26800</v>
      </c>
      <c r="D197" s="110">
        <v>1</v>
      </c>
      <c r="E197" s="119">
        <f t="shared" si="11"/>
        <v>26800</v>
      </c>
      <c r="F197" s="112"/>
      <c r="G197" s="422"/>
    </row>
    <row r="198" spans="1:7" ht="12.75" customHeight="1">
      <c r="A198" s="116"/>
      <c r="B198" s="116"/>
      <c r="C198" s="116"/>
      <c r="D198" s="116"/>
      <c r="E198" s="101"/>
      <c r="F198" s="102" t="s">
        <v>189</v>
      </c>
      <c r="G198" s="419">
        <f>E192+E193+E194+E195+E196+E197</f>
        <v>562800</v>
      </c>
    </row>
    <row r="199" spans="1:7" ht="12.75" customHeight="1">
      <c r="A199" s="1" t="s">
        <v>197</v>
      </c>
      <c r="B199" s="1"/>
      <c r="C199" s="1"/>
      <c r="D199" s="1"/>
      <c r="E199" s="1"/>
      <c r="F199" s="1"/>
      <c r="G199" s="420"/>
    </row>
    <row r="200" spans="1:7" ht="12.75" customHeight="1">
      <c r="A200" s="117" t="s">
        <v>198</v>
      </c>
      <c r="B200" s="117" t="s">
        <v>199</v>
      </c>
      <c r="C200" s="117" t="s">
        <v>200</v>
      </c>
      <c r="D200" s="117" t="s">
        <v>201</v>
      </c>
      <c r="E200" s="81" t="s">
        <v>186</v>
      </c>
      <c r="F200" s="108"/>
      <c r="G200" s="421"/>
    </row>
    <row r="201" spans="1:7" ht="12.75" customHeight="1">
      <c r="A201" s="110" t="s">
        <v>243</v>
      </c>
      <c r="B201" s="110"/>
      <c r="C201" s="110"/>
      <c r="D201" s="110"/>
      <c r="E201" s="101">
        <v>500000</v>
      </c>
      <c r="F201" s="112"/>
      <c r="G201" s="422"/>
    </row>
    <row r="202" spans="1:7" ht="12.75" customHeight="1">
      <c r="A202" s="63"/>
      <c r="B202" s="63"/>
      <c r="C202" s="63"/>
      <c r="D202" s="63"/>
      <c r="E202" s="113"/>
      <c r="F202" s="112"/>
      <c r="G202" s="422"/>
    </row>
    <row r="203" spans="1:7" ht="12.75" customHeight="1">
      <c r="A203" s="110"/>
      <c r="B203" s="110"/>
      <c r="C203" s="110"/>
      <c r="D203" s="110"/>
      <c r="E203" s="101"/>
      <c r="F203" s="112"/>
      <c r="G203" s="422"/>
    </row>
    <row r="204" spans="1:7" ht="12.75" customHeight="1">
      <c r="A204" s="110"/>
      <c r="B204" s="110"/>
      <c r="C204" s="110"/>
      <c r="D204" s="110"/>
      <c r="E204" s="101"/>
      <c r="F204" s="112"/>
      <c r="G204" s="422"/>
    </row>
    <row r="205" spans="1:7" ht="12.75" customHeight="1">
      <c r="A205" s="116"/>
      <c r="B205" s="116"/>
      <c r="C205" s="116"/>
      <c r="D205" s="116"/>
      <c r="E205" s="105"/>
      <c r="F205" s="102" t="s">
        <v>189</v>
      </c>
      <c r="G205" s="419">
        <f t="shared" si="13"/>
        <v>500000</v>
      </c>
    </row>
    <row r="206" spans="1:7" ht="12.75" customHeight="1">
      <c r="A206" s="1" t="s">
        <v>202</v>
      </c>
      <c r="B206" s="1"/>
      <c r="C206" s="1"/>
      <c r="D206" s="1"/>
      <c r="E206" s="1"/>
      <c r="F206" s="1"/>
      <c r="G206" s="420"/>
    </row>
    <row r="207" spans="1:7" ht="12.75" customHeight="1">
      <c r="A207" s="117" t="s">
        <v>203</v>
      </c>
      <c r="B207" s="80" t="s">
        <v>204</v>
      </c>
      <c r="C207" s="117" t="s">
        <v>205</v>
      </c>
      <c r="D207" s="80" t="s">
        <v>206</v>
      </c>
      <c r="E207" s="117" t="s">
        <v>207</v>
      </c>
      <c r="F207" s="80" t="s">
        <v>208</v>
      </c>
      <c r="G207" s="423"/>
    </row>
    <row r="208" spans="1:7" ht="12.75" customHeight="1">
      <c r="A208" s="110" t="s">
        <v>188</v>
      </c>
      <c r="B208" s="100">
        <f t="shared" si="16"/>
        <v>140000</v>
      </c>
      <c r="C208" s="110">
        <f t="shared" si="14"/>
        <v>105000</v>
      </c>
      <c r="D208" s="100">
        <f t="shared" si="4"/>
        <v>245000</v>
      </c>
      <c r="E208" s="122">
        <v>1.5</v>
      </c>
      <c r="F208" s="119">
        <f t="shared" si="5"/>
        <v>163333.33333333334</v>
      </c>
      <c r="G208" s="424"/>
    </row>
    <row r="209" spans="1:9" ht="12.75" customHeight="1">
      <c r="A209" s="63" t="s">
        <v>244</v>
      </c>
      <c r="B209" s="100">
        <f>+B33*3</f>
        <v>272307.69230769225</v>
      </c>
      <c r="C209" s="111">
        <f t="shared" si="14"/>
        <v>204230.76923076919</v>
      </c>
      <c r="D209" s="120">
        <f t="shared" si="4"/>
        <v>476538.46153846144</v>
      </c>
      <c r="E209" s="122">
        <v>1.5</v>
      </c>
      <c r="F209" s="119">
        <f t="shared" si="5"/>
        <v>317692.30769230763</v>
      </c>
      <c r="G209" s="424"/>
    </row>
    <row r="210" spans="1:9" ht="12.75" customHeight="1">
      <c r="A210" s="110"/>
      <c r="B210" s="100"/>
      <c r="C210" s="110"/>
      <c r="D210" s="100"/>
      <c r="E210" s="110"/>
      <c r="F210" s="101"/>
      <c r="G210" s="424"/>
    </row>
    <row r="211" spans="1:9" ht="12.75" customHeight="1">
      <c r="A211" s="63"/>
      <c r="B211" s="1"/>
      <c r="C211" s="63"/>
      <c r="D211" s="1"/>
      <c r="E211" s="63"/>
      <c r="F211" s="101"/>
      <c r="G211" s="424"/>
    </row>
    <row r="212" spans="1:9" ht="12.75" customHeight="1">
      <c r="A212" s="110"/>
      <c r="B212" s="100"/>
      <c r="C212" s="110"/>
      <c r="D212" s="100"/>
      <c r="E212" s="110"/>
      <c r="F212" s="101"/>
      <c r="G212" s="424"/>
    </row>
    <row r="213" spans="1:9" ht="12.75" customHeight="1">
      <c r="A213" s="116"/>
      <c r="B213" s="103"/>
      <c r="C213" s="116"/>
      <c r="D213" s="103"/>
      <c r="E213" s="116"/>
      <c r="F213" s="101"/>
      <c r="G213" s="425"/>
    </row>
    <row r="214" spans="1:9" ht="12.75" customHeight="1">
      <c r="A214" s="1"/>
      <c r="B214" s="1"/>
      <c r="C214" s="1"/>
      <c r="D214" s="1"/>
      <c r="E214" s="1"/>
      <c r="F214" s="1" t="s">
        <v>189</v>
      </c>
      <c r="G214" s="225">
        <f t="shared" si="6"/>
        <v>481025.641025641</v>
      </c>
    </row>
    <row r="215" spans="1:9" ht="12.75" customHeight="1">
      <c r="A215" s="1"/>
      <c r="B215" s="1"/>
      <c r="C215" s="1"/>
      <c r="D215" s="1"/>
      <c r="E215" s="1"/>
      <c r="F215" s="1"/>
      <c r="G215" s="420"/>
    </row>
    <row r="216" spans="1:9" ht="12.75" customHeight="1">
      <c r="A216" s="103" t="s">
        <v>209</v>
      </c>
      <c r="B216" s="1"/>
      <c r="C216" s="1" t="s">
        <v>210</v>
      </c>
      <c r="D216" s="473" t="s">
        <v>211</v>
      </c>
      <c r="E216" s="457"/>
      <c r="F216" s="457"/>
      <c r="G216" s="225">
        <f t="shared" si="7"/>
        <v>1567876.923076923</v>
      </c>
    </row>
    <row r="217" spans="1:9" ht="12.75" customHeight="1">
      <c r="A217" s="1"/>
      <c r="B217" s="1"/>
      <c r="C217" s="1"/>
      <c r="D217" s="1"/>
      <c r="E217" s="1"/>
      <c r="F217" s="1"/>
      <c r="G217" s="420"/>
    </row>
    <row r="218" spans="1:9" ht="12.75" customHeight="1">
      <c r="A218" s="1"/>
      <c r="B218" s="1"/>
      <c r="C218" s="1"/>
      <c r="D218" s="1"/>
      <c r="E218" s="1" t="s">
        <v>212</v>
      </c>
      <c r="F218" s="1"/>
      <c r="G218" s="225">
        <f t="shared" si="8"/>
        <v>470363.07692307688</v>
      </c>
    </row>
    <row r="219" spans="1:9" ht="12.75" customHeight="1">
      <c r="A219" s="1"/>
      <c r="B219" s="1"/>
      <c r="C219" s="1"/>
      <c r="D219" s="1"/>
      <c r="E219" s="1"/>
      <c r="F219" s="1"/>
      <c r="G219" s="420"/>
    </row>
    <row r="220" spans="1:9" ht="12.75" customHeight="1">
      <c r="A220" s="103" t="s">
        <v>213</v>
      </c>
      <c r="B220" s="1"/>
      <c r="C220" s="1"/>
      <c r="D220" s="473" t="s">
        <v>214</v>
      </c>
      <c r="E220" s="457"/>
      <c r="F220" s="457"/>
      <c r="G220" s="225">
        <f t="shared" si="9"/>
        <v>2038240</v>
      </c>
    </row>
    <row r="221" spans="1:9" ht="15" customHeight="1">
      <c r="A221" s="531" t="s">
        <v>174</v>
      </c>
      <c r="B221" s="457"/>
      <c r="C221" s="457"/>
      <c r="D221" s="457"/>
      <c r="E221" s="457"/>
      <c r="F221" s="457"/>
      <c r="G221" s="457"/>
    </row>
    <row r="222" spans="1:9" ht="12.75" customHeight="1" thickBot="1"/>
    <row r="223" spans="1:9" ht="12.75" customHeight="1">
      <c r="A223" s="404" t="s">
        <v>175</v>
      </c>
      <c r="B223" s="405"/>
      <c r="C223" s="405"/>
      <c r="D223" s="428"/>
      <c r="E223" s="428"/>
      <c r="F223" s="428"/>
      <c r="G223" s="429"/>
      <c r="H223" s="94"/>
    </row>
    <row r="224" spans="1:9" ht="12.75" customHeight="1">
      <c r="A224" s="406" t="str">
        <f t="shared" ref="A224:B252" si="17">+A4</f>
        <v xml:space="preserve">OBRA N°      Bocatoma - Acueducto </v>
      </c>
      <c r="B224" s="401"/>
      <c r="C224" s="401"/>
      <c r="D224" s="401"/>
      <c r="E224" s="195"/>
      <c r="F224" s="402" t="s">
        <v>177</v>
      </c>
      <c r="G224" s="430">
        <f t="shared" ca="1" si="0"/>
        <v>46289</v>
      </c>
      <c r="H224" s="95"/>
      <c r="I224" s="98"/>
    </row>
    <row r="225" spans="1:7" ht="12.75" customHeight="1">
      <c r="A225" s="433"/>
      <c r="B225" s="426"/>
      <c r="C225" s="426"/>
      <c r="D225" s="426"/>
      <c r="E225" s="426"/>
      <c r="F225" s="426"/>
      <c r="G225" s="431"/>
    </row>
    <row r="226" spans="1:7" ht="12.75" customHeight="1">
      <c r="A226" s="406" t="s">
        <v>245</v>
      </c>
      <c r="B226" s="401" t="s">
        <v>246</v>
      </c>
      <c r="C226" s="401"/>
      <c r="D226" s="401"/>
      <c r="E226" s="401"/>
      <c r="F226" s="401"/>
      <c r="G226" s="417"/>
    </row>
    <row r="227" spans="1:7" ht="12.75" customHeight="1">
      <c r="A227" s="406"/>
      <c r="B227" s="401"/>
      <c r="C227" s="401"/>
      <c r="D227" s="401"/>
      <c r="E227" s="401"/>
      <c r="F227" s="401"/>
      <c r="G227" s="417"/>
    </row>
    <row r="228" spans="1:7" ht="12.75" customHeight="1">
      <c r="A228" s="406" t="s">
        <v>182</v>
      </c>
      <c r="B228" s="401"/>
      <c r="C228" s="401"/>
      <c r="D228" s="401"/>
      <c r="E228" s="401"/>
      <c r="F228" s="401"/>
      <c r="G228" s="417"/>
    </row>
    <row r="229" spans="1:7" ht="12.75" customHeight="1">
      <c r="A229" s="408" t="s">
        <v>111</v>
      </c>
      <c r="B229" s="169" t="s">
        <v>183</v>
      </c>
      <c r="C229" s="169" t="s">
        <v>184</v>
      </c>
      <c r="D229" s="169" t="s">
        <v>185</v>
      </c>
      <c r="E229" s="169" t="s">
        <v>186</v>
      </c>
      <c r="F229" s="401"/>
      <c r="G229" s="417"/>
    </row>
    <row r="230" spans="1:7" ht="12.75" customHeight="1">
      <c r="A230" s="406" t="s">
        <v>187</v>
      </c>
      <c r="B230" s="401"/>
      <c r="C230" s="401"/>
      <c r="D230" s="401"/>
      <c r="E230" s="403">
        <f t="shared" si="1"/>
        <v>25754.625394064162</v>
      </c>
      <c r="F230" s="401"/>
      <c r="G230" s="417"/>
    </row>
    <row r="231" spans="1:7" ht="12.75" customHeight="1">
      <c r="A231" s="406"/>
      <c r="B231" s="401"/>
      <c r="C231" s="401"/>
      <c r="D231" s="401"/>
      <c r="E231" s="403"/>
      <c r="F231" s="401"/>
      <c r="G231" s="417"/>
    </row>
    <row r="232" spans="1:7" ht="12.75" customHeight="1">
      <c r="A232" s="406"/>
      <c r="B232" s="401"/>
      <c r="C232" s="401"/>
      <c r="D232" s="401"/>
      <c r="E232" s="403"/>
      <c r="F232" s="401"/>
      <c r="G232" s="417"/>
    </row>
    <row r="233" spans="1:7" ht="12.75" customHeight="1">
      <c r="A233" s="406"/>
      <c r="B233" s="401"/>
      <c r="C233" s="401"/>
      <c r="D233" s="401"/>
      <c r="E233" s="401"/>
      <c r="F233" s="401" t="s">
        <v>189</v>
      </c>
      <c r="G233" s="417">
        <f t="shared" si="2"/>
        <v>25754.625394064162</v>
      </c>
    </row>
    <row r="234" spans="1:7" ht="12.75" customHeight="1">
      <c r="A234" s="406" t="s">
        <v>191</v>
      </c>
      <c r="B234" s="401"/>
      <c r="C234" s="401"/>
      <c r="D234" s="401"/>
      <c r="E234" s="401"/>
      <c r="F234" s="401"/>
      <c r="G234" s="417"/>
    </row>
    <row r="235" spans="1:7" ht="12.75" customHeight="1">
      <c r="A235" s="408" t="s">
        <v>111</v>
      </c>
      <c r="B235" s="169" t="s">
        <v>193</v>
      </c>
      <c r="C235" s="169" t="s">
        <v>194</v>
      </c>
      <c r="D235" s="169" t="s">
        <v>195</v>
      </c>
      <c r="E235" s="169" t="s">
        <v>186</v>
      </c>
      <c r="F235" s="401"/>
      <c r="G235" s="417"/>
    </row>
    <row r="236" spans="1:7" ht="12.75" customHeight="1">
      <c r="A236" s="406" t="s">
        <v>235</v>
      </c>
      <c r="B236" s="169" t="s">
        <v>236</v>
      </c>
      <c r="C236" s="401">
        <f t="shared" si="10"/>
        <v>40000</v>
      </c>
      <c r="D236" s="401">
        <v>8</v>
      </c>
      <c r="E236" s="401">
        <f t="shared" si="11"/>
        <v>320000</v>
      </c>
      <c r="F236" s="401"/>
      <c r="G236" s="417"/>
    </row>
    <row r="237" spans="1:7" ht="12.75" customHeight="1">
      <c r="A237" s="406" t="s">
        <v>237</v>
      </c>
      <c r="B237" s="169" t="s">
        <v>238</v>
      </c>
      <c r="C237" s="401">
        <f t="shared" si="10"/>
        <v>200000</v>
      </c>
      <c r="D237" s="401">
        <v>1.5</v>
      </c>
      <c r="E237" s="401">
        <f t="shared" si="11"/>
        <v>300000</v>
      </c>
      <c r="F237" s="401"/>
      <c r="G237" s="417"/>
    </row>
    <row r="238" spans="1:7" ht="12.75" customHeight="1">
      <c r="A238" s="406" t="s">
        <v>241</v>
      </c>
      <c r="B238" s="169" t="s">
        <v>220</v>
      </c>
      <c r="C238" s="401">
        <f>+C196</f>
        <v>85000</v>
      </c>
      <c r="D238" s="401">
        <v>1</v>
      </c>
      <c r="E238" s="401">
        <f t="shared" si="11"/>
        <v>85000</v>
      </c>
      <c r="F238" s="401"/>
      <c r="G238" s="417"/>
    </row>
    <row r="239" spans="1:7" ht="12.75" customHeight="1">
      <c r="A239" s="406" t="s">
        <v>240</v>
      </c>
      <c r="B239" s="169" t="s">
        <v>220</v>
      </c>
      <c r="C239" s="401">
        <f t="shared" si="10"/>
        <v>35000</v>
      </c>
      <c r="D239" s="401">
        <v>1</v>
      </c>
      <c r="E239" s="401">
        <f t="shared" si="11"/>
        <v>35000</v>
      </c>
      <c r="F239" s="401"/>
      <c r="G239" s="417"/>
    </row>
    <row r="240" spans="1:7" ht="12.75" customHeight="1">
      <c r="A240" s="406" t="s">
        <v>247</v>
      </c>
      <c r="B240" s="169" t="s">
        <v>220</v>
      </c>
      <c r="C240" s="401">
        <f>(E236+E237+E238+E239)*0.05</f>
        <v>37000</v>
      </c>
      <c r="D240" s="401">
        <v>1</v>
      </c>
      <c r="E240" s="401">
        <f t="shared" si="11"/>
        <v>37000</v>
      </c>
      <c r="F240" s="401"/>
      <c r="G240" s="417"/>
    </row>
    <row r="241" spans="1:8" ht="12.75" customHeight="1">
      <c r="A241" s="406"/>
      <c r="B241" s="169"/>
      <c r="C241" s="403"/>
      <c r="D241" s="401"/>
      <c r="E241" s="403"/>
      <c r="F241" s="401"/>
      <c r="G241" s="417"/>
    </row>
    <row r="242" spans="1:8" ht="12.75" customHeight="1">
      <c r="A242" s="406"/>
      <c r="B242" s="401"/>
      <c r="C242" s="401"/>
      <c r="D242" s="401"/>
      <c r="E242" s="401"/>
      <c r="F242" s="401" t="s">
        <v>189</v>
      </c>
      <c r="G242" s="417">
        <f>E236+E237+E238+E239+E240</f>
        <v>777000</v>
      </c>
    </row>
    <row r="243" spans="1:8" ht="12.75" customHeight="1">
      <c r="A243" s="406" t="s">
        <v>197</v>
      </c>
      <c r="B243" s="401"/>
      <c r="C243" s="401"/>
      <c r="D243" s="401"/>
      <c r="E243" s="401"/>
      <c r="F243" s="401"/>
      <c r="G243" s="417"/>
    </row>
    <row r="244" spans="1:8" ht="12.75" customHeight="1">
      <c r="A244" s="408" t="s">
        <v>198</v>
      </c>
      <c r="B244" s="169" t="s">
        <v>199</v>
      </c>
      <c r="C244" s="169" t="s">
        <v>200</v>
      </c>
      <c r="D244" s="169" t="s">
        <v>201</v>
      </c>
      <c r="E244" s="169" t="s">
        <v>186</v>
      </c>
      <c r="F244" s="401"/>
      <c r="G244" s="417"/>
    </row>
    <row r="245" spans="1:8" ht="12.75" customHeight="1">
      <c r="A245" s="406" t="s">
        <v>243</v>
      </c>
      <c r="B245" s="401"/>
      <c r="C245" s="401"/>
      <c r="D245" s="401"/>
      <c r="E245" s="403">
        <v>53162.369074469898</v>
      </c>
      <c r="F245" s="401"/>
      <c r="G245" s="417"/>
      <c r="H245" s="49"/>
    </row>
    <row r="246" spans="1:8" ht="12.75" customHeight="1">
      <c r="A246" s="406"/>
      <c r="B246" s="401"/>
      <c r="C246" s="401"/>
      <c r="D246" s="401"/>
      <c r="E246" s="401"/>
      <c r="F246" s="401"/>
      <c r="G246" s="417"/>
    </row>
    <row r="247" spans="1:8" ht="12.75" customHeight="1">
      <c r="A247" s="406"/>
      <c r="B247" s="401"/>
      <c r="C247" s="401"/>
      <c r="D247" s="401"/>
      <c r="E247" s="401"/>
      <c r="F247" s="401"/>
      <c r="G247" s="417"/>
    </row>
    <row r="248" spans="1:8" ht="12.75" customHeight="1">
      <c r="A248" s="406"/>
      <c r="B248" s="401"/>
      <c r="C248" s="401"/>
      <c r="D248" s="401"/>
      <c r="E248" s="401"/>
      <c r="F248" s="401"/>
      <c r="G248" s="417"/>
    </row>
    <row r="249" spans="1:8" ht="12.75" customHeight="1">
      <c r="A249" s="406"/>
      <c r="B249" s="401"/>
      <c r="C249" s="401"/>
      <c r="D249" s="401"/>
      <c r="E249" s="401"/>
      <c r="F249" s="401" t="s">
        <v>189</v>
      </c>
      <c r="G249" s="417">
        <f t="shared" si="13"/>
        <v>53162.369074469898</v>
      </c>
    </row>
    <row r="250" spans="1:8" ht="12.75" customHeight="1">
      <c r="A250" s="406" t="s">
        <v>202</v>
      </c>
      <c r="B250" s="401"/>
      <c r="C250" s="401"/>
      <c r="D250" s="401"/>
      <c r="E250" s="401"/>
      <c r="F250" s="401"/>
      <c r="G250" s="417"/>
    </row>
    <row r="251" spans="1:8" ht="12.75" customHeight="1">
      <c r="A251" s="408" t="s">
        <v>203</v>
      </c>
      <c r="B251" s="169" t="s">
        <v>204</v>
      </c>
      <c r="C251" s="169" t="s">
        <v>205</v>
      </c>
      <c r="D251" s="169" t="s">
        <v>206</v>
      </c>
      <c r="E251" s="169" t="s">
        <v>207</v>
      </c>
      <c r="F251" s="169" t="s">
        <v>208</v>
      </c>
      <c r="G251" s="417"/>
    </row>
    <row r="252" spans="1:8" ht="12.75" customHeight="1">
      <c r="A252" s="406" t="s">
        <v>188</v>
      </c>
      <c r="B252" s="401">
        <f t="shared" si="17"/>
        <v>140000</v>
      </c>
      <c r="C252" s="401">
        <f t="shared" si="14"/>
        <v>105000</v>
      </c>
      <c r="D252" s="401">
        <f t="shared" si="4"/>
        <v>245000</v>
      </c>
      <c r="E252" s="427">
        <v>1.8</v>
      </c>
      <c r="F252" s="403">
        <f t="shared" si="5"/>
        <v>136111.11111111109</v>
      </c>
      <c r="G252" s="417"/>
    </row>
    <row r="253" spans="1:8" ht="12.75" customHeight="1">
      <c r="A253" s="406" t="s">
        <v>248</v>
      </c>
      <c r="B253" s="401">
        <f>+B33*4</f>
        <v>363076.92307692301</v>
      </c>
      <c r="C253" s="403">
        <f t="shared" si="14"/>
        <v>272307.69230769225</v>
      </c>
      <c r="D253" s="403">
        <f t="shared" si="4"/>
        <v>635384.61538461526</v>
      </c>
      <c r="E253" s="427">
        <v>1.6765588516998771</v>
      </c>
      <c r="F253" s="403">
        <f t="shared" si="5"/>
        <v>378981.39677017211</v>
      </c>
      <c r="G253" s="417"/>
    </row>
    <row r="254" spans="1:8" ht="12.75" customHeight="1">
      <c r="A254" s="406"/>
      <c r="B254" s="401"/>
      <c r="C254" s="401"/>
      <c r="D254" s="401"/>
      <c r="E254" s="401"/>
      <c r="F254" s="401"/>
      <c r="G254" s="417"/>
    </row>
    <row r="255" spans="1:8" ht="12.75" customHeight="1">
      <c r="A255" s="406"/>
      <c r="B255" s="401"/>
      <c r="C255" s="401"/>
      <c r="D255" s="401"/>
      <c r="E255" s="401"/>
      <c r="F255" s="401"/>
      <c r="G255" s="417"/>
    </row>
    <row r="256" spans="1:8" ht="12.75" customHeight="1">
      <c r="A256" s="406"/>
      <c r="B256" s="401"/>
      <c r="C256" s="401"/>
      <c r="D256" s="401"/>
      <c r="E256" s="401"/>
      <c r="F256" s="401"/>
      <c r="G256" s="417"/>
    </row>
    <row r="257" spans="1:9" ht="12.75" customHeight="1">
      <c r="A257" s="406"/>
      <c r="B257" s="401"/>
      <c r="C257" s="401"/>
      <c r="D257" s="401"/>
      <c r="E257" s="401"/>
      <c r="F257" s="401"/>
      <c r="G257" s="417"/>
    </row>
    <row r="258" spans="1:9" ht="12.75" customHeight="1">
      <c r="A258" s="406"/>
      <c r="B258" s="401"/>
      <c r="C258" s="401"/>
      <c r="D258" s="401"/>
      <c r="E258" s="401"/>
      <c r="F258" s="401" t="s">
        <v>189</v>
      </c>
      <c r="G258" s="417">
        <f>F252+F253+F254+F255+F256+F257</f>
        <v>515092.50788128318</v>
      </c>
    </row>
    <row r="259" spans="1:9" ht="12.75" customHeight="1">
      <c r="A259" s="406"/>
      <c r="B259" s="401"/>
      <c r="C259" s="401"/>
      <c r="D259" s="401"/>
      <c r="E259" s="401"/>
      <c r="F259" s="401"/>
      <c r="G259" s="417"/>
    </row>
    <row r="260" spans="1:9" ht="12.75" customHeight="1">
      <c r="A260" s="406" t="s">
        <v>209</v>
      </c>
      <c r="B260" s="401"/>
      <c r="C260" s="401" t="s">
        <v>210</v>
      </c>
      <c r="D260" s="471" t="s">
        <v>211</v>
      </c>
      <c r="E260" s="472"/>
      <c r="F260" s="472"/>
      <c r="G260" s="417">
        <f t="shared" si="7"/>
        <v>1371009.5023498172</v>
      </c>
    </row>
    <row r="261" spans="1:9" ht="12.75" customHeight="1">
      <c r="A261" s="406"/>
      <c r="B261" s="401"/>
      <c r="C261" s="401"/>
      <c r="D261" s="401"/>
      <c r="E261" s="401"/>
      <c r="F261" s="401"/>
      <c r="G261" s="417"/>
    </row>
    <row r="262" spans="1:9" ht="12.75" customHeight="1">
      <c r="A262" s="406"/>
      <c r="B262" s="401"/>
      <c r="C262" s="401"/>
      <c r="D262" s="401"/>
      <c r="E262" s="401" t="s">
        <v>212</v>
      </c>
      <c r="F262" s="401"/>
      <c r="G262" s="417">
        <f t="shared" si="8"/>
        <v>411302.85070494516</v>
      </c>
    </row>
    <row r="263" spans="1:9" ht="12.75" customHeight="1">
      <c r="A263" s="406"/>
      <c r="B263" s="401"/>
      <c r="C263" s="401"/>
      <c r="D263" s="401"/>
      <c r="E263" s="401"/>
      <c r="F263" s="401"/>
      <c r="G263" s="417"/>
    </row>
    <row r="264" spans="1:9" ht="12.75" customHeight="1" thickBot="1">
      <c r="A264" s="411" t="s">
        <v>213</v>
      </c>
      <c r="B264" s="412"/>
      <c r="C264" s="412"/>
      <c r="D264" s="469" t="s">
        <v>214</v>
      </c>
      <c r="E264" s="470"/>
      <c r="F264" s="470"/>
      <c r="G264" s="418">
        <f t="shared" si="9"/>
        <v>1782312.3530547624</v>
      </c>
    </row>
    <row r="265" spans="1:9" ht="15" customHeight="1">
      <c r="A265" s="532" t="s">
        <v>174</v>
      </c>
      <c r="B265" s="457"/>
      <c r="C265" s="457"/>
      <c r="D265" s="457"/>
      <c r="E265" s="457"/>
      <c r="F265" s="457"/>
      <c r="G265" s="533"/>
    </row>
    <row r="266" spans="1:9" ht="12.75" customHeight="1" thickBot="1">
      <c r="A266" s="112"/>
      <c r="B266" s="1"/>
      <c r="C266" s="1"/>
      <c r="D266" s="1"/>
      <c r="E266" s="1"/>
      <c r="F266" s="1"/>
      <c r="G266" s="422"/>
    </row>
    <row r="267" spans="1:9" ht="12.75" customHeight="1">
      <c r="A267" s="404" t="s">
        <v>175</v>
      </c>
      <c r="B267" s="405"/>
      <c r="C267" s="405"/>
      <c r="D267" s="428"/>
      <c r="E267" s="428"/>
      <c r="F267" s="428"/>
      <c r="G267" s="429"/>
      <c r="H267" s="94"/>
    </row>
    <row r="268" spans="1:9" ht="12.75" customHeight="1">
      <c r="A268" s="406" t="str">
        <f t="shared" ref="A268:B297" si="18">+A4</f>
        <v xml:space="preserve">OBRA N°      Bocatoma - Acueducto </v>
      </c>
      <c r="B268" s="401"/>
      <c r="C268" s="401"/>
      <c r="D268" s="401"/>
      <c r="E268" s="195"/>
      <c r="F268" s="402" t="s">
        <v>177</v>
      </c>
      <c r="G268" s="430">
        <f t="shared" ca="1" si="0"/>
        <v>46289</v>
      </c>
      <c r="H268" s="95"/>
      <c r="I268" s="98"/>
    </row>
    <row r="269" spans="1:9" ht="12.75" customHeight="1">
      <c r="A269" s="433"/>
      <c r="B269" s="426"/>
      <c r="C269" s="426"/>
      <c r="D269" s="426"/>
      <c r="E269" s="426"/>
      <c r="F269" s="426"/>
      <c r="G269" s="431"/>
    </row>
    <row r="270" spans="1:9" ht="12.75" customHeight="1">
      <c r="A270" s="406" t="s">
        <v>249</v>
      </c>
      <c r="B270" s="401" t="s">
        <v>250</v>
      </c>
      <c r="C270" s="401"/>
      <c r="D270" s="401"/>
      <c r="E270" s="401"/>
      <c r="F270" s="401"/>
      <c r="G270" s="417"/>
    </row>
    <row r="271" spans="1:9" ht="12.75" customHeight="1">
      <c r="A271" s="406"/>
      <c r="B271" s="401"/>
      <c r="C271" s="401" t="s">
        <v>179</v>
      </c>
      <c r="D271" s="401">
        <v>70</v>
      </c>
      <c r="E271" s="401" t="s">
        <v>180</v>
      </c>
      <c r="F271" s="401" t="s">
        <v>251</v>
      </c>
      <c r="G271" s="417"/>
    </row>
    <row r="272" spans="1:9" ht="12.75" customHeight="1">
      <c r="A272" s="406" t="s">
        <v>182</v>
      </c>
      <c r="B272" s="401"/>
      <c r="C272" s="401"/>
      <c r="D272" s="401"/>
      <c r="E272" s="401"/>
      <c r="F272" s="401"/>
      <c r="G272" s="417"/>
    </row>
    <row r="273" spans="1:8" ht="12.75" customHeight="1">
      <c r="A273" s="408" t="s">
        <v>111</v>
      </c>
      <c r="B273" s="169" t="s">
        <v>183</v>
      </c>
      <c r="C273" s="169" t="s">
        <v>184</v>
      </c>
      <c r="D273" s="169" t="s">
        <v>185</v>
      </c>
      <c r="E273" s="169" t="s">
        <v>186</v>
      </c>
      <c r="F273" s="401"/>
      <c r="G273" s="417"/>
    </row>
    <row r="274" spans="1:8" ht="12.75" customHeight="1">
      <c r="A274" s="406" t="s">
        <v>187</v>
      </c>
      <c r="B274" s="401"/>
      <c r="C274" s="401"/>
      <c r="D274" s="401"/>
      <c r="E274" s="403">
        <f t="shared" si="1"/>
        <v>69.186642294536199</v>
      </c>
      <c r="F274" s="401"/>
      <c r="G274" s="417"/>
    </row>
    <row r="275" spans="1:8" ht="12.75" customHeight="1">
      <c r="A275" s="406"/>
      <c r="B275" s="401"/>
      <c r="C275" s="401"/>
      <c r="D275" s="401"/>
      <c r="E275" s="401"/>
      <c r="F275" s="401"/>
      <c r="G275" s="417"/>
    </row>
    <row r="276" spans="1:8" ht="12.75" customHeight="1">
      <c r="A276" s="406"/>
      <c r="B276" s="401"/>
      <c r="C276" s="401"/>
      <c r="D276" s="401"/>
      <c r="E276" s="401"/>
      <c r="F276" s="401"/>
      <c r="G276" s="417"/>
    </row>
    <row r="277" spans="1:8" ht="12.75" customHeight="1">
      <c r="A277" s="406"/>
      <c r="B277" s="401"/>
      <c r="C277" s="401"/>
      <c r="D277" s="401"/>
      <c r="E277" s="401"/>
      <c r="F277" s="401" t="s">
        <v>189</v>
      </c>
      <c r="G277" s="417">
        <f t="shared" si="2"/>
        <v>69.186642294536199</v>
      </c>
    </row>
    <row r="278" spans="1:8" ht="12.75" customHeight="1">
      <c r="A278" s="406" t="s">
        <v>191</v>
      </c>
      <c r="B278" s="401"/>
      <c r="C278" s="401"/>
      <c r="D278" s="401"/>
      <c r="E278" s="401"/>
      <c r="F278" s="401"/>
      <c r="G278" s="417"/>
    </row>
    <row r="279" spans="1:8" ht="12.75" customHeight="1">
      <c r="A279" s="408" t="s">
        <v>111</v>
      </c>
      <c r="B279" s="169" t="s">
        <v>193</v>
      </c>
      <c r="C279" s="169" t="s">
        <v>194</v>
      </c>
      <c r="D279" s="169" t="s">
        <v>195</v>
      </c>
      <c r="E279" s="169" t="s">
        <v>186</v>
      </c>
      <c r="F279" s="401"/>
      <c r="G279" s="417"/>
    </row>
    <row r="280" spans="1:8" ht="12.75" customHeight="1">
      <c r="A280" s="406" t="s">
        <v>252</v>
      </c>
      <c r="B280" s="169" t="s">
        <v>253</v>
      </c>
      <c r="C280" s="403">
        <f>1.19*3809.52</f>
        <v>4533.3288000000002</v>
      </c>
      <c r="D280" s="401">
        <v>1.05</v>
      </c>
      <c r="E280" s="432">
        <f>C280*D280</f>
        <v>4759.9952400000002</v>
      </c>
      <c r="F280" s="401"/>
      <c r="G280" s="417"/>
      <c r="H280" s="49" t="s">
        <v>254</v>
      </c>
    </row>
    <row r="281" spans="1:8" ht="12.75" customHeight="1">
      <c r="A281" s="406" t="s">
        <v>255</v>
      </c>
      <c r="B281" s="169" t="s">
        <v>256</v>
      </c>
      <c r="C281" s="401">
        <v>700</v>
      </c>
      <c r="D281" s="401">
        <v>1.05</v>
      </c>
      <c r="E281" s="432">
        <f t="shared" si="11"/>
        <v>735</v>
      </c>
      <c r="F281" s="401"/>
      <c r="G281" s="417"/>
    </row>
    <row r="282" spans="1:8" ht="12.75" customHeight="1">
      <c r="A282" s="406"/>
      <c r="B282" s="401"/>
      <c r="C282" s="401"/>
      <c r="D282" s="401"/>
      <c r="E282" s="401"/>
      <c r="F282" s="401"/>
      <c r="G282" s="417"/>
    </row>
    <row r="283" spans="1:8" ht="12.75" customHeight="1">
      <c r="A283" s="406"/>
      <c r="B283" s="401"/>
      <c r="C283" s="401"/>
      <c r="D283" s="401"/>
      <c r="E283" s="401"/>
      <c r="F283" s="401"/>
      <c r="G283" s="417"/>
    </row>
    <row r="284" spans="1:8" ht="12.75" customHeight="1">
      <c r="A284" s="406"/>
      <c r="B284" s="401"/>
      <c r="C284" s="401"/>
      <c r="D284" s="401"/>
      <c r="E284" s="401"/>
      <c r="F284" s="401"/>
      <c r="G284" s="417"/>
    </row>
    <row r="285" spans="1:8" ht="12.75" customHeight="1">
      <c r="A285" s="406"/>
      <c r="B285" s="401"/>
      <c r="C285" s="401"/>
      <c r="D285" s="401"/>
      <c r="E285" s="401"/>
      <c r="F285" s="401"/>
      <c r="G285" s="417"/>
    </row>
    <row r="286" spans="1:8" ht="12.75" customHeight="1">
      <c r="A286" s="406"/>
      <c r="B286" s="401"/>
      <c r="C286" s="401"/>
      <c r="D286" s="401"/>
      <c r="E286" s="401"/>
      <c r="F286" s="401" t="s">
        <v>189</v>
      </c>
      <c r="G286" s="417">
        <f t="shared" si="12"/>
        <v>5494.9952400000002</v>
      </c>
    </row>
    <row r="287" spans="1:8" ht="12.75" customHeight="1">
      <c r="A287" s="406" t="s">
        <v>197</v>
      </c>
      <c r="B287" s="401"/>
      <c r="C287" s="401"/>
      <c r="D287" s="401"/>
      <c r="E287" s="401"/>
      <c r="F287" s="401"/>
      <c r="G287" s="417"/>
    </row>
    <row r="288" spans="1:8" ht="12.75" customHeight="1">
      <c r="A288" s="408" t="s">
        <v>198</v>
      </c>
      <c r="B288" s="169" t="s">
        <v>199</v>
      </c>
      <c r="C288" s="169" t="s">
        <v>200</v>
      </c>
      <c r="D288" s="169" t="s">
        <v>201</v>
      </c>
      <c r="E288" s="169" t="s">
        <v>186</v>
      </c>
      <c r="F288" s="401"/>
      <c r="G288" s="417"/>
    </row>
    <row r="289" spans="1:7" ht="12.75" customHeight="1">
      <c r="A289" s="406" t="s">
        <v>243</v>
      </c>
      <c r="B289" s="401"/>
      <c r="C289" s="401"/>
      <c r="D289" s="401"/>
      <c r="E289" s="403">
        <v>736.36018832027582</v>
      </c>
      <c r="F289" s="401"/>
      <c r="G289" s="417"/>
    </row>
    <row r="290" spans="1:7" ht="12.75" customHeight="1">
      <c r="A290" s="406"/>
      <c r="B290" s="401"/>
      <c r="C290" s="401"/>
      <c r="D290" s="401"/>
      <c r="E290" s="401"/>
      <c r="F290" s="401"/>
      <c r="G290" s="417"/>
    </row>
    <row r="291" spans="1:7" ht="12.75" customHeight="1">
      <c r="A291" s="406"/>
      <c r="B291" s="401"/>
      <c r="C291" s="401"/>
      <c r="D291" s="401"/>
      <c r="E291" s="401"/>
      <c r="F291" s="401"/>
      <c r="G291" s="417"/>
    </row>
    <row r="292" spans="1:7" ht="12.75" customHeight="1">
      <c r="A292" s="406"/>
      <c r="B292" s="401"/>
      <c r="C292" s="401"/>
      <c r="D292" s="401"/>
      <c r="E292" s="401"/>
      <c r="F292" s="401"/>
      <c r="G292" s="417"/>
    </row>
    <row r="293" spans="1:7" ht="12.75" customHeight="1">
      <c r="A293" s="406"/>
      <c r="B293" s="401"/>
      <c r="C293" s="401"/>
      <c r="D293" s="401"/>
      <c r="E293" s="401"/>
      <c r="F293" s="401" t="s">
        <v>189</v>
      </c>
      <c r="G293" s="417">
        <f t="shared" si="13"/>
        <v>736.36018832027582</v>
      </c>
    </row>
    <row r="294" spans="1:7" ht="12.75" customHeight="1">
      <c r="A294" s="406" t="s">
        <v>202</v>
      </c>
      <c r="B294" s="401"/>
      <c r="C294" s="401"/>
      <c r="D294" s="401"/>
      <c r="E294" s="401"/>
      <c r="F294" s="401"/>
      <c r="G294" s="417"/>
    </row>
    <row r="295" spans="1:7" ht="12.75" customHeight="1">
      <c r="A295" s="408" t="s">
        <v>203</v>
      </c>
      <c r="B295" s="169" t="s">
        <v>204</v>
      </c>
      <c r="C295" s="169" t="s">
        <v>205</v>
      </c>
      <c r="D295" s="169" t="s">
        <v>206</v>
      </c>
      <c r="E295" s="169" t="s">
        <v>207</v>
      </c>
      <c r="F295" s="169" t="s">
        <v>208</v>
      </c>
      <c r="G295" s="417"/>
    </row>
    <row r="296" spans="1:7" ht="12.75" customHeight="1">
      <c r="A296" s="406" t="s">
        <v>188</v>
      </c>
      <c r="B296" s="401">
        <f t="shared" si="18"/>
        <v>140000</v>
      </c>
      <c r="C296" s="401">
        <f t="shared" si="14"/>
        <v>105000</v>
      </c>
      <c r="D296" s="401">
        <f t="shared" si="4"/>
        <v>245000</v>
      </c>
      <c r="E296" s="432">
        <v>300</v>
      </c>
      <c r="F296" s="403">
        <f t="shared" si="5"/>
        <v>816.66666666666663</v>
      </c>
      <c r="G296" s="417"/>
    </row>
    <row r="297" spans="1:7" ht="12.75" customHeight="1">
      <c r="A297" s="406" t="s">
        <v>190</v>
      </c>
      <c r="B297" s="403">
        <f t="shared" si="18"/>
        <v>90769.230769230751</v>
      </c>
      <c r="C297" s="403">
        <f t="shared" si="14"/>
        <v>68076.923076923063</v>
      </c>
      <c r="D297" s="403">
        <f t="shared" si="4"/>
        <v>158846.15384615381</v>
      </c>
      <c r="E297" s="432">
        <v>280.11925180145698</v>
      </c>
      <c r="F297" s="403">
        <f t="shared" si="5"/>
        <v>567.06617922405724</v>
      </c>
      <c r="G297" s="417"/>
    </row>
    <row r="298" spans="1:7" ht="12.75" customHeight="1">
      <c r="A298" s="406"/>
      <c r="B298" s="401"/>
      <c r="C298" s="401"/>
      <c r="D298" s="401"/>
      <c r="E298" s="401"/>
      <c r="F298" s="401"/>
      <c r="G298" s="417"/>
    </row>
    <row r="299" spans="1:7" ht="12.75" customHeight="1">
      <c r="A299" s="406"/>
      <c r="B299" s="401"/>
      <c r="C299" s="401"/>
      <c r="D299" s="401"/>
      <c r="E299" s="401"/>
      <c r="F299" s="401"/>
      <c r="G299" s="417"/>
    </row>
    <row r="300" spans="1:7" ht="12.75" customHeight="1">
      <c r="A300" s="406"/>
      <c r="B300" s="401"/>
      <c r="C300" s="401"/>
      <c r="D300" s="401"/>
      <c r="E300" s="401"/>
      <c r="F300" s="401"/>
      <c r="G300" s="417"/>
    </row>
    <row r="301" spans="1:7" ht="12.75" customHeight="1">
      <c r="A301" s="406"/>
      <c r="B301" s="401"/>
      <c r="C301" s="401"/>
      <c r="D301" s="401"/>
      <c r="E301" s="401"/>
      <c r="F301" s="401"/>
      <c r="G301" s="417"/>
    </row>
    <row r="302" spans="1:7" ht="12.75" customHeight="1">
      <c r="A302" s="406"/>
      <c r="B302" s="401"/>
      <c r="C302" s="401"/>
      <c r="D302" s="401"/>
      <c r="E302" s="401"/>
      <c r="F302" s="401" t="s">
        <v>189</v>
      </c>
      <c r="G302" s="417">
        <f t="shared" si="6"/>
        <v>1383.7328458907239</v>
      </c>
    </row>
    <row r="303" spans="1:7" ht="12.75" customHeight="1">
      <c r="A303" s="406"/>
      <c r="B303" s="401"/>
      <c r="C303" s="401"/>
      <c r="D303" s="401"/>
      <c r="E303" s="401"/>
      <c r="F303" s="401"/>
      <c r="G303" s="417"/>
    </row>
    <row r="304" spans="1:7" ht="12.75" customHeight="1">
      <c r="A304" s="406" t="s">
        <v>209</v>
      </c>
      <c r="B304" s="401"/>
      <c r="C304" s="401" t="s">
        <v>210</v>
      </c>
      <c r="D304" s="471" t="s">
        <v>211</v>
      </c>
      <c r="E304" s="472"/>
      <c r="F304" s="472"/>
      <c r="G304" s="417">
        <f>G277+G286+G293+G302</f>
        <v>7684.2749165055357</v>
      </c>
    </row>
    <row r="305" spans="1:9" ht="12.75" customHeight="1">
      <c r="A305" s="406"/>
      <c r="B305" s="401"/>
      <c r="C305" s="401"/>
      <c r="D305" s="401"/>
      <c r="E305" s="401"/>
      <c r="F305" s="401"/>
      <c r="G305" s="417"/>
    </row>
    <row r="306" spans="1:9" ht="12.75" customHeight="1">
      <c r="A306" s="406"/>
      <c r="B306" s="401"/>
      <c r="C306" s="401"/>
      <c r="D306" s="401"/>
      <c r="E306" s="401" t="s">
        <v>212</v>
      </c>
      <c r="F306" s="401"/>
      <c r="G306" s="417">
        <f t="shared" si="8"/>
        <v>2305.2824749516608</v>
      </c>
    </row>
    <row r="307" spans="1:9" ht="12.75" customHeight="1">
      <c r="A307" s="406"/>
      <c r="B307" s="401"/>
      <c r="C307" s="401"/>
      <c r="D307" s="401"/>
      <c r="E307" s="401"/>
      <c r="F307" s="401"/>
      <c r="G307" s="417"/>
    </row>
    <row r="308" spans="1:9" ht="12.75" customHeight="1" thickBot="1">
      <c r="A308" s="411" t="s">
        <v>213</v>
      </c>
      <c r="B308" s="412"/>
      <c r="C308" s="412"/>
      <c r="D308" s="469" t="s">
        <v>214</v>
      </c>
      <c r="E308" s="470"/>
      <c r="F308" s="470"/>
      <c r="G308" s="418">
        <f t="shared" si="9"/>
        <v>9989.557391457196</v>
      </c>
    </row>
    <row r="309" spans="1:9" ht="15" customHeight="1">
      <c r="A309" s="531" t="s">
        <v>174</v>
      </c>
      <c r="B309" s="457"/>
      <c r="C309" s="457"/>
      <c r="D309" s="457"/>
      <c r="E309" s="457"/>
      <c r="F309" s="457"/>
      <c r="G309" s="457"/>
    </row>
    <row r="310" spans="1:9" ht="12.75" customHeight="1"/>
    <row r="311" spans="1:9" ht="12.75" customHeight="1">
      <c r="A311" s="1" t="s">
        <v>175</v>
      </c>
      <c r="B311" s="1"/>
      <c r="C311" s="1"/>
      <c r="D311" s="94"/>
      <c r="E311" s="94"/>
      <c r="F311" s="94"/>
      <c r="G311" s="414"/>
      <c r="H311" s="94"/>
    </row>
    <row r="312" spans="1:9" ht="12.75" customHeight="1">
      <c r="A312" s="1" t="str">
        <f t="shared" ref="A312:B341" si="19">+A4</f>
        <v xml:space="preserve">OBRA N°      Bocatoma - Acueducto </v>
      </c>
      <c r="B312" s="1"/>
      <c r="C312" s="1"/>
      <c r="D312" s="1"/>
      <c r="F312" s="95" t="s">
        <v>177</v>
      </c>
      <c r="G312" s="415">
        <f t="shared" ca="1" si="0"/>
        <v>46289</v>
      </c>
      <c r="H312" s="95"/>
      <c r="I312" s="98"/>
    </row>
    <row r="313" spans="1:9" ht="12.75" customHeight="1">
      <c r="A313" s="94"/>
      <c r="B313" s="94"/>
      <c r="C313" s="94"/>
      <c r="D313" s="94"/>
      <c r="E313" s="94"/>
      <c r="F313" s="94"/>
      <c r="G313" s="414"/>
    </row>
    <row r="314" spans="1:9" ht="12.75" customHeight="1">
      <c r="A314" s="99" t="s">
        <v>257</v>
      </c>
      <c r="B314" s="100" t="s">
        <v>258</v>
      </c>
      <c r="C314" s="100"/>
      <c r="D314" s="100"/>
      <c r="E314" s="100"/>
      <c r="F314" s="100"/>
      <c r="G314" s="138"/>
    </row>
    <row r="315" spans="1:9" ht="12.75" customHeight="1">
      <c r="A315" s="102"/>
      <c r="B315" s="103"/>
      <c r="C315" s="103" t="s">
        <v>179</v>
      </c>
      <c r="D315" s="104">
        <v>60</v>
      </c>
      <c r="E315" s="103" t="s">
        <v>180</v>
      </c>
      <c r="F315" s="103" t="s">
        <v>251</v>
      </c>
      <c r="G315" s="419"/>
    </row>
    <row r="316" spans="1:9" ht="12.75" customHeight="1">
      <c r="A316" s="1" t="s">
        <v>182</v>
      </c>
      <c r="B316" s="1"/>
      <c r="C316" s="1"/>
      <c r="D316" s="1"/>
      <c r="E316" s="1"/>
      <c r="F316" s="1"/>
      <c r="G316" s="420"/>
    </row>
    <row r="317" spans="1:9" ht="12.75" customHeight="1">
      <c r="A317" s="106" t="s">
        <v>111</v>
      </c>
      <c r="B317" s="107" t="s">
        <v>183</v>
      </c>
      <c r="C317" s="106" t="s">
        <v>184</v>
      </c>
      <c r="D317" s="107" t="s">
        <v>185</v>
      </c>
      <c r="E317" s="106" t="s">
        <v>186</v>
      </c>
      <c r="F317" s="108"/>
      <c r="G317" s="421"/>
    </row>
    <row r="318" spans="1:9" ht="12.75" customHeight="1">
      <c r="A318" s="110" t="s">
        <v>187</v>
      </c>
      <c r="B318" s="100"/>
      <c r="C318" s="110"/>
      <c r="D318" s="100"/>
      <c r="E318" s="111">
        <f t="shared" si="1"/>
        <v>288.46153846153845</v>
      </c>
      <c r="F318" s="112"/>
      <c r="G318" s="422"/>
    </row>
    <row r="319" spans="1:9" ht="12.75" customHeight="1">
      <c r="A319" s="110"/>
      <c r="B319" s="110"/>
      <c r="C319" s="110"/>
      <c r="D319" s="110"/>
      <c r="E319" s="101"/>
      <c r="F319" s="112"/>
      <c r="G319" s="422"/>
    </row>
    <row r="320" spans="1:9" ht="12.75" customHeight="1">
      <c r="A320" s="110"/>
      <c r="B320" s="110"/>
      <c r="C320" s="110"/>
      <c r="D320" s="110"/>
      <c r="E320" s="101"/>
      <c r="F320" s="112"/>
      <c r="G320" s="422"/>
    </row>
    <row r="321" spans="1:7" ht="12.75" customHeight="1">
      <c r="A321" s="110"/>
      <c r="B321" s="110"/>
      <c r="C321" s="110"/>
      <c r="D321" s="110"/>
      <c r="E321" s="101"/>
      <c r="F321" s="102" t="s">
        <v>189</v>
      </c>
      <c r="G321" s="419">
        <f t="shared" si="2"/>
        <v>288.46153846153845</v>
      </c>
    </row>
    <row r="322" spans="1:7" ht="12.75" customHeight="1">
      <c r="A322" s="1" t="s">
        <v>191</v>
      </c>
      <c r="B322" s="1"/>
      <c r="C322" s="1"/>
      <c r="D322" s="1"/>
      <c r="E322" s="1"/>
      <c r="F322" s="1"/>
      <c r="G322" s="420"/>
    </row>
    <row r="323" spans="1:7" ht="12.75" customHeight="1">
      <c r="A323" s="115" t="s">
        <v>111</v>
      </c>
      <c r="B323" s="106" t="s">
        <v>193</v>
      </c>
      <c r="C323" s="80" t="s">
        <v>194</v>
      </c>
      <c r="D323" s="106" t="s">
        <v>195</v>
      </c>
      <c r="E323" s="81" t="s">
        <v>186</v>
      </c>
      <c r="F323" s="108"/>
      <c r="G323" s="421"/>
    </row>
    <row r="324" spans="1:7" ht="12.75" customHeight="1">
      <c r="A324" s="110" t="s">
        <v>259</v>
      </c>
      <c r="B324" s="106" t="s">
        <v>253</v>
      </c>
      <c r="C324" s="111">
        <f>1.19*3680.42</f>
        <v>4379.6998000000003</v>
      </c>
      <c r="D324" s="110">
        <v>1.05</v>
      </c>
      <c r="E324" s="101">
        <f t="shared" si="11"/>
        <v>4598.6847900000002</v>
      </c>
      <c r="F324" s="112"/>
      <c r="G324" s="422"/>
    </row>
    <row r="325" spans="1:7" ht="12.75" customHeight="1">
      <c r="A325" s="63" t="s">
        <v>255</v>
      </c>
      <c r="B325" s="123" t="s">
        <v>231</v>
      </c>
      <c r="C325" s="63">
        <v>510</v>
      </c>
      <c r="D325" s="63">
        <v>1.05</v>
      </c>
      <c r="E325" s="101">
        <f t="shared" si="11"/>
        <v>535.5</v>
      </c>
      <c r="F325" s="112"/>
      <c r="G325" s="422"/>
    </row>
    <row r="326" spans="1:7" ht="12.75" customHeight="1">
      <c r="A326" s="110"/>
      <c r="B326" s="106"/>
      <c r="C326" s="110"/>
      <c r="D326" s="110"/>
      <c r="E326" s="101"/>
      <c r="F326" s="112"/>
      <c r="G326" s="422"/>
    </row>
    <row r="327" spans="1:7" ht="12.75" customHeight="1">
      <c r="A327" s="63"/>
      <c r="B327" s="63"/>
      <c r="C327" s="63"/>
      <c r="D327" s="63"/>
      <c r="E327" s="101"/>
      <c r="F327" s="112"/>
      <c r="G327" s="422"/>
    </row>
    <row r="328" spans="1:7" ht="12.75" customHeight="1">
      <c r="A328" s="110"/>
      <c r="B328" s="110"/>
      <c r="C328" s="110"/>
      <c r="D328" s="110"/>
      <c r="E328" s="101"/>
      <c r="F328" s="112"/>
      <c r="G328" s="422"/>
    </row>
    <row r="329" spans="1:7" ht="12.75" customHeight="1">
      <c r="A329" s="110"/>
      <c r="B329" s="110"/>
      <c r="C329" s="110"/>
      <c r="D329" s="110"/>
      <c r="E329" s="101"/>
      <c r="F329" s="112"/>
      <c r="G329" s="422"/>
    </row>
    <row r="330" spans="1:7" ht="12.75" customHeight="1">
      <c r="A330" s="116"/>
      <c r="B330" s="116"/>
      <c r="C330" s="116"/>
      <c r="D330" s="116"/>
      <c r="E330" s="101"/>
      <c r="F330" s="102" t="s">
        <v>189</v>
      </c>
      <c r="G330" s="419">
        <f>E324+E325+E326</f>
        <v>5134.1847900000002</v>
      </c>
    </row>
    <row r="331" spans="1:7" ht="12.75" customHeight="1">
      <c r="A331" s="1" t="s">
        <v>197</v>
      </c>
      <c r="B331" s="1"/>
      <c r="C331" s="1"/>
      <c r="D331" s="1"/>
      <c r="E331" s="1"/>
      <c r="F331" s="1"/>
      <c r="G331" s="420"/>
    </row>
    <row r="332" spans="1:7" ht="12.75" customHeight="1">
      <c r="A332" s="117" t="s">
        <v>198</v>
      </c>
      <c r="B332" s="117" t="s">
        <v>199</v>
      </c>
      <c r="C332" s="117" t="s">
        <v>200</v>
      </c>
      <c r="D332" s="117" t="s">
        <v>201</v>
      </c>
      <c r="E332" s="81" t="s">
        <v>186</v>
      </c>
      <c r="F332" s="108"/>
      <c r="G332" s="421"/>
    </row>
    <row r="333" spans="1:7" ht="12.75" customHeight="1">
      <c r="A333" s="110" t="s">
        <v>243</v>
      </c>
      <c r="B333" s="110"/>
      <c r="C333" s="110"/>
      <c r="D333" s="110"/>
      <c r="E333" s="101">
        <v>500</v>
      </c>
      <c r="F333" s="112"/>
      <c r="G333" s="422"/>
    </row>
    <row r="334" spans="1:7" ht="12.75" customHeight="1">
      <c r="A334" s="63"/>
      <c r="B334" s="63"/>
      <c r="C334" s="63"/>
      <c r="D334" s="63"/>
      <c r="E334" s="113"/>
      <c r="F334" s="112"/>
      <c r="G334" s="422"/>
    </row>
    <row r="335" spans="1:7" ht="12.75" customHeight="1">
      <c r="A335" s="110"/>
      <c r="B335" s="110"/>
      <c r="C335" s="110"/>
      <c r="D335" s="110"/>
      <c r="E335" s="101"/>
      <c r="F335" s="112"/>
      <c r="G335" s="422"/>
    </row>
    <row r="336" spans="1:7" ht="12.75" customHeight="1">
      <c r="A336" s="110"/>
      <c r="B336" s="110"/>
      <c r="C336" s="110"/>
      <c r="D336" s="110"/>
      <c r="E336" s="101"/>
      <c r="F336" s="112"/>
      <c r="G336" s="422"/>
    </row>
    <row r="337" spans="1:7" ht="12.75" customHeight="1">
      <c r="A337" s="116"/>
      <c r="B337" s="116"/>
      <c r="C337" s="116"/>
      <c r="D337" s="116"/>
      <c r="E337" s="105"/>
      <c r="F337" s="102" t="s">
        <v>189</v>
      </c>
      <c r="G337" s="419">
        <f t="shared" si="13"/>
        <v>500</v>
      </c>
    </row>
    <row r="338" spans="1:7" ht="12.75" customHeight="1">
      <c r="A338" s="1" t="s">
        <v>202</v>
      </c>
      <c r="B338" s="1"/>
      <c r="C338" s="1"/>
      <c r="D338" s="1"/>
      <c r="E338" s="1"/>
      <c r="F338" s="1"/>
      <c r="G338" s="420"/>
    </row>
    <row r="339" spans="1:7" ht="12.75" customHeight="1">
      <c r="A339" s="117" t="s">
        <v>203</v>
      </c>
      <c r="B339" s="80" t="s">
        <v>204</v>
      </c>
      <c r="C339" s="117" t="s">
        <v>205</v>
      </c>
      <c r="D339" s="80" t="s">
        <v>206</v>
      </c>
      <c r="E339" s="117" t="s">
        <v>207</v>
      </c>
      <c r="F339" s="80" t="s">
        <v>208</v>
      </c>
      <c r="G339" s="423"/>
    </row>
    <row r="340" spans="1:7" ht="12.75" customHeight="1">
      <c r="A340" s="110" t="s">
        <v>188</v>
      </c>
      <c r="B340" s="100">
        <f t="shared" si="19"/>
        <v>140000</v>
      </c>
      <c r="C340" s="110">
        <f t="shared" si="14"/>
        <v>105000</v>
      </c>
      <c r="D340" s="100">
        <f t="shared" si="4"/>
        <v>245000</v>
      </c>
      <c r="E340" s="124">
        <v>70</v>
      </c>
      <c r="F340" s="119">
        <f t="shared" si="5"/>
        <v>3500</v>
      </c>
      <c r="G340" s="424"/>
    </row>
    <row r="341" spans="1:7" ht="12.75" customHeight="1">
      <c r="A341" s="63" t="s">
        <v>190</v>
      </c>
      <c r="B341" s="100">
        <f t="shared" si="19"/>
        <v>90769.230769230751</v>
      </c>
      <c r="C341" s="111">
        <f t="shared" si="14"/>
        <v>68076.923076923063</v>
      </c>
      <c r="D341" s="120">
        <f t="shared" si="4"/>
        <v>158846.15384615381</v>
      </c>
      <c r="E341" s="124">
        <v>70</v>
      </c>
      <c r="F341" s="119">
        <f t="shared" si="5"/>
        <v>2269.2307692307686</v>
      </c>
      <c r="G341" s="424"/>
    </row>
    <row r="342" spans="1:7" ht="12.75" customHeight="1">
      <c r="A342" s="110"/>
      <c r="B342" s="100"/>
      <c r="C342" s="110"/>
      <c r="D342" s="100"/>
      <c r="E342" s="110"/>
      <c r="F342" s="101"/>
      <c r="G342" s="424"/>
    </row>
    <row r="343" spans="1:7" ht="12.75" customHeight="1">
      <c r="A343" s="63"/>
      <c r="B343" s="1"/>
      <c r="C343" s="63"/>
      <c r="D343" s="1"/>
      <c r="E343" s="63"/>
      <c r="F343" s="101"/>
      <c r="G343" s="424"/>
    </row>
    <row r="344" spans="1:7" ht="12.75" customHeight="1">
      <c r="A344" s="110"/>
      <c r="B344" s="100"/>
      <c r="C344" s="110"/>
      <c r="D344" s="100"/>
      <c r="E344" s="110"/>
      <c r="F344" s="101"/>
      <c r="G344" s="424"/>
    </row>
    <row r="345" spans="1:7" ht="12.75" customHeight="1">
      <c r="A345" s="116"/>
      <c r="B345" s="103"/>
      <c r="C345" s="116"/>
      <c r="D345" s="103"/>
      <c r="E345" s="116"/>
      <c r="F345" s="101"/>
      <c r="G345" s="425"/>
    </row>
    <row r="346" spans="1:7" ht="12.75" customHeight="1">
      <c r="A346" s="1"/>
      <c r="B346" s="1"/>
      <c r="C346" s="1"/>
      <c r="D346" s="1"/>
      <c r="E346" s="1"/>
      <c r="F346" s="1" t="s">
        <v>189</v>
      </c>
      <c r="G346" s="225">
        <f t="shared" si="6"/>
        <v>5769.2307692307686</v>
      </c>
    </row>
    <row r="347" spans="1:7" ht="12.75" customHeight="1">
      <c r="A347" s="1"/>
      <c r="B347" s="1"/>
      <c r="C347" s="1"/>
      <c r="D347" s="1"/>
      <c r="E347" s="1"/>
      <c r="F347" s="1"/>
      <c r="G347" s="420"/>
    </row>
    <row r="348" spans="1:7" ht="12.75" customHeight="1">
      <c r="A348" s="103" t="s">
        <v>209</v>
      </c>
      <c r="B348" s="1"/>
      <c r="C348" s="1" t="s">
        <v>210</v>
      </c>
      <c r="D348" s="473" t="s">
        <v>211</v>
      </c>
      <c r="E348" s="457"/>
      <c r="F348" s="457"/>
      <c r="G348" s="225">
        <f t="shared" si="7"/>
        <v>11691.877097692308</v>
      </c>
    </row>
    <row r="349" spans="1:7" ht="12.75" customHeight="1">
      <c r="A349" s="1"/>
      <c r="B349" s="1"/>
      <c r="C349" s="1"/>
      <c r="D349" s="1"/>
      <c r="E349" s="1"/>
      <c r="F349" s="1"/>
      <c r="G349" s="420"/>
    </row>
    <row r="350" spans="1:7" ht="12.75" customHeight="1">
      <c r="A350" s="1"/>
      <c r="B350" s="1"/>
      <c r="C350" s="1"/>
      <c r="D350" s="1"/>
      <c r="E350" s="1" t="s">
        <v>212</v>
      </c>
      <c r="F350" s="1"/>
      <c r="G350" s="225">
        <f t="shared" si="8"/>
        <v>3507.5631293076922</v>
      </c>
    </row>
    <row r="351" spans="1:7" ht="12.75" customHeight="1">
      <c r="A351" s="1"/>
      <c r="B351" s="1"/>
      <c r="C351" s="1"/>
      <c r="D351" s="1"/>
      <c r="E351" s="1"/>
      <c r="F351" s="1"/>
      <c r="G351" s="420"/>
    </row>
    <row r="352" spans="1:7" ht="12.75" customHeight="1">
      <c r="A352" s="103" t="s">
        <v>213</v>
      </c>
      <c r="B352" s="1"/>
      <c r="C352" s="1"/>
      <c r="D352" s="473" t="s">
        <v>214</v>
      </c>
      <c r="E352" s="457"/>
      <c r="F352" s="457"/>
      <c r="G352" s="225">
        <f t="shared" si="9"/>
        <v>15199.440226999999</v>
      </c>
    </row>
    <row r="353" spans="1:9" ht="15" customHeight="1">
      <c r="A353" s="531" t="s">
        <v>174</v>
      </c>
      <c r="B353" s="457"/>
      <c r="C353" s="457"/>
      <c r="D353" s="457"/>
      <c r="E353" s="457"/>
      <c r="F353" s="457"/>
      <c r="G353" s="457"/>
    </row>
    <row r="354" spans="1:9" ht="12.75" customHeight="1" thickBot="1"/>
    <row r="355" spans="1:9" ht="12.75" customHeight="1">
      <c r="A355" s="404" t="s">
        <v>175</v>
      </c>
      <c r="B355" s="405"/>
      <c r="C355" s="405"/>
      <c r="D355" s="428"/>
      <c r="E355" s="428"/>
      <c r="F355" s="428"/>
      <c r="G355" s="429"/>
      <c r="H355" s="94"/>
    </row>
    <row r="356" spans="1:9" ht="12.75" customHeight="1">
      <c r="A356" s="406" t="str">
        <f t="shared" ref="A356:B385" si="20">+A4</f>
        <v xml:space="preserve">OBRA N°      Bocatoma - Acueducto </v>
      </c>
      <c r="B356" s="401"/>
      <c r="C356" s="401"/>
      <c r="D356" s="401"/>
      <c r="E356" s="195"/>
      <c r="F356" s="402" t="s">
        <v>177</v>
      </c>
      <c r="G356" s="430">
        <f t="shared" ca="1" si="0"/>
        <v>46289</v>
      </c>
      <c r="H356" s="95"/>
      <c r="I356" s="98"/>
    </row>
    <row r="357" spans="1:9" ht="12.75" customHeight="1">
      <c r="A357" s="433"/>
      <c r="B357" s="426"/>
      <c r="C357" s="426"/>
      <c r="D357" s="426"/>
      <c r="E357" s="426"/>
      <c r="F357" s="426"/>
      <c r="G357" s="431"/>
    </row>
    <row r="358" spans="1:9" ht="12.75" customHeight="1">
      <c r="A358" s="406" t="s">
        <v>260</v>
      </c>
      <c r="B358" s="401" t="s">
        <v>261</v>
      </c>
      <c r="C358" s="401"/>
      <c r="D358" s="401"/>
      <c r="E358" s="401"/>
      <c r="F358" s="401"/>
      <c r="G358" s="417"/>
    </row>
    <row r="359" spans="1:9" ht="12.75" customHeight="1">
      <c r="A359" s="406"/>
      <c r="B359" s="401"/>
      <c r="C359" s="401" t="s">
        <v>179</v>
      </c>
      <c r="D359" s="169">
        <v>1</v>
      </c>
      <c r="E359" s="401" t="s">
        <v>180</v>
      </c>
      <c r="F359" s="401" t="s">
        <v>262</v>
      </c>
      <c r="G359" s="417"/>
    </row>
    <row r="360" spans="1:9" ht="12.75" customHeight="1">
      <c r="A360" s="406" t="s">
        <v>182</v>
      </c>
      <c r="B360" s="401"/>
      <c r="C360" s="401"/>
      <c r="D360" s="401"/>
      <c r="E360" s="401"/>
      <c r="F360" s="401"/>
      <c r="G360" s="417"/>
    </row>
    <row r="361" spans="1:9" ht="12.75" customHeight="1">
      <c r="A361" s="408" t="s">
        <v>111</v>
      </c>
      <c r="B361" s="169" t="s">
        <v>183</v>
      </c>
      <c r="C361" s="169" t="s">
        <v>184</v>
      </c>
      <c r="D361" s="169" t="s">
        <v>185</v>
      </c>
      <c r="E361" s="169" t="s">
        <v>186</v>
      </c>
      <c r="F361" s="401"/>
      <c r="G361" s="417"/>
    </row>
    <row r="362" spans="1:9" ht="12.75" customHeight="1">
      <c r="A362" s="406" t="s">
        <v>187</v>
      </c>
      <c r="B362" s="401"/>
      <c r="C362" s="401"/>
      <c r="D362" s="401"/>
      <c r="E362" s="403">
        <f t="shared" si="1"/>
        <v>13541.538454168687</v>
      </c>
      <c r="F362" s="401"/>
      <c r="G362" s="417"/>
    </row>
    <row r="363" spans="1:9" ht="12.75" customHeight="1">
      <c r="A363" s="406"/>
      <c r="B363" s="401"/>
      <c r="C363" s="401"/>
      <c r="D363" s="401"/>
      <c r="E363" s="401"/>
      <c r="F363" s="401"/>
      <c r="G363" s="417"/>
    </row>
    <row r="364" spans="1:9" ht="12.75" customHeight="1">
      <c r="A364" s="406"/>
      <c r="B364" s="401"/>
      <c r="C364" s="401"/>
      <c r="D364" s="401"/>
      <c r="E364" s="401"/>
      <c r="F364" s="401"/>
      <c r="G364" s="417"/>
    </row>
    <row r="365" spans="1:9" ht="12.75" customHeight="1">
      <c r="A365" s="406"/>
      <c r="B365" s="401"/>
      <c r="C365" s="401"/>
      <c r="D365" s="401"/>
      <c r="E365" s="401"/>
      <c r="F365" s="401" t="s">
        <v>189</v>
      </c>
      <c r="G365" s="417">
        <f t="shared" si="2"/>
        <v>13541.538454168687</v>
      </c>
    </row>
    <row r="366" spans="1:9" ht="12.75" customHeight="1">
      <c r="A366" s="406" t="s">
        <v>191</v>
      </c>
      <c r="B366" s="401"/>
      <c r="C366" s="401"/>
      <c r="D366" s="401"/>
      <c r="E366" s="401"/>
      <c r="F366" s="401"/>
      <c r="G366" s="417"/>
    </row>
    <row r="367" spans="1:9" ht="12.75" customHeight="1">
      <c r="A367" s="408" t="s">
        <v>111</v>
      </c>
      <c r="B367" s="169" t="s">
        <v>193</v>
      </c>
      <c r="C367" s="169" t="s">
        <v>194</v>
      </c>
      <c r="D367" s="169" t="s">
        <v>195</v>
      </c>
      <c r="E367" s="169" t="s">
        <v>186</v>
      </c>
      <c r="F367" s="401"/>
      <c r="G367" s="417"/>
    </row>
    <row r="368" spans="1:9" ht="12.75" customHeight="1">
      <c r="A368" s="406" t="s">
        <v>263</v>
      </c>
      <c r="B368" s="169" t="s">
        <v>226</v>
      </c>
      <c r="C368" s="403">
        <f>+G242</f>
        <v>777000</v>
      </c>
      <c r="D368" s="427">
        <v>0.60999999999999988</v>
      </c>
      <c r="E368" s="401">
        <f t="shared" si="11"/>
        <v>473969.99999999988</v>
      </c>
      <c r="F368" s="401"/>
      <c r="G368" s="417"/>
    </row>
    <row r="369" spans="1:10" ht="12.75" customHeight="1">
      <c r="A369" s="406" t="s">
        <v>264</v>
      </c>
      <c r="B369" s="169" t="s">
        <v>193</v>
      </c>
      <c r="C369" s="401">
        <v>105000</v>
      </c>
      <c r="D369" s="427">
        <v>1</v>
      </c>
      <c r="E369" s="401">
        <f t="shared" si="11"/>
        <v>105000</v>
      </c>
      <c r="F369" s="401"/>
      <c r="G369" s="417"/>
    </row>
    <row r="370" spans="1:10" ht="12.75" customHeight="1">
      <c r="A370" s="406"/>
      <c r="B370" s="169"/>
      <c r="C370" s="401"/>
      <c r="D370" s="401"/>
      <c r="E370" s="401"/>
      <c r="F370" s="401"/>
      <c r="G370" s="417"/>
    </row>
    <row r="371" spans="1:10" ht="12.75" customHeight="1">
      <c r="A371" s="406"/>
      <c r="B371" s="401"/>
      <c r="C371" s="401"/>
      <c r="D371" s="401"/>
      <c r="E371" s="401"/>
      <c r="F371" s="401"/>
      <c r="G371" s="417"/>
    </row>
    <row r="372" spans="1:10" ht="12.75" customHeight="1">
      <c r="A372" s="406"/>
      <c r="B372" s="401"/>
      <c r="C372" s="401"/>
      <c r="D372" s="401"/>
      <c r="E372" s="401"/>
      <c r="F372" s="401"/>
      <c r="G372" s="417"/>
    </row>
    <row r="373" spans="1:10" ht="12.75" customHeight="1">
      <c r="A373" s="406"/>
      <c r="B373" s="401"/>
      <c r="C373" s="401"/>
      <c r="D373" s="401"/>
      <c r="E373" s="401"/>
      <c r="F373" s="401"/>
      <c r="G373" s="417"/>
    </row>
    <row r="374" spans="1:10" ht="12.75" customHeight="1">
      <c r="A374" s="406"/>
      <c r="B374" s="401"/>
      <c r="C374" s="401"/>
      <c r="D374" s="401"/>
      <c r="E374" s="401"/>
      <c r="F374" s="401" t="s">
        <v>189</v>
      </c>
      <c r="G374" s="417">
        <f t="shared" si="12"/>
        <v>578969.99999999988</v>
      </c>
    </row>
    <row r="375" spans="1:10" ht="12.75" customHeight="1">
      <c r="A375" s="406" t="s">
        <v>197</v>
      </c>
      <c r="B375" s="401"/>
      <c r="C375" s="401"/>
      <c r="D375" s="401"/>
      <c r="E375" s="401"/>
      <c r="F375" s="401"/>
      <c r="G375" s="417"/>
      <c r="J375" s="49">
        <f>12000*1.19</f>
        <v>14280</v>
      </c>
    </row>
    <row r="376" spans="1:10" ht="12.75" customHeight="1">
      <c r="A376" s="408" t="s">
        <v>198</v>
      </c>
      <c r="B376" s="169" t="s">
        <v>199</v>
      </c>
      <c r="C376" s="169" t="s">
        <v>200</v>
      </c>
      <c r="D376" s="169" t="s">
        <v>201</v>
      </c>
      <c r="E376" s="169" t="s">
        <v>186</v>
      </c>
      <c r="F376" s="401"/>
      <c r="G376" s="417"/>
    </row>
    <row r="377" spans="1:10" ht="12.75" customHeight="1">
      <c r="A377" s="406" t="s">
        <v>243</v>
      </c>
      <c r="B377" s="401"/>
      <c r="C377" s="401"/>
      <c r="D377" s="401"/>
      <c r="E377" s="401">
        <v>20000</v>
      </c>
      <c r="F377" s="401"/>
      <c r="G377" s="417"/>
      <c r="H377" s="49">
        <v>90000</v>
      </c>
    </row>
    <row r="378" spans="1:10" ht="12.75" customHeight="1">
      <c r="A378" s="406"/>
      <c r="B378" s="401"/>
      <c r="C378" s="401"/>
      <c r="D378" s="401"/>
      <c r="E378" s="401"/>
      <c r="F378" s="401"/>
      <c r="G378" s="417"/>
    </row>
    <row r="379" spans="1:10" ht="12.75" customHeight="1">
      <c r="A379" s="406"/>
      <c r="B379" s="401"/>
      <c r="C379" s="401"/>
      <c r="D379" s="401"/>
      <c r="E379" s="401"/>
      <c r="F379" s="401"/>
      <c r="G379" s="417"/>
    </row>
    <row r="380" spans="1:10" ht="12.75" customHeight="1">
      <c r="A380" s="406"/>
      <c r="B380" s="401"/>
      <c r="C380" s="401"/>
      <c r="D380" s="401"/>
      <c r="E380" s="401"/>
      <c r="F380" s="401"/>
      <c r="G380" s="417"/>
    </row>
    <row r="381" spans="1:10" ht="12.75" customHeight="1">
      <c r="A381" s="406"/>
      <c r="B381" s="401"/>
      <c r="C381" s="401"/>
      <c r="D381" s="401"/>
      <c r="E381" s="401"/>
      <c r="F381" s="401" t="s">
        <v>189</v>
      </c>
      <c r="G381" s="417">
        <f t="shared" si="13"/>
        <v>20000</v>
      </c>
    </row>
    <row r="382" spans="1:10" ht="12.75" customHeight="1">
      <c r="A382" s="406" t="s">
        <v>202</v>
      </c>
      <c r="B382" s="401"/>
      <c r="C382" s="401"/>
      <c r="D382" s="401"/>
      <c r="E382" s="401"/>
      <c r="F382" s="401"/>
      <c r="G382" s="417"/>
    </row>
    <row r="383" spans="1:10" ht="12.75" customHeight="1">
      <c r="A383" s="408" t="s">
        <v>203</v>
      </c>
      <c r="B383" s="169" t="s">
        <v>204</v>
      </c>
      <c r="C383" s="169" t="s">
        <v>205</v>
      </c>
      <c r="D383" s="169" t="s">
        <v>206</v>
      </c>
      <c r="E383" s="169" t="s">
        <v>207</v>
      </c>
      <c r="F383" s="169" t="s">
        <v>208</v>
      </c>
      <c r="G383" s="417"/>
    </row>
    <row r="384" spans="1:10" ht="12.75" customHeight="1">
      <c r="A384" s="406" t="s">
        <v>188</v>
      </c>
      <c r="B384" s="401">
        <f t="shared" si="20"/>
        <v>140000</v>
      </c>
      <c r="C384" s="401">
        <f t="shared" si="14"/>
        <v>105000</v>
      </c>
      <c r="D384" s="401">
        <f t="shared" si="4"/>
        <v>245000</v>
      </c>
      <c r="E384" s="432">
        <v>1.4854486674552247</v>
      </c>
      <c r="F384" s="403">
        <f t="shared" si="5"/>
        <v>164933.33318593787</v>
      </c>
      <c r="G384" s="417"/>
    </row>
    <row r="385" spans="1:9" ht="12.75" customHeight="1">
      <c r="A385" s="406" t="s">
        <v>190</v>
      </c>
      <c r="B385" s="401">
        <f t="shared" si="20"/>
        <v>90769.230769230751</v>
      </c>
      <c r="C385" s="403">
        <f t="shared" si="14"/>
        <v>68076.923076923063</v>
      </c>
      <c r="D385" s="403">
        <f t="shared" si="4"/>
        <v>158846.15384615381</v>
      </c>
      <c r="E385" s="432">
        <v>1.5</v>
      </c>
      <c r="F385" s="403">
        <f t="shared" si="5"/>
        <v>105897.43589743588</v>
      </c>
      <c r="G385" s="417"/>
    </row>
    <row r="386" spans="1:9" ht="12.75" customHeight="1">
      <c r="A386" s="406"/>
      <c r="B386" s="401"/>
      <c r="C386" s="401"/>
      <c r="D386" s="401"/>
      <c r="E386" s="401"/>
      <c r="F386" s="401"/>
      <c r="G386" s="417"/>
    </row>
    <row r="387" spans="1:9" ht="12.75" customHeight="1">
      <c r="A387" s="406"/>
      <c r="B387" s="401"/>
      <c r="C387" s="401"/>
      <c r="D387" s="401"/>
      <c r="E387" s="401"/>
      <c r="F387" s="401"/>
      <c r="G387" s="417"/>
    </row>
    <row r="388" spans="1:9" ht="12.75" customHeight="1">
      <c r="A388" s="406"/>
      <c r="B388" s="401"/>
      <c r="C388" s="401"/>
      <c r="D388" s="401"/>
      <c r="E388" s="401"/>
      <c r="F388" s="401"/>
      <c r="G388" s="417"/>
    </row>
    <row r="389" spans="1:9" ht="12.75" customHeight="1">
      <c r="A389" s="406"/>
      <c r="B389" s="401"/>
      <c r="C389" s="401"/>
      <c r="D389" s="401"/>
      <c r="E389" s="401"/>
      <c r="F389" s="401"/>
      <c r="G389" s="417"/>
    </row>
    <row r="390" spans="1:9" ht="12.75" customHeight="1">
      <c r="A390" s="406"/>
      <c r="B390" s="401"/>
      <c r="C390" s="401"/>
      <c r="D390" s="401"/>
      <c r="E390" s="401"/>
      <c r="F390" s="401" t="s">
        <v>189</v>
      </c>
      <c r="G390" s="417">
        <f t="shared" si="6"/>
        <v>270830.76908337371</v>
      </c>
    </row>
    <row r="391" spans="1:9" ht="12.75" customHeight="1">
      <c r="A391" s="406"/>
      <c r="B391" s="401"/>
      <c r="C391" s="401"/>
      <c r="D391" s="401"/>
      <c r="E391" s="401"/>
      <c r="F391" s="401"/>
      <c r="G391" s="417"/>
    </row>
    <row r="392" spans="1:9" ht="12.75" customHeight="1">
      <c r="A392" s="406" t="s">
        <v>209</v>
      </c>
      <c r="B392" s="401"/>
      <c r="C392" s="401" t="s">
        <v>210</v>
      </c>
      <c r="D392" s="471" t="s">
        <v>211</v>
      </c>
      <c r="E392" s="472"/>
      <c r="F392" s="472"/>
      <c r="G392" s="417">
        <f t="shared" si="7"/>
        <v>883342.30753754231</v>
      </c>
    </row>
    <row r="393" spans="1:9" ht="12.75" customHeight="1">
      <c r="A393" s="406"/>
      <c r="B393" s="401"/>
      <c r="C393" s="401"/>
      <c r="D393" s="401"/>
      <c r="E393" s="401"/>
      <c r="F393" s="401"/>
      <c r="G393" s="417"/>
    </row>
    <row r="394" spans="1:9" ht="12.75" customHeight="1">
      <c r="A394" s="406"/>
      <c r="B394" s="401"/>
      <c r="C394" s="401"/>
      <c r="D394" s="401"/>
      <c r="E394" s="401" t="s">
        <v>212</v>
      </c>
      <c r="F394" s="401"/>
      <c r="G394" s="417">
        <f t="shared" si="8"/>
        <v>265002.69226126268</v>
      </c>
    </row>
    <row r="395" spans="1:9" ht="12.75" customHeight="1">
      <c r="A395" s="406"/>
      <c r="B395" s="401"/>
      <c r="C395" s="401"/>
      <c r="D395" s="401"/>
      <c r="E395" s="401"/>
      <c r="F395" s="401"/>
      <c r="G395" s="417"/>
    </row>
    <row r="396" spans="1:9" ht="12.75" customHeight="1" thickBot="1">
      <c r="A396" s="411" t="s">
        <v>213</v>
      </c>
      <c r="B396" s="412"/>
      <c r="C396" s="412"/>
      <c r="D396" s="469" t="s">
        <v>214</v>
      </c>
      <c r="E396" s="470"/>
      <c r="F396" s="470"/>
      <c r="G396" s="418">
        <f t="shared" si="9"/>
        <v>1148344.999798805</v>
      </c>
    </row>
    <row r="397" spans="1:9" ht="15" customHeight="1">
      <c r="A397" s="468" t="s">
        <v>174</v>
      </c>
      <c r="B397" s="457"/>
      <c r="C397" s="457"/>
      <c r="D397" s="457"/>
      <c r="E397" s="457"/>
      <c r="F397" s="457"/>
      <c r="G397" s="457"/>
    </row>
    <row r="398" spans="1:9" ht="12.75" customHeight="1" thickBot="1"/>
    <row r="399" spans="1:9" ht="12.75" customHeight="1">
      <c r="A399" s="404" t="s">
        <v>175</v>
      </c>
      <c r="B399" s="405"/>
      <c r="C399" s="405"/>
      <c r="D399" s="428"/>
      <c r="E399" s="428"/>
      <c r="F399" s="428"/>
      <c r="G399" s="429"/>
      <c r="H399" s="94"/>
    </row>
    <row r="400" spans="1:9" ht="12.75" customHeight="1">
      <c r="A400" s="406" t="str">
        <f t="shared" ref="A400:B429" si="21">+A4</f>
        <v xml:space="preserve">OBRA N°      Bocatoma - Acueducto </v>
      </c>
      <c r="B400" s="401"/>
      <c r="C400" s="401"/>
      <c r="D400" s="401"/>
      <c r="E400" s="195"/>
      <c r="F400" s="402" t="s">
        <v>177</v>
      </c>
      <c r="G400" s="430">
        <f t="shared" ca="1" si="0"/>
        <v>46289</v>
      </c>
      <c r="H400" s="95"/>
      <c r="I400" s="98"/>
    </row>
    <row r="401" spans="1:7" ht="12.75" customHeight="1">
      <c r="A401" s="433"/>
      <c r="B401" s="426"/>
      <c r="C401" s="426"/>
      <c r="D401" s="426"/>
      <c r="E401" s="426"/>
      <c r="F401" s="426"/>
      <c r="G401" s="431"/>
    </row>
    <row r="402" spans="1:7" ht="12.75" customHeight="1">
      <c r="A402" s="406" t="s">
        <v>265</v>
      </c>
      <c r="B402" s="401" t="s">
        <v>266</v>
      </c>
      <c r="C402" s="401"/>
      <c r="D402" s="401"/>
      <c r="E402" s="401"/>
      <c r="F402" s="401"/>
      <c r="G402" s="417"/>
    </row>
    <row r="403" spans="1:7" ht="12.75" customHeight="1">
      <c r="A403" s="406"/>
      <c r="B403" s="401"/>
      <c r="C403" s="401" t="s">
        <v>179</v>
      </c>
      <c r="D403" s="169">
        <v>1</v>
      </c>
      <c r="E403" s="401" t="s">
        <v>180</v>
      </c>
      <c r="F403" s="401" t="s">
        <v>262</v>
      </c>
      <c r="G403" s="417"/>
    </row>
    <row r="404" spans="1:7" ht="12.75" customHeight="1">
      <c r="A404" s="406" t="s">
        <v>182</v>
      </c>
      <c r="B404" s="401"/>
      <c r="C404" s="401"/>
      <c r="D404" s="401"/>
      <c r="E404" s="401"/>
      <c r="F404" s="401"/>
      <c r="G404" s="417"/>
    </row>
    <row r="405" spans="1:7" ht="12.75" customHeight="1">
      <c r="A405" s="408" t="s">
        <v>111</v>
      </c>
      <c r="B405" s="169" t="s">
        <v>183</v>
      </c>
      <c r="C405" s="169" t="s">
        <v>184</v>
      </c>
      <c r="D405" s="169" t="s">
        <v>185</v>
      </c>
      <c r="E405" s="169" t="s">
        <v>186</v>
      </c>
      <c r="F405" s="401"/>
      <c r="G405" s="417"/>
    </row>
    <row r="406" spans="1:7" ht="12.75" customHeight="1">
      <c r="A406" s="406" t="s">
        <v>187</v>
      </c>
      <c r="B406" s="401"/>
      <c r="C406" s="401"/>
      <c r="D406" s="401"/>
      <c r="E406" s="403">
        <f t="shared" si="1"/>
        <v>6310.0961538461534</v>
      </c>
      <c r="F406" s="401"/>
      <c r="G406" s="417"/>
    </row>
    <row r="407" spans="1:7" ht="12.75" customHeight="1">
      <c r="A407" s="406"/>
      <c r="B407" s="401"/>
      <c r="C407" s="401"/>
      <c r="D407" s="401"/>
      <c r="E407" s="401"/>
      <c r="F407" s="401"/>
      <c r="G407" s="417"/>
    </row>
    <row r="408" spans="1:7" ht="12.75" customHeight="1">
      <c r="A408" s="406"/>
      <c r="B408" s="401"/>
      <c r="C408" s="401"/>
      <c r="D408" s="401"/>
      <c r="E408" s="401"/>
      <c r="F408" s="401"/>
      <c r="G408" s="417"/>
    </row>
    <row r="409" spans="1:7" ht="12.75" customHeight="1">
      <c r="A409" s="406"/>
      <c r="B409" s="401"/>
      <c r="C409" s="401"/>
      <c r="D409" s="401"/>
      <c r="E409" s="401"/>
      <c r="F409" s="401" t="s">
        <v>189</v>
      </c>
      <c r="G409" s="417">
        <f t="shared" si="2"/>
        <v>6310.0961538461534</v>
      </c>
    </row>
    <row r="410" spans="1:7" ht="12.75" customHeight="1">
      <c r="A410" s="406" t="s">
        <v>191</v>
      </c>
      <c r="B410" s="401"/>
      <c r="C410" s="401"/>
      <c r="D410" s="401"/>
      <c r="E410" s="401"/>
      <c r="F410" s="401"/>
      <c r="G410" s="417"/>
    </row>
    <row r="411" spans="1:7" ht="12.75" customHeight="1">
      <c r="A411" s="408" t="s">
        <v>111</v>
      </c>
      <c r="B411" s="169" t="s">
        <v>193</v>
      </c>
      <c r="C411" s="169" t="s">
        <v>194</v>
      </c>
      <c r="D411" s="169" t="s">
        <v>195</v>
      </c>
      <c r="E411" s="169" t="s">
        <v>186</v>
      </c>
      <c r="F411" s="401"/>
      <c r="G411" s="417"/>
    </row>
    <row r="412" spans="1:7" ht="12.75" customHeight="1">
      <c r="A412" s="406" t="s">
        <v>267</v>
      </c>
      <c r="B412" s="169" t="s">
        <v>28</v>
      </c>
      <c r="C412" s="401">
        <v>111600.40384615386</v>
      </c>
      <c r="D412" s="401">
        <v>1</v>
      </c>
      <c r="E412" s="401">
        <f t="shared" si="11"/>
        <v>111600.40384615386</v>
      </c>
      <c r="F412" s="401"/>
      <c r="G412" s="417"/>
    </row>
    <row r="413" spans="1:7" ht="12.75" customHeight="1">
      <c r="A413" s="406"/>
      <c r="B413" s="169"/>
      <c r="C413" s="401"/>
      <c r="D413" s="401"/>
      <c r="E413" s="401"/>
      <c r="F413" s="401"/>
      <c r="G413" s="417"/>
    </row>
    <row r="414" spans="1:7" ht="12.75" customHeight="1">
      <c r="A414" s="406"/>
      <c r="B414" s="401"/>
      <c r="C414" s="401"/>
      <c r="D414" s="401"/>
      <c r="E414" s="401"/>
      <c r="F414" s="401"/>
      <c r="G414" s="417"/>
    </row>
    <row r="415" spans="1:7" ht="12.75" customHeight="1">
      <c r="A415" s="406"/>
      <c r="B415" s="401"/>
      <c r="C415" s="401"/>
      <c r="D415" s="401"/>
      <c r="E415" s="401"/>
      <c r="F415" s="401"/>
      <c r="G415" s="417"/>
    </row>
    <row r="416" spans="1:7" ht="12.75" customHeight="1">
      <c r="A416" s="406"/>
      <c r="B416" s="401"/>
      <c r="C416" s="401"/>
      <c r="D416" s="401"/>
      <c r="E416" s="401"/>
      <c r="F416" s="401"/>
      <c r="G416" s="417"/>
    </row>
    <row r="417" spans="1:7" ht="12.75" customHeight="1">
      <c r="A417" s="406"/>
      <c r="B417" s="401"/>
      <c r="C417" s="401"/>
      <c r="D417" s="401"/>
      <c r="E417" s="401"/>
      <c r="F417" s="401"/>
      <c r="G417" s="417"/>
    </row>
    <row r="418" spans="1:7" ht="12.75" customHeight="1">
      <c r="A418" s="406"/>
      <c r="B418" s="401"/>
      <c r="C418" s="401"/>
      <c r="D418" s="401"/>
      <c r="E418" s="401"/>
      <c r="F418" s="401" t="s">
        <v>189</v>
      </c>
      <c r="G418" s="417">
        <f t="shared" si="12"/>
        <v>111600.40384615386</v>
      </c>
    </row>
    <row r="419" spans="1:7" ht="12.75" customHeight="1">
      <c r="A419" s="406" t="s">
        <v>197</v>
      </c>
      <c r="B419" s="401"/>
      <c r="C419" s="401"/>
      <c r="D419" s="401"/>
      <c r="E419" s="401"/>
      <c r="F419" s="401"/>
      <c r="G419" s="417"/>
    </row>
    <row r="420" spans="1:7" ht="12.75" customHeight="1">
      <c r="A420" s="408" t="s">
        <v>198</v>
      </c>
      <c r="B420" s="169" t="s">
        <v>199</v>
      </c>
      <c r="C420" s="169" t="s">
        <v>200</v>
      </c>
      <c r="D420" s="169" t="s">
        <v>201</v>
      </c>
      <c r="E420" s="169" t="s">
        <v>186</v>
      </c>
      <c r="F420" s="401"/>
      <c r="G420" s="417"/>
    </row>
    <row r="421" spans="1:7" ht="12.75" customHeight="1">
      <c r="A421" s="406" t="s">
        <v>243</v>
      </c>
      <c r="B421" s="401"/>
      <c r="C421" s="401"/>
      <c r="D421" s="401"/>
      <c r="E421" s="403">
        <v>39060.653846153873</v>
      </c>
      <c r="F421" s="401"/>
      <c r="G421" s="417"/>
    </row>
    <row r="422" spans="1:7" ht="12.75" customHeight="1">
      <c r="A422" s="406"/>
      <c r="B422" s="401"/>
      <c r="C422" s="401"/>
      <c r="D422" s="401"/>
      <c r="E422" s="401"/>
      <c r="F422" s="401"/>
      <c r="G422" s="417"/>
    </row>
    <row r="423" spans="1:7" ht="12.75" customHeight="1">
      <c r="A423" s="406"/>
      <c r="B423" s="401"/>
      <c r="C423" s="401"/>
      <c r="D423" s="401"/>
      <c r="E423" s="401"/>
      <c r="F423" s="401"/>
      <c r="G423" s="417"/>
    </row>
    <row r="424" spans="1:7" ht="12.75" customHeight="1">
      <c r="A424" s="406"/>
      <c r="B424" s="401"/>
      <c r="C424" s="401"/>
      <c r="D424" s="401"/>
      <c r="E424" s="401"/>
      <c r="F424" s="401"/>
      <c r="G424" s="417"/>
    </row>
    <row r="425" spans="1:7" ht="12.75" customHeight="1">
      <c r="A425" s="406"/>
      <c r="B425" s="401"/>
      <c r="C425" s="401"/>
      <c r="D425" s="401"/>
      <c r="E425" s="401"/>
      <c r="F425" s="401" t="s">
        <v>189</v>
      </c>
      <c r="G425" s="417">
        <f t="shared" si="13"/>
        <v>39060.653846153873</v>
      </c>
    </row>
    <row r="426" spans="1:7" ht="12.75" customHeight="1">
      <c r="A426" s="406" t="s">
        <v>202</v>
      </c>
      <c r="B426" s="401"/>
      <c r="C426" s="401"/>
      <c r="D426" s="401"/>
      <c r="E426" s="401"/>
      <c r="F426" s="401"/>
      <c r="G426" s="417"/>
    </row>
    <row r="427" spans="1:7" ht="12.75" customHeight="1">
      <c r="A427" s="408" t="s">
        <v>203</v>
      </c>
      <c r="B427" s="169" t="s">
        <v>204</v>
      </c>
      <c r="C427" s="169" t="s">
        <v>205</v>
      </c>
      <c r="D427" s="169" t="s">
        <v>206</v>
      </c>
      <c r="E427" s="169" t="s">
        <v>207</v>
      </c>
      <c r="F427" s="169" t="s">
        <v>208</v>
      </c>
      <c r="G427" s="417"/>
    </row>
    <row r="428" spans="1:7" ht="12.75" customHeight="1">
      <c r="A428" s="406" t="s">
        <v>188</v>
      </c>
      <c r="B428" s="401">
        <f t="shared" si="21"/>
        <v>140000</v>
      </c>
      <c r="C428" s="401">
        <f t="shared" si="14"/>
        <v>105000</v>
      </c>
      <c r="D428" s="401">
        <f t="shared" si="4"/>
        <v>245000</v>
      </c>
      <c r="E428" s="432">
        <v>3.2</v>
      </c>
      <c r="F428" s="403">
        <f t="shared" si="5"/>
        <v>76562.5</v>
      </c>
      <c r="G428" s="417"/>
    </row>
    <row r="429" spans="1:7" ht="12.75" customHeight="1">
      <c r="A429" s="406" t="s">
        <v>190</v>
      </c>
      <c r="B429" s="401">
        <f t="shared" si="21"/>
        <v>90769.230769230751</v>
      </c>
      <c r="C429" s="403">
        <f t="shared" si="14"/>
        <v>68076.923076923063</v>
      </c>
      <c r="D429" s="403">
        <f t="shared" si="4"/>
        <v>158846.15384615381</v>
      </c>
      <c r="E429" s="432">
        <v>3.2</v>
      </c>
      <c r="F429" s="403">
        <f t="shared" si="5"/>
        <v>49639.423076923063</v>
      </c>
      <c r="G429" s="417"/>
    </row>
    <row r="430" spans="1:7" ht="12.75" customHeight="1">
      <c r="A430" s="406"/>
      <c r="B430" s="401"/>
      <c r="C430" s="401"/>
      <c r="D430" s="401"/>
      <c r="E430" s="401"/>
      <c r="F430" s="401"/>
      <c r="G430" s="417"/>
    </row>
    <row r="431" spans="1:7" ht="12.75" customHeight="1">
      <c r="A431" s="406"/>
      <c r="B431" s="401"/>
      <c r="C431" s="401"/>
      <c r="D431" s="401"/>
      <c r="E431" s="401"/>
      <c r="F431" s="401"/>
      <c r="G431" s="417"/>
    </row>
    <row r="432" spans="1:7" ht="12.75" customHeight="1">
      <c r="A432" s="406"/>
      <c r="B432" s="401"/>
      <c r="C432" s="401"/>
      <c r="D432" s="401"/>
      <c r="E432" s="401"/>
      <c r="F432" s="401"/>
      <c r="G432" s="417"/>
    </row>
    <row r="433" spans="1:9" ht="12.75" customHeight="1">
      <c r="A433" s="406"/>
      <c r="B433" s="401"/>
      <c r="C433" s="401"/>
      <c r="D433" s="401"/>
      <c r="E433" s="401"/>
      <c r="F433" s="401"/>
      <c r="G433" s="417"/>
    </row>
    <row r="434" spans="1:9" ht="12.75" customHeight="1">
      <c r="A434" s="406"/>
      <c r="B434" s="401"/>
      <c r="C434" s="401"/>
      <c r="D434" s="401"/>
      <c r="E434" s="401"/>
      <c r="F434" s="401" t="s">
        <v>189</v>
      </c>
      <c r="G434" s="417">
        <f t="shared" si="6"/>
        <v>126201.92307692306</v>
      </c>
    </row>
    <row r="435" spans="1:9" ht="12.75" customHeight="1">
      <c r="A435" s="406"/>
      <c r="B435" s="401"/>
      <c r="C435" s="401"/>
      <c r="D435" s="401"/>
      <c r="E435" s="401"/>
      <c r="F435" s="401"/>
      <c r="G435" s="417"/>
    </row>
    <row r="436" spans="1:9" ht="12.75" customHeight="1">
      <c r="A436" s="406" t="s">
        <v>209</v>
      </c>
      <c r="B436" s="401"/>
      <c r="C436" s="401" t="s">
        <v>210</v>
      </c>
      <c r="D436" s="471" t="s">
        <v>211</v>
      </c>
      <c r="E436" s="472"/>
      <c r="F436" s="472"/>
      <c r="G436" s="417">
        <f t="shared" si="7"/>
        <v>283173.07692307694</v>
      </c>
    </row>
    <row r="437" spans="1:9" ht="12.75" customHeight="1">
      <c r="A437" s="406"/>
      <c r="B437" s="401"/>
      <c r="C437" s="401"/>
      <c r="D437" s="401"/>
      <c r="E437" s="401"/>
      <c r="F437" s="401"/>
      <c r="G437" s="417"/>
    </row>
    <row r="438" spans="1:9" ht="12.75" customHeight="1">
      <c r="A438" s="406"/>
      <c r="B438" s="401"/>
      <c r="C438" s="401"/>
      <c r="D438" s="401"/>
      <c r="E438" s="401" t="s">
        <v>212</v>
      </c>
      <c r="F438" s="401"/>
      <c r="G438" s="417">
        <f t="shared" si="8"/>
        <v>84951.923076923078</v>
      </c>
    </row>
    <row r="439" spans="1:9" ht="12.75" customHeight="1">
      <c r="A439" s="406"/>
      <c r="B439" s="401"/>
      <c r="C439" s="401"/>
      <c r="D439" s="401"/>
      <c r="E439" s="401"/>
      <c r="F439" s="401"/>
      <c r="G439" s="417"/>
    </row>
    <row r="440" spans="1:9" ht="12.75" customHeight="1" thickBot="1">
      <c r="A440" s="411" t="s">
        <v>213</v>
      </c>
      <c r="B440" s="412"/>
      <c r="C440" s="412"/>
      <c r="D440" s="469" t="s">
        <v>214</v>
      </c>
      <c r="E440" s="470"/>
      <c r="F440" s="470"/>
      <c r="G440" s="418">
        <f t="shared" si="9"/>
        <v>368125</v>
      </c>
    </row>
    <row r="441" spans="1:9" ht="15" customHeight="1">
      <c r="A441" s="531" t="s">
        <v>174</v>
      </c>
      <c r="B441" s="457"/>
      <c r="C441" s="457"/>
      <c r="D441" s="457"/>
      <c r="E441" s="457"/>
      <c r="F441" s="457"/>
      <c r="G441" s="457"/>
    </row>
    <row r="442" spans="1:9" ht="12.75" customHeight="1" thickBot="1"/>
    <row r="443" spans="1:9" ht="12.75" customHeight="1">
      <c r="A443" s="404" t="s">
        <v>175</v>
      </c>
      <c r="B443" s="405"/>
      <c r="C443" s="405"/>
      <c r="D443" s="428"/>
      <c r="E443" s="428"/>
      <c r="F443" s="428"/>
      <c r="G443" s="429"/>
      <c r="H443" s="94"/>
    </row>
    <row r="444" spans="1:9" ht="12.75" customHeight="1">
      <c r="A444" s="406" t="str">
        <f t="shared" ref="A444:B473" si="22">+A4</f>
        <v xml:space="preserve">OBRA N°      Bocatoma - Acueducto </v>
      </c>
      <c r="B444" s="401"/>
      <c r="C444" s="401"/>
      <c r="D444" s="401"/>
      <c r="E444" s="195"/>
      <c r="F444" s="402" t="s">
        <v>177</v>
      </c>
      <c r="G444" s="430">
        <f t="shared" ca="1" si="0"/>
        <v>46289</v>
      </c>
      <c r="H444" s="95"/>
      <c r="I444" s="98"/>
    </row>
    <row r="445" spans="1:9" ht="12.75" customHeight="1">
      <c r="A445" s="433"/>
      <c r="B445" s="426"/>
      <c r="C445" s="426"/>
      <c r="D445" s="426"/>
      <c r="E445" s="426"/>
      <c r="F445" s="426"/>
      <c r="G445" s="431"/>
    </row>
    <row r="446" spans="1:9" ht="12.75" customHeight="1">
      <c r="A446" s="406" t="s">
        <v>268</v>
      </c>
      <c r="B446" s="401" t="s">
        <v>269</v>
      </c>
      <c r="C446" s="401"/>
      <c r="D446" s="401"/>
      <c r="E446" s="401"/>
      <c r="F446" s="401"/>
      <c r="G446" s="417"/>
    </row>
    <row r="447" spans="1:9" ht="12.75" customHeight="1">
      <c r="A447" s="406"/>
      <c r="B447" s="401"/>
      <c r="C447" s="401" t="s">
        <v>179</v>
      </c>
      <c r="D447" s="401">
        <v>1</v>
      </c>
      <c r="E447" s="401" t="s">
        <v>180</v>
      </c>
      <c r="F447" s="401" t="s">
        <v>262</v>
      </c>
      <c r="G447" s="417"/>
    </row>
    <row r="448" spans="1:9" ht="12.75" customHeight="1">
      <c r="A448" s="406" t="s">
        <v>182</v>
      </c>
      <c r="B448" s="401"/>
      <c r="C448" s="401"/>
      <c r="D448" s="401"/>
      <c r="E448" s="401"/>
      <c r="F448" s="401"/>
      <c r="G448" s="417"/>
    </row>
    <row r="449" spans="1:7" ht="12.75" customHeight="1">
      <c r="A449" s="408" t="s">
        <v>111</v>
      </c>
      <c r="B449" s="169" t="s">
        <v>183</v>
      </c>
      <c r="C449" s="169" t="s">
        <v>184</v>
      </c>
      <c r="D449" s="169" t="s">
        <v>185</v>
      </c>
      <c r="E449" s="169" t="s">
        <v>186</v>
      </c>
      <c r="F449" s="401"/>
      <c r="G449" s="417"/>
    </row>
    <row r="450" spans="1:7" ht="12.75" customHeight="1">
      <c r="A450" s="406" t="s">
        <v>187</v>
      </c>
      <c r="B450" s="401"/>
      <c r="C450" s="401"/>
      <c r="D450" s="401"/>
      <c r="E450" s="403">
        <f t="shared" si="1"/>
        <v>2884.6153846153848</v>
      </c>
      <c r="F450" s="401"/>
      <c r="G450" s="417"/>
    </row>
    <row r="451" spans="1:7" ht="12.75" customHeight="1">
      <c r="A451" s="406"/>
      <c r="B451" s="401"/>
      <c r="C451" s="401"/>
      <c r="D451" s="401"/>
      <c r="E451" s="401"/>
      <c r="F451" s="401"/>
      <c r="G451" s="417"/>
    </row>
    <row r="452" spans="1:7" ht="12.75" customHeight="1">
      <c r="A452" s="406"/>
      <c r="B452" s="401"/>
      <c r="C452" s="401"/>
      <c r="D452" s="401"/>
      <c r="E452" s="401"/>
      <c r="F452" s="401"/>
      <c r="G452" s="417"/>
    </row>
    <row r="453" spans="1:7" ht="12.75" customHeight="1">
      <c r="A453" s="406"/>
      <c r="B453" s="401"/>
      <c r="C453" s="401"/>
      <c r="D453" s="401"/>
      <c r="E453" s="401"/>
      <c r="F453" s="401" t="s">
        <v>189</v>
      </c>
      <c r="G453" s="417">
        <f t="shared" si="2"/>
        <v>2884.6153846153848</v>
      </c>
    </row>
    <row r="454" spans="1:7" ht="12.75" customHeight="1">
      <c r="A454" s="406" t="s">
        <v>191</v>
      </c>
      <c r="B454" s="401"/>
      <c r="C454" s="401"/>
      <c r="D454" s="401"/>
      <c r="E454" s="401"/>
      <c r="F454" s="401"/>
      <c r="G454" s="417"/>
    </row>
    <row r="455" spans="1:7" ht="12.75" customHeight="1">
      <c r="A455" s="408" t="s">
        <v>111</v>
      </c>
      <c r="B455" s="169" t="s">
        <v>193</v>
      </c>
      <c r="C455" s="169" t="s">
        <v>194</v>
      </c>
      <c r="D455" s="169" t="s">
        <v>195</v>
      </c>
      <c r="E455" s="169" t="s">
        <v>186</v>
      </c>
      <c r="F455" s="401"/>
      <c r="G455" s="417"/>
    </row>
    <row r="456" spans="1:7" ht="12.75" customHeight="1">
      <c r="A456" s="406" t="s">
        <v>270</v>
      </c>
      <c r="B456" s="169" t="s">
        <v>193</v>
      </c>
      <c r="C456" s="403">
        <v>225479.84769230775</v>
      </c>
      <c r="D456" s="401">
        <v>1</v>
      </c>
      <c r="E456" s="403">
        <f t="shared" si="11"/>
        <v>225479.84769230775</v>
      </c>
      <c r="F456" s="401"/>
      <c r="G456" s="417"/>
    </row>
    <row r="457" spans="1:7" ht="12.75" customHeight="1">
      <c r="A457" s="406" t="s">
        <v>271</v>
      </c>
      <c r="B457" s="169" t="s">
        <v>256</v>
      </c>
      <c r="C457" s="403">
        <f>6392*1.19</f>
        <v>7606.48</v>
      </c>
      <c r="D457" s="401">
        <v>2</v>
      </c>
      <c r="E457" s="403">
        <f t="shared" si="11"/>
        <v>15212.96</v>
      </c>
      <c r="F457" s="401"/>
      <c r="G457" s="417"/>
    </row>
    <row r="458" spans="1:7" ht="12.75" customHeight="1">
      <c r="A458" s="406" t="s">
        <v>272</v>
      </c>
      <c r="B458" s="169" t="s">
        <v>273</v>
      </c>
      <c r="C458" s="401">
        <v>400</v>
      </c>
      <c r="D458" s="401">
        <v>1</v>
      </c>
      <c r="E458" s="403">
        <f t="shared" si="11"/>
        <v>400</v>
      </c>
      <c r="F458" s="401"/>
      <c r="G458" s="417"/>
    </row>
    <row r="459" spans="1:7" ht="12.75" customHeight="1">
      <c r="A459" s="406"/>
      <c r="B459" s="401"/>
      <c r="C459" s="401"/>
      <c r="D459" s="401"/>
      <c r="E459" s="401"/>
      <c r="F459" s="401"/>
      <c r="G459" s="417"/>
    </row>
    <row r="460" spans="1:7" ht="12.75" customHeight="1">
      <c r="A460" s="406"/>
      <c r="B460" s="401"/>
      <c r="C460" s="401"/>
      <c r="D460" s="401"/>
      <c r="E460" s="401"/>
      <c r="F460" s="401"/>
      <c r="G460" s="417"/>
    </row>
    <row r="461" spans="1:7" ht="12.75" customHeight="1">
      <c r="A461" s="406"/>
      <c r="B461" s="401"/>
      <c r="C461" s="401"/>
      <c r="D461" s="401"/>
      <c r="E461" s="401"/>
      <c r="F461" s="401"/>
      <c r="G461" s="417"/>
    </row>
    <row r="462" spans="1:7" ht="12.75" customHeight="1">
      <c r="A462" s="406"/>
      <c r="B462" s="401"/>
      <c r="C462" s="401"/>
      <c r="D462" s="401"/>
      <c r="E462" s="401"/>
      <c r="F462" s="401" t="s">
        <v>189</v>
      </c>
      <c r="G462" s="417">
        <f t="shared" si="12"/>
        <v>241092.80769230775</v>
      </c>
    </row>
    <row r="463" spans="1:7" ht="12.75" customHeight="1">
      <c r="A463" s="406" t="s">
        <v>197</v>
      </c>
      <c r="B463" s="401"/>
      <c r="C463" s="401"/>
      <c r="D463" s="401"/>
      <c r="E463" s="401"/>
      <c r="F463" s="401"/>
      <c r="G463" s="417"/>
    </row>
    <row r="464" spans="1:7" ht="12.75" customHeight="1">
      <c r="A464" s="408" t="s">
        <v>198</v>
      </c>
      <c r="B464" s="169" t="s">
        <v>199</v>
      </c>
      <c r="C464" s="169" t="s">
        <v>200</v>
      </c>
      <c r="D464" s="169" t="s">
        <v>201</v>
      </c>
      <c r="E464" s="169" t="s">
        <v>186</v>
      </c>
      <c r="F464" s="401"/>
      <c r="G464" s="417"/>
    </row>
    <row r="465" spans="1:7" ht="12.75" customHeight="1">
      <c r="A465" s="406" t="s">
        <v>243</v>
      </c>
      <c r="B465" s="401"/>
      <c r="C465" s="401"/>
      <c r="D465" s="401"/>
      <c r="E465" s="403">
        <v>25436.42307692306</v>
      </c>
      <c r="F465" s="401"/>
      <c r="G465" s="417"/>
    </row>
    <row r="466" spans="1:7" ht="12.75" customHeight="1">
      <c r="A466" s="406"/>
      <c r="B466" s="401"/>
      <c r="C466" s="401"/>
      <c r="D466" s="401"/>
      <c r="E466" s="401"/>
      <c r="F466" s="401"/>
      <c r="G466" s="417"/>
    </row>
    <row r="467" spans="1:7" ht="12.75" customHeight="1">
      <c r="A467" s="406"/>
      <c r="B467" s="401"/>
      <c r="C467" s="401"/>
      <c r="D467" s="401"/>
      <c r="E467" s="401"/>
      <c r="F467" s="401"/>
      <c r="G467" s="417"/>
    </row>
    <row r="468" spans="1:7" ht="12.75" customHeight="1">
      <c r="A468" s="406"/>
      <c r="B468" s="401"/>
      <c r="C468" s="401"/>
      <c r="D468" s="401"/>
      <c r="E468" s="401"/>
      <c r="F468" s="401"/>
      <c r="G468" s="417"/>
    </row>
    <row r="469" spans="1:7" ht="12.75" customHeight="1">
      <c r="A469" s="406"/>
      <c r="B469" s="401"/>
      <c r="C469" s="401"/>
      <c r="D469" s="401"/>
      <c r="E469" s="401"/>
      <c r="F469" s="401" t="s">
        <v>189</v>
      </c>
      <c r="G469" s="417">
        <f t="shared" si="13"/>
        <v>25436.42307692306</v>
      </c>
    </row>
    <row r="470" spans="1:7" ht="12.75" customHeight="1">
      <c r="A470" s="406" t="s">
        <v>202</v>
      </c>
      <c r="B470" s="401"/>
      <c r="C470" s="401"/>
      <c r="D470" s="401"/>
      <c r="E470" s="401"/>
      <c r="F470" s="401"/>
      <c r="G470" s="417"/>
    </row>
    <row r="471" spans="1:7" ht="12.75" customHeight="1">
      <c r="A471" s="408" t="s">
        <v>203</v>
      </c>
      <c r="B471" s="169" t="s">
        <v>204</v>
      </c>
      <c r="C471" s="169" t="s">
        <v>205</v>
      </c>
      <c r="D471" s="169" t="s">
        <v>206</v>
      </c>
      <c r="E471" s="169" t="s">
        <v>207</v>
      </c>
      <c r="F471" s="169" t="s">
        <v>208</v>
      </c>
      <c r="G471" s="417"/>
    </row>
    <row r="472" spans="1:7" ht="12.75" customHeight="1">
      <c r="A472" s="406" t="s">
        <v>188</v>
      </c>
      <c r="B472" s="401">
        <f t="shared" si="22"/>
        <v>140000</v>
      </c>
      <c r="C472" s="401">
        <f t="shared" si="14"/>
        <v>105000</v>
      </c>
      <c r="D472" s="401">
        <f t="shared" si="4"/>
        <v>245000</v>
      </c>
      <c r="E472" s="401">
        <v>7</v>
      </c>
      <c r="F472" s="403">
        <f t="shared" si="5"/>
        <v>35000</v>
      </c>
      <c r="G472" s="417"/>
    </row>
    <row r="473" spans="1:7" ht="12.75" customHeight="1">
      <c r="A473" s="406" t="s">
        <v>190</v>
      </c>
      <c r="B473" s="401">
        <f t="shared" si="22"/>
        <v>90769.230769230751</v>
      </c>
      <c r="C473" s="403">
        <f t="shared" si="14"/>
        <v>68076.923076923063</v>
      </c>
      <c r="D473" s="403">
        <f t="shared" si="4"/>
        <v>158846.15384615381</v>
      </c>
      <c r="E473" s="401">
        <v>7</v>
      </c>
      <c r="F473" s="403">
        <f t="shared" si="5"/>
        <v>22692.307692307688</v>
      </c>
      <c r="G473" s="417"/>
    </row>
    <row r="474" spans="1:7" ht="12.75" customHeight="1">
      <c r="A474" s="406"/>
      <c r="B474" s="401"/>
      <c r="C474" s="401"/>
      <c r="D474" s="401"/>
      <c r="E474" s="401"/>
      <c r="F474" s="401"/>
      <c r="G474" s="417"/>
    </row>
    <row r="475" spans="1:7" ht="12.75" customHeight="1">
      <c r="A475" s="406"/>
      <c r="B475" s="401"/>
      <c r="C475" s="401"/>
      <c r="D475" s="401"/>
      <c r="E475" s="401"/>
      <c r="F475" s="401"/>
      <c r="G475" s="417"/>
    </row>
    <row r="476" spans="1:7" ht="12.75" customHeight="1">
      <c r="A476" s="406"/>
      <c r="B476" s="401"/>
      <c r="C476" s="401"/>
      <c r="D476" s="401"/>
      <c r="E476" s="401"/>
      <c r="F476" s="401"/>
      <c r="G476" s="417"/>
    </row>
    <row r="477" spans="1:7" ht="12.75" customHeight="1">
      <c r="A477" s="406"/>
      <c r="B477" s="401"/>
      <c r="C477" s="401"/>
      <c r="D477" s="401"/>
      <c r="E477" s="401"/>
      <c r="F477" s="401"/>
      <c r="G477" s="417"/>
    </row>
    <row r="478" spans="1:7" ht="12.75" customHeight="1">
      <c r="A478" s="406"/>
      <c r="B478" s="401"/>
      <c r="C478" s="401"/>
      <c r="D478" s="401"/>
      <c r="E478" s="401"/>
      <c r="F478" s="401" t="s">
        <v>189</v>
      </c>
      <c r="G478" s="417">
        <f t="shared" si="6"/>
        <v>57692.307692307688</v>
      </c>
    </row>
    <row r="479" spans="1:7" ht="12.75" customHeight="1">
      <c r="A479" s="406"/>
      <c r="B479" s="401"/>
      <c r="C479" s="401"/>
      <c r="D479" s="401"/>
      <c r="E479" s="401"/>
      <c r="F479" s="401"/>
      <c r="G479" s="417"/>
    </row>
    <row r="480" spans="1:7" ht="12.75" customHeight="1">
      <c r="A480" s="406" t="s">
        <v>209</v>
      </c>
      <c r="B480" s="401"/>
      <c r="C480" s="401" t="s">
        <v>210</v>
      </c>
      <c r="D480" s="471" t="s">
        <v>211</v>
      </c>
      <c r="E480" s="472"/>
      <c r="F480" s="472"/>
      <c r="G480" s="417">
        <f t="shared" si="7"/>
        <v>327106.15384615387</v>
      </c>
    </row>
    <row r="481" spans="1:9" ht="12.75" customHeight="1">
      <c r="A481" s="406"/>
      <c r="B481" s="401"/>
      <c r="C481" s="401"/>
      <c r="D481" s="401"/>
      <c r="E481" s="401"/>
      <c r="F481" s="401"/>
      <c r="G481" s="417"/>
    </row>
    <row r="482" spans="1:9" ht="12.75" customHeight="1">
      <c r="A482" s="406"/>
      <c r="B482" s="401"/>
      <c r="C482" s="401"/>
      <c r="D482" s="401"/>
      <c r="E482" s="401" t="s">
        <v>212</v>
      </c>
      <c r="F482" s="401"/>
      <c r="G482" s="417">
        <f t="shared" si="8"/>
        <v>98131.846153846156</v>
      </c>
    </row>
    <row r="483" spans="1:9" ht="12.75" customHeight="1">
      <c r="A483" s="406"/>
      <c r="B483" s="401"/>
      <c r="C483" s="401"/>
      <c r="D483" s="401"/>
      <c r="E483" s="401"/>
      <c r="F483" s="401"/>
      <c r="G483" s="417"/>
    </row>
    <row r="484" spans="1:9" ht="12.75" customHeight="1" thickBot="1">
      <c r="A484" s="411" t="s">
        <v>213</v>
      </c>
      <c r="B484" s="412"/>
      <c r="C484" s="412"/>
      <c r="D484" s="469" t="s">
        <v>214</v>
      </c>
      <c r="E484" s="470"/>
      <c r="F484" s="470"/>
      <c r="G484" s="418">
        <f t="shared" si="9"/>
        <v>425238</v>
      </c>
    </row>
    <row r="485" spans="1:9" ht="15" customHeight="1">
      <c r="A485" s="531" t="s">
        <v>174</v>
      </c>
      <c r="B485" s="457"/>
      <c r="C485" s="457"/>
      <c r="D485" s="457"/>
      <c r="E485" s="457"/>
      <c r="F485" s="457"/>
      <c r="G485" s="457"/>
    </row>
    <row r="486" spans="1:9" ht="12.75" customHeight="1" thickBot="1"/>
    <row r="487" spans="1:9" ht="12.75" customHeight="1">
      <c r="A487" s="404" t="s">
        <v>175</v>
      </c>
      <c r="B487" s="405"/>
      <c r="C487" s="405"/>
      <c r="D487" s="428"/>
      <c r="E487" s="428"/>
      <c r="F487" s="428"/>
      <c r="G487" s="429"/>
      <c r="H487" s="94"/>
    </row>
    <row r="488" spans="1:9" ht="12.75" customHeight="1">
      <c r="A488" s="406" t="str">
        <f t="shared" ref="A488:B517" si="23">+A4</f>
        <v xml:space="preserve">OBRA N°      Bocatoma - Acueducto </v>
      </c>
      <c r="B488" s="401"/>
      <c r="C488" s="401"/>
      <c r="D488" s="401"/>
      <c r="E488" s="195"/>
      <c r="F488" s="402" t="s">
        <v>177</v>
      </c>
      <c r="G488" s="430">
        <f t="shared" ca="1" si="0"/>
        <v>46289</v>
      </c>
      <c r="H488" s="95"/>
      <c r="I488" s="98"/>
    </row>
    <row r="489" spans="1:9" ht="12.75" customHeight="1">
      <c r="A489" s="433"/>
      <c r="B489" s="426"/>
      <c r="C489" s="426"/>
      <c r="D489" s="426"/>
      <c r="E489" s="426"/>
      <c r="F489" s="426"/>
      <c r="G489" s="431"/>
    </row>
    <row r="490" spans="1:9" ht="12.75" customHeight="1">
      <c r="A490" s="406" t="s">
        <v>274</v>
      </c>
      <c r="B490" s="401" t="s">
        <v>847</v>
      </c>
      <c r="C490" s="401"/>
      <c r="D490" s="401"/>
      <c r="E490" s="401"/>
      <c r="F490" s="401"/>
      <c r="G490" s="417"/>
    </row>
    <row r="491" spans="1:9" ht="12.75" customHeight="1">
      <c r="A491" s="406"/>
      <c r="B491" s="401"/>
      <c r="C491" s="401" t="s">
        <v>179</v>
      </c>
      <c r="D491" s="432">
        <v>1</v>
      </c>
      <c r="E491" s="401" t="s">
        <v>180</v>
      </c>
      <c r="F491" s="401" t="s">
        <v>262</v>
      </c>
      <c r="G491" s="417"/>
    </row>
    <row r="492" spans="1:9" ht="12.75" customHeight="1">
      <c r="A492" s="406" t="s">
        <v>182</v>
      </c>
      <c r="B492" s="401"/>
      <c r="C492" s="401"/>
      <c r="D492" s="401"/>
      <c r="E492" s="401"/>
      <c r="F492" s="401"/>
      <c r="G492" s="417"/>
    </row>
    <row r="493" spans="1:9" ht="12.75" customHeight="1">
      <c r="A493" s="408" t="s">
        <v>111</v>
      </c>
      <c r="B493" s="169" t="s">
        <v>183</v>
      </c>
      <c r="C493" s="169" t="s">
        <v>184</v>
      </c>
      <c r="D493" s="169" t="s">
        <v>185</v>
      </c>
      <c r="E493" s="169" t="s">
        <v>186</v>
      </c>
      <c r="F493" s="401"/>
      <c r="G493" s="417"/>
    </row>
    <row r="494" spans="1:9" ht="12.75" customHeight="1">
      <c r="A494" s="406" t="s">
        <v>187</v>
      </c>
      <c r="B494" s="401"/>
      <c r="C494" s="401"/>
      <c r="D494" s="401"/>
      <c r="E494" s="403">
        <f t="shared" si="1"/>
        <v>6730.7692307692314</v>
      </c>
      <c r="F494" s="401"/>
      <c r="G494" s="417"/>
    </row>
    <row r="495" spans="1:9" ht="12.75" customHeight="1">
      <c r="A495" s="406"/>
      <c r="B495" s="401"/>
      <c r="C495" s="401"/>
      <c r="D495" s="401"/>
      <c r="E495" s="401"/>
      <c r="F495" s="401"/>
      <c r="G495" s="417"/>
    </row>
    <row r="496" spans="1:9" ht="12.75" customHeight="1">
      <c r="A496" s="406"/>
      <c r="B496" s="401"/>
      <c r="C496" s="401"/>
      <c r="D496" s="401"/>
      <c r="E496" s="401"/>
      <c r="F496" s="401"/>
      <c r="G496" s="417"/>
    </row>
    <row r="497" spans="1:9" ht="12.75" customHeight="1">
      <c r="A497" s="406"/>
      <c r="B497" s="401"/>
      <c r="C497" s="401"/>
      <c r="D497" s="401"/>
      <c r="E497" s="401"/>
      <c r="F497" s="401" t="s">
        <v>189</v>
      </c>
      <c r="G497" s="417">
        <f t="shared" si="2"/>
        <v>6730.7692307692314</v>
      </c>
    </row>
    <row r="498" spans="1:9" ht="12.75" customHeight="1">
      <c r="A498" s="406" t="s">
        <v>191</v>
      </c>
      <c r="B498" s="401"/>
      <c r="C498" s="401"/>
      <c r="D498" s="401"/>
      <c r="E498" s="401"/>
      <c r="F498" s="401"/>
      <c r="G498" s="417"/>
    </row>
    <row r="499" spans="1:9" ht="12.75" customHeight="1">
      <c r="A499" s="408" t="s">
        <v>111</v>
      </c>
      <c r="B499" s="169" t="s">
        <v>193</v>
      </c>
      <c r="C499" s="169" t="s">
        <v>194</v>
      </c>
      <c r="D499" s="169" t="s">
        <v>195</v>
      </c>
      <c r="E499" s="169" t="s">
        <v>186</v>
      </c>
      <c r="F499" s="401"/>
      <c r="G499" s="417"/>
    </row>
    <row r="500" spans="1:9" ht="12.75" customHeight="1">
      <c r="A500" s="406" t="s">
        <v>263</v>
      </c>
      <c r="B500" s="169" t="s">
        <v>226</v>
      </c>
      <c r="C500" s="403">
        <f>+G242</f>
        <v>777000</v>
      </c>
      <c r="D500" s="401">
        <v>0.25</v>
      </c>
      <c r="E500" s="403">
        <f t="shared" si="11"/>
        <v>194250</v>
      </c>
      <c r="F500" s="401"/>
      <c r="G500" s="417"/>
    </row>
    <row r="501" spans="1:9" ht="12.75" customHeight="1">
      <c r="A501" s="406" t="s">
        <v>264</v>
      </c>
      <c r="B501" s="169" t="s">
        <v>193</v>
      </c>
      <c r="C501" s="401">
        <v>75000</v>
      </c>
      <c r="D501" s="401">
        <v>1</v>
      </c>
      <c r="E501" s="401">
        <f t="shared" si="11"/>
        <v>75000</v>
      </c>
      <c r="F501" s="401"/>
      <c r="G501" s="417"/>
      <c r="I501">
        <f>0.7*0.1*7+0.5*0.6*0.1*4</f>
        <v>0.60999999999999988</v>
      </c>
    </row>
    <row r="502" spans="1:9" ht="12.75" customHeight="1">
      <c r="A502" s="406"/>
      <c r="B502" s="169"/>
      <c r="C502" s="401"/>
      <c r="D502" s="401"/>
      <c r="E502" s="401"/>
      <c r="F502" s="401"/>
      <c r="G502" s="417"/>
    </row>
    <row r="503" spans="1:9" ht="12.75" customHeight="1">
      <c r="A503" s="406"/>
      <c r="B503" s="401"/>
      <c r="C503" s="401"/>
      <c r="D503" s="401"/>
      <c r="E503" s="401"/>
      <c r="F503" s="401"/>
      <c r="G503" s="417"/>
    </row>
    <row r="504" spans="1:9" ht="12.75" customHeight="1">
      <c r="A504" s="406"/>
      <c r="B504" s="401"/>
      <c r="C504" s="401"/>
      <c r="D504" s="401"/>
      <c r="E504" s="401"/>
      <c r="F504" s="401"/>
      <c r="G504" s="417"/>
    </row>
    <row r="505" spans="1:9" ht="12.75" customHeight="1">
      <c r="A505" s="406"/>
      <c r="B505" s="401"/>
      <c r="C505" s="401"/>
      <c r="D505" s="401"/>
      <c r="E505" s="401"/>
      <c r="F505" s="401"/>
      <c r="G505" s="417"/>
    </row>
    <row r="506" spans="1:9" ht="12.75" customHeight="1">
      <c r="A506" s="406"/>
      <c r="B506" s="401"/>
      <c r="C506" s="401"/>
      <c r="D506" s="401"/>
      <c r="E506" s="401"/>
      <c r="F506" s="401" t="s">
        <v>189</v>
      </c>
      <c r="G506" s="417">
        <f t="shared" si="12"/>
        <v>269250</v>
      </c>
    </row>
    <row r="507" spans="1:9" ht="12.75" customHeight="1">
      <c r="A507" s="406" t="s">
        <v>197</v>
      </c>
      <c r="B507" s="401"/>
      <c r="C507" s="401"/>
      <c r="D507" s="401"/>
      <c r="E507" s="401"/>
      <c r="F507" s="401"/>
      <c r="G507" s="417"/>
    </row>
    <row r="508" spans="1:9" ht="12.75" customHeight="1">
      <c r="A508" s="408" t="s">
        <v>198</v>
      </c>
      <c r="B508" s="169" t="s">
        <v>199</v>
      </c>
      <c r="C508" s="169" t="s">
        <v>200</v>
      </c>
      <c r="D508" s="169" t="s">
        <v>201</v>
      </c>
      <c r="E508" s="169" t="s">
        <v>186</v>
      </c>
      <c r="F508" s="401"/>
      <c r="G508" s="417"/>
    </row>
    <row r="509" spans="1:9" ht="12.75" customHeight="1">
      <c r="A509" s="406" t="s">
        <v>243</v>
      </c>
      <c r="B509" s="401"/>
      <c r="C509" s="401"/>
      <c r="D509" s="401"/>
      <c r="E509" s="403">
        <v>50125.384615384544</v>
      </c>
      <c r="F509" s="401"/>
      <c r="G509" s="417"/>
    </row>
    <row r="510" spans="1:9" ht="12.75" customHeight="1">
      <c r="A510" s="406"/>
      <c r="B510" s="401"/>
      <c r="C510" s="401"/>
      <c r="D510" s="401"/>
      <c r="E510" s="401"/>
      <c r="F510" s="401"/>
      <c r="G510" s="417"/>
    </row>
    <row r="511" spans="1:9" ht="12.75" customHeight="1">
      <c r="A511" s="406"/>
      <c r="B511" s="401"/>
      <c r="C511" s="401"/>
      <c r="D511" s="401"/>
      <c r="E511" s="401"/>
      <c r="F511" s="401"/>
      <c r="G511" s="417"/>
    </row>
    <row r="512" spans="1:9" ht="12.75" customHeight="1">
      <c r="A512" s="406"/>
      <c r="B512" s="401"/>
      <c r="C512" s="401"/>
      <c r="D512" s="401"/>
      <c r="E512" s="401"/>
      <c r="F512" s="401"/>
      <c r="G512" s="417"/>
    </row>
    <row r="513" spans="1:7" ht="12.75" customHeight="1">
      <c r="A513" s="406"/>
      <c r="B513" s="401"/>
      <c r="C513" s="401"/>
      <c r="D513" s="401"/>
      <c r="E513" s="401"/>
      <c r="F513" s="401" t="s">
        <v>189</v>
      </c>
      <c r="G513" s="417">
        <f t="shared" si="13"/>
        <v>50125.384615384544</v>
      </c>
    </row>
    <row r="514" spans="1:7" ht="12.75" customHeight="1">
      <c r="A514" s="406" t="s">
        <v>202</v>
      </c>
      <c r="B514" s="401"/>
      <c r="C514" s="401"/>
      <c r="D514" s="401"/>
      <c r="E514" s="401"/>
      <c r="F514" s="401"/>
      <c r="G514" s="417"/>
    </row>
    <row r="515" spans="1:7" ht="12.75" customHeight="1">
      <c r="A515" s="408" t="s">
        <v>203</v>
      </c>
      <c r="B515" s="169" t="s">
        <v>204</v>
      </c>
      <c r="C515" s="169" t="s">
        <v>205</v>
      </c>
      <c r="D515" s="169" t="s">
        <v>206</v>
      </c>
      <c r="E515" s="169" t="s">
        <v>207</v>
      </c>
      <c r="F515" s="169" t="s">
        <v>208</v>
      </c>
      <c r="G515" s="417"/>
    </row>
    <row r="516" spans="1:7" ht="12.75" customHeight="1">
      <c r="A516" s="406" t="s">
        <v>188</v>
      </c>
      <c r="B516" s="401">
        <f t="shared" si="23"/>
        <v>140000</v>
      </c>
      <c r="C516" s="401">
        <f t="shared" si="14"/>
        <v>105000</v>
      </c>
      <c r="D516" s="401">
        <f t="shared" si="4"/>
        <v>245000</v>
      </c>
      <c r="E516" s="401">
        <v>3</v>
      </c>
      <c r="F516" s="403">
        <f t="shared" si="5"/>
        <v>81666.666666666672</v>
      </c>
      <c r="G516" s="417"/>
    </row>
    <row r="517" spans="1:7" ht="12.75" customHeight="1">
      <c r="A517" s="406" t="s">
        <v>190</v>
      </c>
      <c r="B517" s="401">
        <f t="shared" si="23"/>
        <v>90769.230769230751</v>
      </c>
      <c r="C517" s="403">
        <f t="shared" si="14"/>
        <v>68076.923076923063</v>
      </c>
      <c r="D517" s="403">
        <f t="shared" si="4"/>
        <v>158846.15384615381</v>
      </c>
      <c r="E517" s="401">
        <v>3</v>
      </c>
      <c r="F517" s="403">
        <f t="shared" si="5"/>
        <v>52948.717948717938</v>
      </c>
      <c r="G517" s="417"/>
    </row>
    <row r="518" spans="1:7" ht="12.75" customHeight="1">
      <c r="A518" s="406"/>
      <c r="B518" s="401"/>
      <c r="C518" s="401"/>
      <c r="D518" s="401"/>
      <c r="E518" s="401"/>
      <c r="F518" s="401"/>
      <c r="G518" s="417"/>
    </row>
    <row r="519" spans="1:7" ht="12.75" customHeight="1">
      <c r="A519" s="406"/>
      <c r="B519" s="401"/>
      <c r="C519" s="401"/>
      <c r="D519" s="401"/>
      <c r="E519" s="401"/>
      <c r="F519" s="401"/>
      <c r="G519" s="417"/>
    </row>
    <row r="520" spans="1:7" ht="12.75" customHeight="1">
      <c r="A520" s="406"/>
      <c r="B520" s="401"/>
      <c r="C520" s="401"/>
      <c r="D520" s="401"/>
      <c r="E520" s="401"/>
      <c r="F520" s="401"/>
      <c r="G520" s="417"/>
    </row>
    <row r="521" spans="1:7" ht="12.75" customHeight="1">
      <c r="A521" s="406"/>
      <c r="B521" s="401"/>
      <c r="C521" s="401"/>
      <c r="D521" s="401"/>
      <c r="E521" s="401"/>
      <c r="F521" s="401"/>
      <c r="G521" s="417"/>
    </row>
    <row r="522" spans="1:7" ht="12.75" customHeight="1">
      <c r="A522" s="406"/>
      <c r="B522" s="401"/>
      <c r="C522" s="401"/>
      <c r="D522" s="401"/>
      <c r="E522" s="401"/>
      <c r="F522" s="401" t="s">
        <v>189</v>
      </c>
      <c r="G522" s="417">
        <f t="shared" si="6"/>
        <v>134615.38461538462</v>
      </c>
    </row>
    <row r="523" spans="1:7" ht="12.75" customHeight="1">
      <c r="A523" s="406"/>
      <c r="B523" s="401"/>
      <c r="C523" s="401"/>
      <c r="D523" s="401"/>
      <c r="E523" s="401"/>
      <c r="F523" s="401"/>
      <c r="G523" s="417"/>
    </row>
    <row r="524" spans="1:7" ht="12.75" customHeight="1">
      <c r="A524" s="406" t="s">
        <v>209</v>
      </c>
      <c r="B524" s="401"/>
      <c r="C524" s="401" t="s">
        <v>210</v>
      </c>
      <c r="D524" s="471" t="s">
        <v>211</v>
      </c>
      <c r="E524" s="472"/>
      <c r="F524" s="472"/>
      <c r="G524" s="417">
        <f t="shared" si="7"/>
        <v>460721.53846153844</v>
      </c>
    </row>
    <row r="525" spans="1:7" ht="12.75" customHeight="1">
      <c r="A525" s="406"/>
      <c r="B525" s="401"/>
      <c r="C525" s="401"/>
      <c r="D525" s="401"/>
      <c r="E525" s="401"/>
      <c r="F525" s="401"/>
      <c r="G525" s="417"/>
    </row>
    <row r="526" spans="1:7" ht="12.75" customHeight="1">
      <c r="A526" s="406"/>
      <c r="B526" s="401"/>
      <c r="C526" s="401"/>
      <c r="D526" s="401"/>
      <c r="E526" s="401" t="s">
        <v>212</v>
      </c>
      <c r="F526" s="401"/>
      <c r="G526" s="417">
        <f t="shared" si="8"/>
        <v>138216.46153846153</v>
      </c>
    </row>
    <row r="527" spans="1:7" ht="12.75" customHeight="1">
      <c r="A527" s="406"/>
      <c r="B527" s="401"/>
      <c r="C527" s="401"/>
      <c r="D527" s="401"/>
      <c r="E527" s="401"/>
      <c r="F527" s="401"/>
      <c r="G527" s="417"/>
    </row>
    <row r="528" spans="1:7" ht="12.75" customHeight="1" thickBot="1">
      <c r="A528" s="411" t="s">
        <v>213</v>
      </c>
      <c r="B528" s="412"/>
      <c r="C528" s="412"/>
      <c r="D528" s="469" t="s">
        <v>214</v>
      </c>
      <c r="E528" s="470"/>
      <c r="F528" s="470"/>
      <c r="G528" s="418">
        <f t="shared" si="9"/>
        <v>598938</v>
      </c>
    </row>
    <row r="529" spans="1:9" ht="15" customHeight="1">
      <c r="A529" s="531" t="s">
        <v>174</v>
      </c>
      <c r="B529" s="457"/>
      <c r="C529" s="457"/>
      <c r="D529" s="457"/>
      <c r="E529" s="457"/>
      <c r="F529" s="457"/>
      <c r="G529" s="457"/>
    </row>
    <row r="530" spans="1:9" ht="12.75" customHeight="1" thickBot="1"/>
    <row r="531" spans="1:9" ht="12.75" customHeight="1">
      <c r="A531" s="404" t="s">
        <v>175</v>
      </c>
      <c r="B531" s="405"/>
      <c r="C531" s="405"/>
      <c r="D531" s="428"/>
      <c r="E531" s="428"/>
      <c r="F531" s="428"/>
      <c r="G531" s="429"/>
      <c r="H531" s="94"/>
    </row>
    <row r="532" spans="1:9" ht="12.75" customHeight="1">
      <c r="A532" s="406" t="str">
        <f t="shared" ref="A532:B560" si="24">+A4</f>
        <v xml:space="preserve">OBRA N°      Bocatoma - Acueducto </v>
      </c>
      <c r="B532" s="401"/>
      <c r="C532" s="401"/>
      <c r="D532" s="401"/>
      <c r="E532" s="195"/>
      <c r="F532" s="402" t="s">
        <v>177</v>
      </c>
      <c r="G532" s="430">
        <f t="shared" ca="1" si="0"/>
        <v>46289</v>
      </c>
      <c r="H532" s="95"/>
      <c r="I532" s="98"/>
    </row>
    <row r="533" spans="1:9" ht="12.75" customHeight="1">
      <c r="A533" s="433"/>
      <c r="B533" s="426"/>
      <c r="C533" s="426"/>
      <c r="D533" s="426"/>
      <c r="E533" s="426"/>
      <c r="F533" s="426"/>
      <c r="G533" s="431"/>
    </row>
    <row r="534" spans="1:9" ht="12.75" customHeight="1">
      <c r="A534" s="406" t="s">
        <v>275</v>
      </c>
      <c r="B534" s="401" t="s">
        <v>276</v>
      </c>
      <c r="C534" s="401"/>
      <c r="D534" s="401"/>
      <c r="E534" s="401"/>
      <c r="F534" s="401"/>
      <c r="G534" s="417"/>
    </row>
    <row r="535" spans="1:9" ht="12.75" customHeight="1">
      <c r="A535" s="406"/>
      <c r="B535" s="401"/>
      <c r="C535" s="401" t="s">
        <v>179</v>
      </c>
      <c r="D535" s="169">
        <v>1</v>
      </c>
      <c r="E535" s="401" t="s">
        <v>180</v>
      </c>
      <c r="F535" s="401" t="s">
        <v>262</v>
      </c>
      <c r="G535" s="417"/>
    </row>
    <row r="536" spans="1:9" ht="12.75" customHeight="1">
      <c r="A536" s="406" t="s">
        <v>182</v>
      </c>
      <c r="B536" s="401"/>
      <c r="C536" s="401"/>
      <c r="D536" s="401"/>
      <c r="E536" s="401"/>
      <c r="F536" s="401"/>
      <c r="G536" s="417"/>
    </row>
    <row r="537" spans="1:9" ht="12.75" customHeight="1">
      <c r="A537" s="408" t="s">
        <v>111</v>
      </c>
      <c r="B537" s="169" t="s">
        <v>183</v>
      </c>
      <c r="C537" s="169" t="s">
        <v>184</v>
      </c>
      <c r="D537" s="169" t="s">
        <v>185</v>
      </c>
      <c r="E537" s="169" t="s">
        <v>186</v>
      </c>
      <c r="F537" s="401"/>
      <c r="G537" s="417"/>
    </row>
    <row r="538" spans="1:9" ht="12.75" customHeight="1">
      <c r="A538" s="406" t="s">
        <v>187</v>
      </c>
      <c r="B538" s="401"/>
      <c r="C538" s="401"/>
      <c r="D538" s="401"/>
      <c r="E538" s="403">
        <f t="shared" si="1"/>
        <v>803.84615384615381</v>
      </c>
      <c r="F538" s="401"/>
      <c r="G538" s="417"/>
    </row>
    <row r="539" spans="1:9" ht="12.75" customHeight="1">
      <c r="A539" s="406"/>
      <c r="B539" s="401"/>
      <c r="C539" s="401"/>
      <c r="D539" s="401"/>
      <c r="E539" s="401"/>
      <c r="F539" s="401"/>
      <c r="G539" s="417"/>
    </row>
    <row r="540" spans="1:9" ht="12.75" customHeight="1">
      <c r="A540" s="406"/>
      <c r="B540" s="401"/>
      <c r="C540" s="401"/>
      <c r="D540" s="401"/>
      <c r="E540" s="401"/>
      <c r="F540" s="401"/>
      <c r="G540" s="417"/>
    </row>
    <row r="541" spans="1:9" ht="12.75" customHeight="1">
      <c r="A541" s="406"/>
      <c r="B541" s="401"/>
      <c r="C541" s="401"/>
      <c r="D541" s="401"/>
      <c r="E541" s="401"/>
      <c r="F541" s="401" t="s">
        <v>189</v>
      </c>
      <c r="G541" s="417">
        <f t="shared" si="2"/>
        <v>803.84615384615381</v>
      </c>
    </row>
    <row r="542" spans="1:9" ht="12.75" customHeight="1">
      <c r="A542" s="406" t="s">
        <v>191</v>
      </c>
      <c r="B542" s="401"/>
      <c r="C542" s="401"/>
      <c r="D542" s="401"/>
      <c r="E542" s="401"/>
      <c r="F542" s="401"/>
      <c r="G542" s="417"/>
    </row>
    <row r="543" spans="1:9" ht="12.75" customHeight="1">
      <c r="A543" s="408" t="s">
        <v>111</v>
      </c>
      <c r="B543" s="169" t="s">
        <v>193</v>
      </c>
      <c r="C543" s="169" t="s">
        <v>194</v>
      </c>
      <c r="D543" s="169" t="s">
        <v>195</v>
      </c>
      <c r="E543" s="169" t="s">
        <v>186</v>
      </c>
      <c r="F543" s="401"/>
      <c r="G543" s="417"/>
    </row>
    <row r="544" spans="1:9" ht="12.75" customHeight="1">
      <c r="A544" s="406" t="s">
        <v>277</v>
      </c>
      <c r="B544" s="169"/>
      <c r="C544" s="401"/>
      <c r="D544" s="427"/>
      <c r="E544" s="401"/>
      <c r="F544" s="401"/>
      <c r="G544" s="417"/>
    </row>
    <row r="545" spans="1:7" ht="12.75" customHeight="1">
      <c r="A545" s="406" t="s">
        <v>278</v>
      </c>
      <c r="B545" s="169"/>
      <c r="C545" s="401"/>
      <c r="D545" s="401"/>
      <c r="E545" s="401"/>
      <c r="F545" s="401"/>
      <c r="G545" s="417"/>
    </row>
    <row r="546" spans="1:7" ht="12.75" customHeight="1">
      <c r="A546" s="406" t="s">
        <v>279</v>
      </c>
      <c r="B546" s="169"/>
      <c r="C546" s="401"/>
      <c r="D546" s="401"/>
      <c r="E546" s="401"/>
      <c r="F546" s="401"/>
      <c r="G546" s="417"/>
    </row>
    <row r="547" spans="1:7" ht="12.75" customHeight="1">
      <c r="A547" s="406" t="s">
        <v>280</v>
      </c>
      <c r="B547" s="169"/>
      <c r="C547" s="401"/>
      <c r="D547" s="401"/>
      <c r="E547" s="401"/>
      <c r="F547" s="401"/>
      <c r="G547" s="417"/>
    </row>
    <row r="548" spans="1:7" ht="12.75" customHeight="1">
      <c r="A548" s="406" t="s">
        <v>281</v>
      </c>
      <c r="B548" s="401"/>
      <c r="C548" s="401"/>
      <c r="D548" s="401"/>
      <c r="E548" s="401">
        <v>1679037.8692307691</v>
      </c>
      <c r="F548" s="401"/>
      <c r="G548" s="417"/>
    </row>
    <row r="549" spans="1:7" ht="12.75" customHeight="1">
      <c r="A549" s="406"/>
      <c r="B549" s="401"/>
      <c r="C549" s="401"/>
      <c r="D549" s="401"/>
      <c r="E549" s="401"/>
      <c r="F549" s="401"/>
      <c r="G549" s="417"/>
    </row>
    <row r="550" spans="1:7" ht="12.75" customHeight="1">
      <c r="A550" s="406"/>
      <c r="B550" s="401"/>
      <c r="C550" s="401"/>
      <c r="D550" s="401"/>
      <c r="E550" s="401"/>
      <c r="F550" s="401" t="s">
        <v>189</v>
      </c>
      <c r="G550" s="417">
        <f t="shared" si="12"/>
        <v>1679037.8692307691</v>
      </c>
    </row>
    <row r="551" spans="1:7" ht="12.75" customHeight="1">
      <c r="A551" s="406" t="s">
        <v>197</v>
      </c>
      <c r="B551" s="401"/>
      <c r="C551" s="401"/>
      <c r="D551" s="401"/>
      <c r="E551" s="401"/>
      <c r="F551" s="401"/>
      <c r="G551" s="417"/>
    </row>
    <row r="552" spans="1:7" ht="12.75" customHeight="1">
      <c r="A552" s="408" t="s">
        <v>198</v>
      </c>
      <c r="B552" s="169" t="s">
        <v>199</v>
      </c>
      <c r="C552" s="169" t="s">
        <v>200</v>
      </c>
      <c r="D552" s="169" t="s">
        <v>201</v>
      </c>
      <c r="E552" s="169" t="s">
        <v>186</v>
      </c>
      <c r="F552" s="401"/>
      <c r="G552" s="417"/>
    </row>
    <row r="553" spans="1:7" ht="12.75" customHeight="1">
      <c r="A553" s="406" t="s">
        <v>243</v>
      </c>
      <c r="B553" s="401"/>
      <c r="C553" s="401"/>
      <c r="D553" s="401"/>
      <c r="E553" s="403">
        <v>51341.361538461555</v>
      </c>
      <c r="F553" s="401"/>
      <c r="G553" s="417"/>
    </row>
    <row r="554" spans="1:7" ht="12.75" customHeight="1">
      <c r="A554" s="406"/>
      <c r="B554" s="401"/>
      <c r="C554" s="401"/>
      <c r="D554" s="401"/>
      <c r="E554" s="401"/>
      <c r="F554" s="401"/>
      <c r="G554" s="417"/>
    </row>
    <row r="555" spans="1:7" ht="12.75" customHeight="1">
      <c r="A555" s="406"/>
      <c r="B555" s="401"/>
      <c r="C555" s="401"/>
      <c r="D555" s="401"/>
      <c r="E555" s="401"/>
      <c r="F555" s="401"/>
      <c r="G555" s="417"/>
    </row>
    <row r="556" spans="1:7" ht="12.75" customHeight="1">
      <c r="A556" s="406"/>
      <c r="B556" s="401"/>
      <c r="C556" s="401"/>
      <c r="D556" s="401"/>
      <c r="E556" s="401"/>
      <c r="F556" s="401"/>
      <c r="G556" s="417"/>
    </row>
    <row r="557" spans="1:7" ht="12.75" customHeight="1">
      <c r="A557" s="406"/>
      <c r="B557" s="401"/>
      <c r="C557" s="401"/>
      <c r="D557" s="401"/>
      <c r="E557" s="401"/>
      <c r="F557" s="401" t="s">
        <v>189</v>
      </c>
      <c r="G557" s="417">
        <f t="shared" si="13"/>
        <v>51341.361538461555</v>
      </c>
    </row>
    <row r="558" spans="1:7" ht="12.75" customHeight="1">
      <c r="A558" s="406" t="s">
        <v>202</v>
      </c>
      <c r="B558" s="401"/>
      <c r="C558" s="401"/>
      <c r="D558" s="401"/>
      <c r="E558" s="401"/>
      <c r="F558" s="401"/>
      <c r="G558" s="417"/>
    </row>
    <row r="559" spans="1:7" ht="12.75" customHeight="1">
      <c r="A559" s="408" t="s">
        <v>203</v>
      </c>
      <c r="B559" s="169" t="s">
        <v>204</v>
      </c>
      <c r="C559" s="169" t="s">
        <v>205</v>
      </c>
      <c r="D559" s="169" t="s">
        <v>206</v>
      </c>
      <c r="E559" s="169" t="s">
        <v>207</v>
      </c>
      <c r="F559" s="169" t="s">
        <v>208</v>
      </c>
      <c r="G559" s="417"/>
    </row>
    <row r="560" spans="1:7" ht="12.75" customHeight="1">
      <c r="A560" s="406" t="s">
        <v>188</v>
      </c>
      <c r="B560" s="401">
        <f t="shared" si="24"/>
        <v>140000</v>
      </c>
      <c r="C560" s="403">
        <f t="shared" si="14"/>
        <v>105000</v>
      </c>
      <c r="D560" s="403">
        <f t="shared" si="4"/>
        <v>245000</v>
      </c>
      <c r="E560" s="434">
        <v>35</v>
      </c>
      <c r="F560" s="403">
        <f t="shared" si="5"/>
        <v>7000</v>
      </c>
      <c r="G560" s="417"/>
    </row>
    <row r="561" spans="1:9" ht="12.75" customHeight="1">
      <c r="A561" s="406" t="s">
        <v>227</v>
      </c>
      <c r="B561" s="401">
        <f>+B33*2</f>
        <v>181538.4615384615</v>
      </c>
      <c r="C561" s="403">
        <f t="shared" si="14"/>
        <v>136153.84615384613</v>
      </c>
      <c r="D561" s="403">
        <f t="shared" si="4"/>
        <v>317692.30769230763</v>
      </c>
      <c r="E561" s="434">
        <v>35</v>
      </c>
      <c r="F561" s="403">
        <f t="shared" si="5"/>
        <v>9076.9230769230744</v>
      </c>
      <c r="G561" s="417"/>
    </row>
    <row r="562" spans="1:9" ht="12.75" customHeight="1">
      <c r="A562" s="406"/>
      <c r="B562" s="401"/>
      <c r="C562" s="401"/>
      <c r="D562" s="401"/>
      <c r="E562" s="401"/>
      <c r="F562" s="401"/>
      <c r="G562" s="417"/>
    </row>
    <row r="563" spans="1:9" ht="12.75" customHeight="1">
      <c r="A563" s="406"/>
      <c r="B563" s="401"/>
      <c r="C563" s="401"/>
      <c r="D563" s="401"/>
      <c r="E563" s="401"/>
      <c r="F563" s="401"/>
      <c r="G563" s="417"/>
    </row>
    <row r="564" spans="1:9" ht="12.75" customHeight="1">
      <c r="A564" s="406"/>
      <c r="B564" s="401"/>
      <c r="C564" s="401"/>
      <c r="D564" s="401"/>
      <c r="E564" s="401"/>
      <c r="F564" s="401"/>
      <c r="G564" s="417"/>
    </row>
    <row r="565" spans="1:9" ht="12.75" customHeight="1">
      <c r="A565" s="406"/>
      <c r="B565" s="401"/>
      <c r="C565" s="401"/>
      <c r="D565" s="401"/>
      <c r="E565" s="401"/>
      <c r="F565" s="401"/>
      <c r="G565" s="417"/>
    </row>
    <row r="566" spans="1:9" ht="12.75" customHeight="1">
      <c r="A566" s="406"/>
      <c r="B566" s="401"/>
      <c r="C566" s="401"/>
      <c r="D566" s="401"/>
      <c r="E566" s="401"/>
      <c r="F566" s="401" t="s">
        <v>189</v>
      </c>
      <c r="G566" s="417">
        <f t="shared" si="6"/>
        <v>16076.923076923074</v>
      </c>
    </row>
    <row r="567" spans="1:9" ht="12.75" customHeight="1">
      <c r="A567" s="406"/>
      <c r="B567" s="401"/>
      <c r="C567" s="401"/>
      <c r="D567" s="401"/>
      <c r="E567" s="401"/>
      <c r="F567" s="401"/>
      <c r="G567" s="417"/>
    </row>
    <row r="568" spans="1:9" ht="12.75" customHeight="1">
      <c r="A568" s="406" t="s">
        <v>209</v>
      </c>
      <c r="B568" s="401"/>
      <c r="C568" s="401" t="s">
        <v>210</v>
      </c>
      <c r="D568" s="471" t="s">
        <v>211</v>
      </c>
      <c r="E568" s="472"/>
      <c r="F568" s="472"/>
      <c r="G568" s="417">
        <f t="shared" si="7"/>
        <v>1747260</v>
      </c>
    </row>
    <row r="569" spans="1:9" ht="12.75" customHeight="1">
      <c r="A569" s="406"/>
      <c r="B569" s="401"/>
      <c r="C569" s="401"/>
      <c r="D569" s="401"/>
      <c r="E569" s="401"/>
      <c r="F569" s="401"/>
      <c r="G569" s="417"/>
    </row>
    <row r="570" spans="1:9" ht="12.75" customHeight="1">
      <c r="A570" s="406"/>
      <c r="B570" s="401"/>
      <c r="C570" s="401"/>
      <c r="D570" s="401"/>
      <c r="E570" s="401" t="s">
        <v>212</v>
      </c>
      <c r="F570" s="401"/>
      <c r="G570" s="417">
        <f t="shared" si="8"/>
        <v>524178</v>
      </c>
    </row>
    <row r="571" spans="1:9" ht="12.75" customHeight="1">
      <c r="A571" s="406"/>
      <c r="B571" s="401"/>
      <c r="C571" s="401"/>
      <c r="D571" s="401"/>
      <c r="E571" s="401"/>
      <c r="F571" s="401"/>
      <c r="G571" s="417"/>
    </row>
    <row r="572" spans="1:9" ht="12.75" customHeight="1" thickBot="1">
      <c r="A572" s="411" t="s">
        <v>213</v>
      </c>
      <c r="B572" s="412"/>
      <c r="C572" s="412"/>
      <c r="D572" s="469" t="s">
        <v>214</v>
      </c>
      <c r="E572" s="470"/>
      <c r="F572" s="470"/>
      <c r="G572" s="418">
        <f t="shared" si="9"/>
        <v>2271438</v>
      </c>
    </row>
    <row r="573" spans="1:9" ht="15" customHeight="1">
      <c r="A573" s="531" t="s">
        <v>174</v>
      </c>
      <c r="B573" s="457"/>
      <c r="C573" s="457"/>
      <c r="D573" s="457"/>
      <c r="E573" s="457"/>
      <c r="F573" s="457"/>
      <c r="G573" s="457"/>
    </row>
    <row r="574" spans="1:9" ht="12.75" customHeight="1" thickBot="1"/>
    <row r="575" spans="1:9" ht="12.75" customHeight="1">
      <c r="A575" s="404" t="s">
        <v>175</v>
      </c>
      <c r="B575" s="405"/>
      <c r="C575" s="405"/>
      <c r="D575" s="428"/>
      <c r="E575" s="428"/>
      <c r="F575" s="428"/>
      <c r="G575" s="429"/>
      <c r="H575" s="94"/>
    </row>
    <row r="576" spans="1:9" ht="12.75" customHeight="1">
      <c r="A576" s="406" t="str">
        <f t="shared" ref="A576:B605" si="25">+A4</f>
        <v xml:space="preserve">OBRA N°      Bocatoma - Acueducto </v>
      </c>
      <c r="B576" s="401"/>
      <c r="C576" s="401"/>
      <c r="D576" s="401"/>
      <c r="E576" s="195"/>
      <c r="F576" s="402" t="s">
        <v>177</v>
      </c>
      <c r="G576" s="430">
        <f t="shared" ca="1" si="0"/>
        <v>46289</v>
      </c>
      <c r="H576" s="95"/>
      <c r="I576" s="98"/>
    </row>
    <row r="577" spans="1:7" ht="12.75" customHeight="1">
      <c r="A577" s="433"/>
      <c r="B577" s="426"/>
      <c r="C577" s="426"/>
      <c r="D577" s="426"/>
      <c r="E577" s="426"/>
      <c r="F577" s="426"/>
      <c r="G577" s="431"/>
    </row>
    <row r="578" spans="1:7" ht="12.75" customHeight="1">
      <c r="A578" s="406" t="s">
        <v>282</v>
      </c>
      <c r="B578" s="401" t="s">
        <v>283</v>
      </c>
      <c r="C578" s="401"/>
      <c r="D578" s="401"/>
      <c r="E578" s="401"/>
      <c r="F578" s="401"/>
      <c r="G578" s="417"/>
    </row>
    <row r="579" spans="1:7" ht="12.75" customHeight="1">
      <c r="A579" s="406"/>
      <c r="B579" s="401"/>
      <c r="C579" s="401" t="s">
        <v>179</v>
      </c>
      <c r="D579" s="432">
        <v>2</v>
      </c>
      <c r="E579" s="401" t="s">
        <v>180</v>
      </c>
      <c r="F579" s="401" t="s">
        <v>262</v>
      </c>
      <c r="G579" s="417"/>
    </row>
    <row r="580" spans="1:7" ht="12.75" customHeight="1">
      <c r="A580" s="406" t="s">
        <v>182</v>
      </c>
      <c r="B580" s="401"/>
      <c r="C580" s="401"/>
      <c r="D580" s="401"/>
      <c r="E580" s="401"/>
      <c r="F580" s="401"/>
      <c r="G580" s="417"/>
    </row>
    <row r="581" spans="1:7" ht="12.75" customHeight="1">
      <c r="A581" s="408" t="s">
        <v>111</v>
      </c>
      <c r="B581" s="169" t="s">
        <v>183</v>
      </c>
      <c r="C581" s="169" t="s">
        <v>184</v>
      </c>
      <c r="D581" s="169" t="s">
        <v>185</v>
      </c>
      <c r="E581" s="169" t="s">
        <v>186</v>
      </c>
      <c r="F581" s="401"/>
      <c r="G581" s="417"/>
    </row>
    <row r="582" spans="1:7" ht="12.75" customHeight="1">
      <c r="A582" s="406" t="s">
        <v>187</v>
      </c>
      <c r="B582" s="401"/>
      <c r="C582" s="401"/>
      <c r="D582" s="401"/>
      <c r="E582" s="403">
        <f t="shared" si="1"/>
        <v>1079.0787546472043</v>
      </c>
      <c r="F582" s="401"/>
      <c r="G582" s="417"/>
    </row>
    <row r="583" spans="1:7" ht="12.75" customHeight="1">
      <c r="A583" s="406"/>
      <c r="B583" s="401"/>
      <c r="C583" s="401"/>
      <c r="D583" s="401"/>
      <c r="E583" s="401"/>
      <c r="F583" s="401"/>
      <c r="G583" s="417"/>
    </row>
    <row r="584" spans="1:7" ht="12.75" customHeight="1">
      <c r="A584" s="406"/>
      <c r="B584" s="401"/>
      <c r="C584" s="401"/>
      <c r="D584" s="401"/>
      <c r="E584" s="401"/>
      <c r="F584" s="401"/>
      <c r="G584" s="417"/>
    </row>
    <row r="585" spans="1:7" ht="12.75" customHeight="1">
      <c r="A585" s="406"/>
      <c r="B585" s="401"/>
      <c r="C585" s="401"/>
      <c r="D585" s="401"/>
      <c r="E585" s="401"/>
      <c r="F585" s="401" t="s">
        <v>189</v>
      </c>
      <c r="G585" s="417">
        <f t="shared" si="2"/>
        <v>1079.0787546472043</v>
      </c>
    </row>
    <row r="586" spans="1:7" ht="12.75" customHeight="1">
      <c r="A586" s="406" t="s">
        <v>191</v>
      </c>
      <c r="B586" s="401"/>
      <c r="C586" s="401"/>
      <c r="D586" s="401"/>
      <c r="E586" s="401"/>
      <c r="F586" s="401"/>
      <c r="G586" s="417"/>
    </row>
    <row r="587" spans="1:7" ht="12.75" customHeight="1">
      <c r="A587" s="408" t="s">
        <v>111</v>
      </c>
      <c r="B587" s="169" t="s">
        <v>193</v>
      </c>
      <c r="C587" s="169" t="s">
        <v>194</v>
      </c>
      <c r="D587" s="169" t="s">
        <v>195</v>
      </c>
      <c r="E587" s="169" t="s">
        <v>186</v>
      </c>
      <c r="F587" s="401"/>
      <c r="G587" s="417"/>
    </row>
    <row r="588" spans="1:7" ht="12.75" customHeight="1">
      <c r="A588" s="406" t="s">
        <v>284</v>
      </c>
      <c r="B588" s="169" t="s">
        <v>193</v>
      </c>
      <c r="C588" s="403">
        <v>32150</v>
      </c>
      <c r="D588" s="401">
        <v>1</v>
      </c>
      <c r="E588" s="403">
        <f t="shared" si="11"/>
        <v>32150</v>
      </c>
      <c r="F588" s="401"/>
      <c r="G588" s="417"/>
    </row>
    <row r="589" spans="1:7" ht="12.75" customHeight="1">
      <c r="A589" s="406" t="s">
        <v>285</v>
      </c>
      <c r="B589" s="169" t="s">
        <v>220</v>
      </c>
      <c r="C589" s="401">
        <v>1000</v>
      </c>
      <c r="D589" s="401">
        <v>1</v>
      </c>
      <c r="E589" s="401">
        <f t="shared" si="11"/>
        <v>1000</v>
      </c>
      <c r="F589" s="401"/>
      <c r="G589" s="417"/>
    </row>
    <row r="590" spans="1:7" ht="12.75" customHeight="1">
      <c r="A590" s="406"/>
      <c r="B590" s="169"/>
      <c r="C590" s="401"/>
      <c r="D590" s="401"/>
      <c r="E590" s="401"/>
      <c r="F590" s="401"/>
      <c r="G590" s="417"/>
    </row>
    <row r="591" spans="1:7" ht="12.75" customHeight="1">
      <c r="A591" s="406"/>
      <c r="B591" s="401"/>
      <c r="C591" s="401"/>
      <c r="D591" s="401"/>
      <c r="E591" s="401"/>
      <c r="F591" s="401"/>
      <c r="G591" s="417"/>
    </row>
    <row r="592" spans="1:7" ht="12.75" customHeight="1">
      <c r="A592" s="406"/>
      <c r="B592" s="401"/>
      <c r="C592" s="401"/>
      <c r="D592" s="401"/>
      <c r="E592" s="401"/>
      <c r="F592" s="401"/>
      <c r="G592" s="417"/>
    </row>
    <row r="593" spans="1:7" ht="12.75" customHeight="1">
      <c r="A593" s="406"/>
      <c r="B593" s="401"/>
      <c r="C593" s="401"/>
      <c r="D593" s="401"/>
      <c r="E593" s="401"/>
      <c r="F593" s="401"/>
      <c r="G593" s="417"/>
    </row>
    <row r="594" spans="1:7" ht="12.75" customHeight="1">
      <c r="A594" s="406"/>
      <c r="B594" s="401"/>
      <c r="C594" s="401"/>
      <c r="D594" s="401"/>
      <c r="E594" s="401"/>
      <c r="F594" s="401" t="s">
        <v>189</v>
      </c>
      <c r="G594" s="417">
        <f t="shared" si="12"/>
        <v>33150</v>
      </c>
    </row>
    <row r="595" spans="1:7" ht="12.75" customHeight="1">
      <c r="A595" s="406" t="s">
        <v>197</v>
      </c>
      <c r="B595" s="401"/>
      <c r="C595" s="401"/>
      <c r="D595" s="401"/>
      <c r="E595" s="401"/>
      <c r="F595" s="401"/>
      <c r="G595" s="417"/>
    </row>
    <row r="596" spans="1:7" ht="12.75" customHeight="1">
      <c r="A596" s="408" t="s">
        <v>198</v>
      </c>
      <c r="B596" s="169" t="s">
        <v>199</v>
      </c>
      <c r="C596" s="169" t="s">
        <v>200</v>
      </c>
      <c r="D596" s="169" t="s">
        <v>201</v>
      </c>
      <c r="E596" s="169" t="s">
        <v>186</v>
      </c>
      <c r="F596" s="401"/>
      <c r="G596" s="417"/>
    </row>
    <row r="597" spans="1:7" ht="12.75" customHeight="1">
      <c r="A597" s="406" t="s">
        <v>243</v>
      </c>
      <c r="B597" s="401"/>
      <c r="C597" s="401"/>
      <c r="D597" s="401"/>
      <c r="E597" s="403">
        <v>12718.576921639491</v>
      </c>
      <c r="F597" s="401"/>
      <c r="G597" s="417"/>
    </row>
    <row r="598" spans="1:7" ht="12.75" customHeight="1">
      <c r="A598" s="406"/>
      <c r="B598" s="401"/>
      <c r="C598" s="401"/>
      <c r="D598" s="401"/>
      <c r="E598" s="401"/>
      <c r="F598" s="401"/>
      <c r="G598" s="417"/>
    </row>
    <row r="599" spans="1:7" ht="12.75" customHeight="1">
      <c r="A599" s="406"/>
      <c r="B599" s="401"/>
      <c r="C599" s="401"/>
      <c r="D599" s="401"/>
      <c r="E599" s="401"/>
      <c r="F599" s="401"/>
      <c r="G599" s="417"/>
    </row>
    <row r="600" spans="1:7" ht="12.75" customHeight="1">
      <c r="A600" s="406"/>
      <c r="B600" s="401"/>
      <c r="C600" s="401"/>
      <c r="D600" s="401"/>
      <c r="E600" s="401"/>
      <c r="F600" s="401"/>
      <c r="G600" s="417"/>
    </row>
    <row r="601" spans="1:7" ht="12.75" customHeight="1">
      <c r="A601" s="406"/>
      <c r="B601" s="401"/>
      <c r="C601" s="401"/>
      <c r="D601" s="401"/>
      <c r="E601" s="401"/>
      <c r="F601" s="401" t="s">
        <v>189</v>
      </c>
      <c r="G601" s="417">
        <f t="shared" si="13"/>
        <v>12718.576921639491</v>
      </c>
    </row>
    <row r="602" spans="1:7" ht="12.75" customHeight="1">
      <c r="A602" s="406" t="s">
        <v>202</v>
      </c>
      <c r="B602" s="401"/>
      <c r="C602" s="401"/>
      <c r="D602" s="401"/>
      <c r="E602" s="401"/>
      <c r="F602" s="401"/>
      <c r="G602" s="417"/>
    </row>
    <row r="603" spans="1:7" ht="12.75" customHeight="1">
      <c r="A603" s="408" t="s">
        <v>203</v>
      </c>
      <c r="B603" s="169" t="s">
        <v>204</v>
      </c>
      <c r="C603" s="169" t="s">
        <v>205</v>
      </c>
      <c r="D603" s="169" t="s">
        <v>206</v>
      </c>
      <c r="E603" s="169" t="s">
        <v>207</v>
      </c>
      <c r="F603" s="169" t="s">
        <v>208</v>
      </c>
      <c r="G603" s="417"/>
    </row>
    <row r="604" spans="1:7" ht="12.75" customHeight="1">
      <c r="A604" s="406" t="s">
        <v>188</v>
      </c>
      <c r="B604" s="401">
        <f t="shared" si="25"/>
        <v>140000</v>
      </c>
      <c r="C604" s="401">
        <f t="shared" si="14"/>
        <v>105000</v>
      </c>
      <c r="D604" s="401">
        <f t="shared" si="4"/>
        <v>245000</v>
      </c>
      <c r="E604" s="403">
        <v>19.20546028100307</v>
      </c>
      <c r="F604" s="403">
        <f t="shared" si="5"/>
        <v>12756.788768157763</v>
      </c>
      <c r="G604" s="417"/>
    </row>
    <row r="605" spans="1:7" ht="12.75" customHeight="1">
      <c r="A605" s="406" t="s">
        <v>190</v>
      </c>
      <c r="B605" s="401">
        <f t="shared" si="25"/>
        <v>90769.230769230751</v>
      </c>
      <c r="C605" s="403">
        <f t="shared" si="14"/>
        <v>68076.923076923063</v>
      </c>
      <c r="D605" s="403">
        <f t="shared" si="4"/>
        <v>158846.15384615381</v>
      </c>
      <c r="E605" s="401">
        <v>18</v>
      </c>
      <c r="F605" s="403">
        <f t="shared" si="5"/>
        <v>8824.7863247863224</v>
      </c>
      <c r="G605" s="417"/>
    </row>
    <row r="606" spans="1:7" ht="12.75" customHeight="1">
      <c r="A606" s="406"/>
      <c r="B606" s="401"/>
      <c r="C606" s="401"/>
      <c r="D606" s="401"/>
      <c r="E606" s="401"/>
      <c r="F606" s="401"/>
      <c r="G606" s="417"/>
    </row>
    <row r="607" spans="1:7" ht="12.75" customHeight="1">
      <c r="A607" s="406"/>
      <c r="B607" s="401"/>
      <c r="C607" s="401"/>
      <c r="D607" s="401"/>
      <c r="E607" s="401"/>
      <c r="F607" s="401"/>
      <c r="G607" s="417"/>
    </row>
    <row r="608" spans="1:7" ht="12.75" customHeight="1">
      <c r="A608" s="406"/>
      <c r="B608" s="401"/>
      <c r="C608" s="401"/>
      <c r="D608" s="401"/>
      <c r="E608" s="401"/>
      <c r="F608" s="401"/>
      <c r="G608" s="417"/>
    </row>
    <row r="609" spans="1:9" ht="12.75" customHeight="1">
      <c r="A609" s="406"/>
      <c r="B609" s="401"/>
      <c r="C609" s="401"/>
      <c r="D609" s="401"/>
      <c r="E609" s="401"/>
      <c r="F609" s="401"/>
      <c r="G609" s="417"/>
    </row>
    <row r="610" spans="1:9" ht="12.75" customHeight="1">
      <c r="A610" s="406"/>
      <c r="B610" s="401"/>
      <c r="C610" s="401"/>
      <c r="D610" s="401"/>
      <c r="E610" s="401"/>
      <c r="F610" s="401" t="s">
        <v>189</v>
      </c>
      <c r="G610" s="417">
        <f t="shared" si="6"/>
        <v>21581.575092944084</v>
      </c>
    </row>
    <row r="611" spans="1:9" ht="12.75" customHeight="1">
      <c r="A611" s="406"/>
      <c r="B611" s="401"/>
      <c r="C611" s="401"/>
      <c r="D611" s="401"/>
      <c r="E611" s="401"/>
      <c r="F611" s="401"/>
      <c r="G611" s="417"/>
    </row>
    <row r="612" spans="1:9" ht="12.75" customHeight="1">
      <c r="A612" s="406" t="s">
        <v>209</v>
      </c>
      <c r="B612" s="401"/>
      <c r="C612" s="401" t="s">
        <v>210</v>
      </c>
      <c r="D612" s="471" t="s">
        <v>211</v>
      </c>
      <c r="E612" s="472"/>
      <c r="F612" s="472"/>
      <c r="G612" s="417">
        <f t="shared" si="7"/>
        <v>68529.23076923078</v>
      </c>
    </row>
    <row r="613" spans="1:9" ht="12.75" customHeight="1">
      <c r="A613" s="406"/>
      <c r="B613" s="401"/>
      <c r="C613" s="401"/>
      <c r="D613" s="401"/>
      <c r="E613" s="401"/>
      <c r="F613" s="401"/>
      <c r="G613" s="417"/>
    </row>
    <row r="614" spans="1:9" ht="12.75" customHeight="1">
      <c r="A614" s="406"/>
      <c r="B614" s="401"/>
      <c r="C614" s="401"/>
      <c r="D614" s="401"/>
      <c r="E614" s="401" t="s">
        <v>212</v>
      </c>
      <c r="F614" s="401"/>
      <c r="G614" s="417">
        <f t="shared" si="8"/>
        <v>20558.769230769234</v>
      </c>
    </row>
    <row r="615" spans="1:9" ht="12.75" customHeight="1">
      <c r="A615" s="406"/>
      <c r="B615" s="401"/>
      <c r="C615" s="401"/>
      <c r="D615" s="401"/>
      <c r="E615" s="401"/>
      <c r="F615" s="401"/>
      <c r="G615" s="417"/>
    </row>
    <row r="616" spans="1:9" ht="12.75" customHeight="1" thickBot="1">
      <c r="A616" s="411" t="s">
        <v>213</v>
      </c>
      <c r="B616" s="412"/>
      <c r="C616" s="412"/>
      <c r="D616" s="469" t="s">
        <v>214</v>
      </c>
      <c r="E616" s="470"/>
      <c r="F616" s="470"/>
      <c r="G616" s="418">
        <f t="shared" si="9"/>
        <v>89088.000000000015</v>
      </c>
    </row>
    <row r="617" spans="1:9" ht="15" customHeight="1">
      <c r="A617" s="531" t="s">
        <v>174</v>
      </c>
      <c r="B617" s="457"/>
      <c r="C617" s="457"/>
      <c r="D617" s="457"/>
      <c r="E617" s="457"/>
      <c r="F617" s="457"/>
      <c r="G617" s="457"/>
    </row>
    <row r="618" spans="1:9" ht="12.75" customHeight="1" thickBot="1"/>
    <row r="619" spans="1:9" ht="12.75" customHeight="1">
      <c r="A619" s="404" t="s">
        <v>175</v>
      </c>
      <c r="B619" s="405"/>
      <c r="C619" s="405"/>
      <c r="D619" s="428"/>
      <c r="E619" s="428"/>
      <c r="F619" s="428"/>
      <c r="G619" s="429"/>
      <c r="H619" s="94"/>
    </row>
    <row r="620" spans="1:9" ht="12.75" customHeight="1">
      <c r="A620" s="406" t="str">
        <f t="shared" ref="A620:B649" si="26">+A4</f>
        <v xml:space="preserve">OBRA N°      Bocatoma - Acueducto </v>
      </c>
      <c r="B620" s="401"/>
      <c r="C620" s="401"/>
      <c r="D620" s="401"/>
      <c r="E620" s="195"/>
      <c r="F620" s="402" t="s">
        <v>177</v>
      </c>
      <c r="G620" s="430">
        <f t="shared" ca="1" si="0"/>
        <v>46289</v>
      </c>
      <c r="H620" s="95"/>
      <c r="I620" s="98"/>
    </row>
    <row r="621" spans="1:9" ht="12.75" customHeight="1">
      <c r="A621" s="433"/>
      <c r="B621" s="426"/>
      <c r="C621" s="426"/>
      <c r="D621" s="426"/>
      <c r="E621" s="426"/>
      <c r="F621" s="426"/>
      <c r="G621" s="431"/>
    </row>
    <row r="622" spans="1:9" ht="12.75" customHeight="1">
      <c r="A622" s="406" t="s">
        <v>286</v>
      </c>
      <c r="B622" s="401" t="s">
        <v>287</v>
      </c>
      <c r="C622" s="401"/>
      <c r="D622" s="401"/>
      <c r="E622" s="401"/>
      <c r="F622" s="401"/>
      <c r="G622" s="417"/>
    </row>
    <row r="623" spans="1:9" ht="12.75" customHeight="1">
      <c r="A623" s="406"/>
      <c r="B623" s="401"/>
      <c r="C623" s="401" t="s">
        <v>179</v>
      </c>
      <c r="D623" s="401">
        <v>1</v>
      </c>
      <c r="E623" s="401" t="s">
        <v>180</v>
      </c>
      <c r="F623" s="401" t="s">
        <v>262</v>
      </c>
      <c r="G623" s="417"/>
    </row>
    <row r="624" spans="1:9" ht="12.75" customHeight="1">
      <c r="A624" s="406" t="s">
        <v>182</v>
      </c>
      <c r="B624" s="401"/>
      <c r="C624" s="401"/>
      <c r="D624" s="401"/>
      <c r="E624" s="401"/>
      <c r="F624" s="401"/>
      <c r="G624" s="417"/>
    </row>
    <row r="625" spans="1:7" ht="12.75" customHeight="1">
      <c r="A625" s="408" t="s">
        <v>111</v>
      </c>
      <c r="B625" s="169" t="s">
        <v>183</v>
      </c>
      <c r="C625" s="169" t="s">
        <v>184</v>
      </c>
      <c r="D625" s="169" t="s">
        <v>185</v>
      </c>
      <c r="E625" s="169" t="s">
        <v>186</v>
      </c>
      <c r="F625" s="401"/>
      <c r="G625" s="417"/>
    </row>
    <row r="626" spans="1:7" ht="12.75" customHeight="1">
      <c r="A626" s="406" t="s">
        <v>187</v>
      </c>
      <c r="B626" s="401"/>
      <c r="C626" s="401"/>
      <c r="D626" s="401"/>
      <c r="E626" s="403">
        <f t="shared" si="1"/>
        <v>2643.3485708452331</v>
      </c>
      <c r="F626" s="401"/>
      <c r="G626" s="417"/>
    </row>
    <row r="627" spans="1:7" ht="12.75" customHeight="1">
      <c r="A627" s="406"/>
      <c r="B627" s="401"/>
      <c r="C627" s="401"/>
      <c r="D627" s="401"/>
      <c r="E627" s="401"/>
      <c r="F627" s="401"/>
      <c r="G627" s="417"/>
    </row>
    <row r="628" spans="1:7" ht="12.75" customHeight="1">
      <c r="A628" s="406"/>
      <c r="B628" s="401"/>
      <c r="C628" s="401"/>
      <c r="D628" s="401"/>
      <c r="E628" s="401"/>
      <c r="F628" s="401"/>
      <c r="G628" s="417"/>
    </row>
    <row r="629" spans="1:7" ht="12.75" customHeight="1">
      <c r="A629" s="406"/>
      <c r="B629" s="401"/>
      <c r="C629" s="401"/>
      <c r="D629" s="401"/>
      <c r="E629" s="401"/>
      <c r="F629" s="401" t="s">
        <v>189</v>
      </c>
      <c r="G629" s="417">
        <f t="shared" si="2"/>
        <v>2643.3485708452331</v>
      </c>
    </row>
    <row r="630" spans="1:7" ht="12.75" customHeight="1">
      <c r="A630" s="406" t="s">
        <v>191</v>
      </c>
      <c r="B630" s="401"/>
      <c r="C630" s="401"/>
      <c r="D630" s="401"/>
      <c r="E630" s="401"/>
      <c r="F630" s="401"/>
      <c r="G630" s="417"/>
    </row>
    <row r="631" spans="1:7" ht="12.75" customHeight="1">
      <c r="A631" s="408" t="s">
        <v>111</v>
      </c>
      <c r="B631" s="169" t="s">
        <v>193</v>
      </c>
      <c r="C631" s="169" t="s">
        <v>194</v>
      </c>
      <c r="D631" s="169" t="s">
        <v>195</v>
      </c>
      <c r="E631" s="169" t="s">
        <v>186</v>
      </c>
      <c r="F631" s="401"/>
      <c r="G631" s="417"/>
    </row>
    <row r="632" spans="1:7" ht="12.75" customHeight="1">
      <c r="A632" s="406" t="s">
        <v>288</v>
      </c>
      <c r="B632" s="169" t="s">
        <v>35</v>
      </c>
      <c r="C632" s="403">
        <f>(41401*1.19)</f>
        <v>49267.189999999995</v>
      </c>
      <c r="D632" s="401">
        <f>0.7*1.05</f>
        <v>0.73499999999999999</v>
      </c>
      <c r="E632" s="403">
        <f t="shared" si="11"/>
        <v>36211.384649999993</v>
      </c>
      <c r="F632" s="401"/>
      <c r="G632" s="417"/>
    </row>
    <row r="633" spans="1:7" ht="12.75" customHeight="1">
      <c r="A633" s="406" t="s">
        <v>289</v>
      </c>
      <c r="B633" s="169" t="s">
        <v>193</v>
      </c>
      <c r="C633" s="403">
        <f>25127*1.19</f>
        <v>29901.129999999997</v>
      </c>
      <c r="D633" s="401">
        <v>1</v>
      </c>
      <c r="E633" s="403">
        <f t="shared" si="11"/>
        <v>29901.129999999997</v>
      </c>
      <c r="F633" s="401"/>
      <c r="G633" s="417"/>
    </row>
    <row r="634" spans="1:7" ht="12.75" customHeight="1">
      <c r="A634" s="406" t="s">
        <v>290</v>
      </c>
      <c r="B634" s="169" t="s">
        <v>193</v>
      </c>
      <c r="C634" s="403">
        <f>25385*1.19</f>
        <v>30208.149999999998</v>
      </c>
      <c r="D634" s="401">
        <v>1</v>
      </c>
      <c r="E634" s="403">
        <f t="shared" si="11"/>
        <v>30208.149999999998</v>
      </c>
      <c r="F634" s="401"/>
      <c r="G634" s="417"/>
    </row>
    <row r="635" spans="1:7" ht="12.75" customHeight="1">
      <c r="A635" s="406" t="s">
        <v>291</v>
      </c>
      <c r="B635" s="169" t="s">
        <v>256</v>
      </c>
      <c r="C635" s="401">
        <v>1500</v>
      </c>
      <c r="D635" s="401">
        <v>1</v>
      </c>
      <c r="E635" s="401">
        <f t="shared" si="11"/>
        <v>1500</v>
      </c>
      <c r="F635" s="401"/>
      <c r="G635" s="417"/>
    </row>
    <row r="636" spans="1:7" ht="12.75" customHeight="1">
      <c r="A636" s="406"/>
      <c r="B636" s="401"/>
      <c r="C636" s="401"/>
      <c r="D636" s="401"/>
      <c r="E636" s="401"/>
      <c r="F636" s="401"/>
      <c r="G636" s="417"/>
    </row>
    <row r="637" spans="1:7" ht="12.75" customHeight="1">
      <c r="A637" s="406"/>
      <c r="B637" s="401"/>
      <c r="C637" s="401"/>
      <c r="D637" s="401"/>
      <c r="E637" s="401"/>
      <c r="F637" s="401"/>
      <c r="G637" s="417"/>
    </row>
    <row r="638" spans="1:7" ht="12.75" customHeight="1">
      <c r="A638" s="406"/>
      <c r="B638" s="401"/>
      <c r="C638" s="401"/>
      <c r="D638" s="401"/>
      <c r="E638" s="401"/>
      <c r="F638" s="401" t="s">
        <v>189</v>
      </c>
      <c r="G638" s="417">
        <f>E632+E633+E634+E635</f>
        <v>97820.664649999992</v>
      </c>
    </row>
    <row r="639" spans="1:7" ht="12.75" customHeight="1">
      <c r="A639" s="406" t="s">
        <v>197</v>
      </c>
      <c r="B639" s="401"/>
      <c r="C639" s="401"/>
      <c r="D639" s="401"/>
      <c r="E639" s="401"/>
      <c r="F639" s="401"/>
      <c r="G639" s="417"/>
    </row>
    <row r="640" spans="1:7" ht="12.75" customHeight="1">
      <c r="A640" s="408" t="s">
        <v>198</v>
      </c>
      <c r="B640" s="169" t="s">
        <v>199</v>
      </c>
      <c r="C640" s="169" t="s">
        <v>200</v>
      </c>
      <c r="D640" s="169" t="s">
        <v>201</v>
      </c>
      <c r="E640" s="169" t="s">
        <v>186</v>
      </c>
      <c r="F640" s="401"/>
      <c r="G640" s="417"/>
    </row>
    <row r="641" spans="1:7" ht="12.75" customHeight="1">
      <c r="A641" s="406" t="s">
        <v>243</v>
      </c>
      <c r="B641" s="401"/>
      <c r="C641" s="401"/>
      <c r="D641" s="401"/>
      <c r="E641" s="403">
        <v>21795.169208403968</v>
      </c>
      <c r="F641" s="401"/>
      <c r="G641" s="417"/>
    </row>
    <row r="642" spans="1:7" ht="12.75" customHeight="1">
      <c r="A642" s="406"/>
      <c r="B642" s="401"/>
      <c r="C642" s="401"/>
      <c r="D642" s="401"/>
      <c r="E642" s="401"/>
      <c r="F642" s="401"/>
      <c r="G642" s="417"/>
    </row>
    <row r="643" spans="1:7" ht="12.75" customHeight="1">
      <c r="A643" s="406"/>
      <c r="B643" s="401"/>
      <c r="C643" s="401"/>
      <c r="D643" s="401"/>
      <c r="E643" s="401"/>
      <c r="F643" s="401"/>
      <c r="G643" s="417"/>
    </row>
    <row r="644" spans="1:7" ht="12.75" customHeight="1">
      <c r="A644" s="406"/>
      <c r="B644" s="401"/>
      <c r="C644" s="401"/>
      <c r="D644" s="401"/>
      <c r="E644" s="401"/>
      <c r="F644" s="401"/>
      <c r="G644" s="417"/>
    </row>
    <row r="645" spans="1:7" ht="12.75" customHeight="1">
      <c r="A645" s="406"/>
      <c r="B645" s="401"/>
      <c r="C645" s="401"/>
      <c r="D645" s="401"/>
      <c r="E645" s="401"/>
      <c r="F645" s="401" t="s">
        <v>189</v>
      </c>
      <c r="G645" s="417">
        <f t="shared" si="13"/>
        <v>21795.169208403968</v>
      </c>
    </row>
    <row r="646" spans="1:7" ht="12.75" customHeight="1">
      <c r="A646" s="406" t="s">
        <v>202</v>
      </c>
      <c r="B646" s="401"/>
      <c r="C646" s="401"/>
      <c r="D646" s="401"/>
      <c r="E646" s="401"/>
      <c r="F646" s="401"/>
      <c r="G646" s="417"/>
    </row>
    <row r="647" spans="1:7" ht="12.75" customHeight="1">
      <c r="A647" s="408" t="s">
        <v>203</v>
      </c>
      <c r="B647" s="169" t="s">
        <v>204</v>
      </c>
      <c r="C647" s="169" t="s">
        <v>205</v>
      </c>
      <c r="D647" s="169" t="s">
        <v>206</v>
      </c>
      <c r="E647" s="169" t="s">
        <v>207</v>
      </c>
      <c r="F647" s="169" t="s">
        <v>208</v>
      </c>
      <c r="G647" s="417"/>
    </row>
    <row r="648" spans="1:7" ht="12.75" customHeight="1">
      <c r="A648" s="406" t="s">
        <v>188</v>
      </c>
      <c r="B648" s="401">
        <f t="shared" si="26"/>
        <v>140000</v>
      </c>
      <c r="C648" s="401">
        <f t="shared" si="14"/>
        <v>105000</v>
      </c>
      <c r="D648" s="401">
        <f t="shared" si="4"/>
        <v>245000</v>
      </c>
      <c r="E648" s="403">
        <v>7.4217230447577887</v>
      </c>
      <c r="F648" s="403">
        <f t="shared" si="5"/>
        <v>33011.20218613543</v>
      </c>
      <c r="G648" s="417"/>
    </row>
    <row r="649" spans="1:7" ht="12.75" customHeight="1">
      <c r="A649" s="406" t="s">
        <v>190</v>
      </c>
      <c r="B649" s="401">
        <f t="shared" si="26"/>
        <v>90769.230769230751</v>
      </c>
      <c r="C649" s="403">
        <f t="shared" si="14"/>
        <v>68076.923076923063</v>
      </c>
      <c r="D649" s="403">
        <f t="shared" si="4"/>
        <v>158846.15384615381</v>
      </c>
      <c r="E649" s="401">
        <v>8</v>
      </c>
      <c r="F649" s="403">
        <f t="shared" si="5"/>
        <v>19855.769230769227</v>
      </c>
      <c r="G649" s="417"/>
    </row>
    <row r="650" spans="1:7" ht="12.75" customHeight="1">
      <c r="A650" s="406"/>
      <c r="B650" s="401"/>
      <c r="C650" s="401"/>
      <c r="D650" s="401"/>
      <c r="E650" s="401"/>
      <c r="F650" s="401"/>
      <c r="G650" s="417"/>
    </row>
    <row r="651" spans="1:7" ht="12.75" customHeight="1">
      <c r="A651" s="406"/>
      <c r="B651" s="401"/>
      <c r="C651" s="401"/>
      <c r="D651" s="401"/>
      <c r="E651" s="401"/>
      <c r="F651" s="401"/>
      <c r="G651" s="417"/>
    </row>
    <row r="652" spans="1:7" ht="12.75" customHeight="1">
      <c r="A652" s="406"/>
      <c r="B652" s="401"/>
      <c r="C652" s="401"/>
      <c r="D652" s="401"/>
      <c r="E652" s="401"/>
      <c r="F652" s="401"/>
      <c r="G652" s="417"/>
    </row>
    <row r="653" spans="1:7" ht="12.75" customHeight="1">
      <c r="A653" s="406"/>
      <c r="B653" s="401"/>
      <c r="C653" s="401"/>
      <c r="D653" s="401"/>
      <c r="E653" s="401"/>
      <c r="F653" s="401"/>
      <c r="G653" s="417"/>
    </row>
    <row r="654" spans="1:7" ht="12.75" customHeight="1">
      <c r="A654" s="406"/>
      <c r="B654" s="401"/>
      <c r="C654" s="401"/>
      <c r="D654" s="401"/>
      <c r="E654" s="401"/>
      <c r="F654" s="401" t="s">
        <v>189</v>
      </c>
      <c r="G654" s="417">
        <f t="shared" si="6"/>
        <v>52866.971416904657</v>
      </c>
    </row>
    <row r="655" spans="1:7" ht="12.75" customHeight="1">
      <c r="A655" s="406"/>
      <c r="B655" s="401"/>
      <c r="C655" s="401"/>
      <c r="D655" s="401"/>
      <c r="E655" s="401"/>
      <c r="F655" s="401"/>
      <c r="G655" s="417"/>
    </row>
    <row r="656" spans="1:7" ht="12.75" customHeight="1">
      <c r="A656" s="406" t="s">
        <v>209</v>
      </c>
      <c r="B656" s="401"/>
      <c r="C656" s="401" t="s">
        <v>210</v>
      </c>
      <c r="D656" s="471" t="s">
        <v>211</v>
      </c>
      <c r="E656" s="472"/>
      <c r="F656" s="472"/>
      <c r="G656" s="417">
        <f t="shared" si="7"/>
        <v>175126.15384615384</v>
      </c>
    </row>
    <row r="657" spans="1:9" ht="12.75" customHeight="1">
      <c r="A657" s="406"/>
      <c r="B657" s="401"/>
      <c r="C657" s="401"/>
      <c r="D657" s="401"/>
      <c r="E657" s="401"/>
      <c r="F657" s="401"/>
      <c r="G657" s="417"/>
    </row>
    <row r="658" spans="1:9" ht="12.75" customHeight="1">
      <c r="A658" s="406"/>
      <c r="B658" s="401"/>
      <c r="C658" s="401"/>
      <c r="D658" s="401"/>
      <c r="E658" s="401" t="s">
        <v>212</v>
      </c>
      <c r="F658" s="401"/>
      <c r="G658" s="417">
        <f t="shared" si="8"/>
        <v>52537.846153846149</v>
      </c>
    </row>
    <row r="659" spans="1:9" ht="12.75" customHeight="1">
      <c r="A659" s="406"/>
      <c r="B659" s="401"/>
      <c r="C659" s="401"/>
      <c r="D659" s="401"/>
      <c r="E659" s="401"/>
      <c r="F659" s="401"/>
      <c r="G659" s="417"/>
    </row>
    <row r="660" spans="1:9" ht="12.75" customHeight="1" thickBot="1">
      <c r="A660" s="411" t="s">
        <v>213</v>
      </c>
      <c r="B660" s="412"/>
      <c r="C660" s="412"/>
      <c r="D660" s="469" t="s">
        <v>214</v>
      </c>
      <c r="E660" s="470"/>
      <c r="F660" s="470"/>
      <c r="G660" s="418">
        <f t="shared" si="9"/>
        <v>227664</v>
      </c>
    </row>
    <row r="661" spans="1:9" ht="15" customHeight="1">
      <c r="A661" s="531" t="s">
        <v>174</v>
      </c>
      <c r="B661" s="457"/>
      <c r="C661" s="457"/>
      <c r="D661" s="457"/>
      <c r="E661" s="457"/>
      <c r="F661" s="457"/>
      <c r="G661" s="457"/>
    </row>
    <row r="662" spans="1:9" ht="12.75" customHeight="1" thickBot="1"/>
    <row r="663" spans="1:9" ht="12.75" customHeight="1">
      <c r="A663" s="404" t="s">
        <v>175</v>
      </c>
      <c r="B663" s="405"/>
      <c r="C663" s="405"/>
      <c r="D663" s="428"/>
      <c r="E663" s="428"/>
      <c r="F663" s="428"/>
      <c r="G663" s="429"/>
      <c r="H663" s="94"/>
    </row>
    <row r="664" spans="1:9" ht="12.75" customHeight="1">
      <c r="A664" s="406" t="str">
        <f t="shared" ref="A664:B693" si="27">+A4</f>
        <v xml:space="preserve">OBRA N°      Bocatoma - Acueducto </v>
      </c>
      <c r="B664" s="401"/>
      <c r="C664" s="401"/>
      <c r="D664" s="401"/>
      <c r="E664" s="195"/>
      <c r="F664" s="402" t="s">
        <v>177</v>
      </c>
      <c r="G664" s="430">
        <f t="shared" ca="1" si="0"/>
        <v>46289</v>
      </c>
      <c r="H664" s="95"/>
      <c r="I664" s="98"/>
    </row>
    <row r="665" spans="1:9" ht="12.75" customHeight="1">
      <c r="A665" s="433"/>
      <c r="B665" s="426"/>
      <c r="C665" s="426"/>
      <c r="D665" s="426"/>
      <c r="E665" s="426"/>
      <c r="F665" s="426"/>
      <c r="G665" s="431"/>
    </row>
    <row r="666" spans="1:9" ht="12.75" customHeight="1">
      <c r="A666" s="406" t="s">
        <v>292</v>
      </c>
      <c r="B666" s="401" t="s">
        <v>293</v>
      </c>
      <c r="C666" s="401"/>
      <c r="D666" s="401"/>
      <c r="E666" s="401"/>
      <c r="F666" s="401"/>
      <c r="G666" s="417"/>
    </row>
    <row r="667" spans="1:9" ht="12.75" customHeight="1">
      <c r="A667" s="406"/>
      <c r="B667" s="401"/>
      <c r="C667" s="401" t="s">
        <v>179</v>
      </c>
      <c r="D667" s="169">
        <v>1</v>
      </c>
      <c r="E667" s="401" t="s">
        <v>180</v>
      </c>
      <c r="F667" s="401" t="s">
        <v>294</v>
      </c>
      <c r="G667" s="417"/>
    </row>
    <row r="668" spans="1:9" ht="12.75" customHeight="1">
      <c r="A668" s="406" t="s">
        <v>182</v>
      </c>
      <c r="B668" s="401"/>
      <c r="C668" s="401"/>
      <c r="D668" s="401"/>
      <c r="E668" s="401"/>
      <c r="F668" s="401"/>
      <c r="G668" s="417"/>
    </row>
    <row r="669" spans="1:9" ht="12.75" customHeight="1">
      <c r="A669" s="408" t="s">
        <v>111</v>
      </c>
      <c r="B669" s="169" t="s">
        <v>183</v>
      </c>
      <c r="C669" s="169" t="s">
        <v>184</v>
      </c>
      <c r="D669" s="169" t="s">
        <v>185</v>
      </c>
      <c r="E669" s="169" t="s">
        <v>186</v>
      </c>
      <c r="F669" s="401"/>
      <c r="G669" s="417"/>
    </row>
    <row r="670" spans="1:9" ht="12.75" customHeight="1">
      <c r="A670" s="406" t="s">
        <v>187</v>
      </c>
      <c r="B670" s="401"/>
      <c r="C670" s="401"/>
      <c r="D670" s="401"/>
      <c r="E670" s="403">
        <f t="shared" si="1"/>
        <v>1080.7271272883806</v>
      </c>
      <c r="F670" s="401"/>
      <c r="G670" s="417"/>
    </row>
    <row r="671" spans="1:9" ht="12.75" customHeight="1">
      <c r="A671" s="406"/>
      <c r="B671" s="401"/>
      <c r="C671" s="401"/>
      <c r="D671" s="401"/>
      <c r="E671" s="401"/>
      <c r="F671" s="401"/>
      <c r="G671" s="417"/>
    </row>
    <row r="672" spans="1:9" ht="12.75" customHeight="1">
      <c r="A672" s="406"/>
      <c r="B672" s="401"/>
      <c r="C672" s="401"/>
      <c r="D672" s="401"/>
      <c r="E672" s="401"/>
      <c r="F672" s="401"/>
      <c r="G672" s="417"/>
    </row>
    <row r="673" spans="1:7" ht="12.75" customHeight="1">
      <c r="A673" s="406"/>
      <c r="B673" s="401"/>
      <c r="C673" s="401"/>
      <c r="D673" s="401"/>
      <c r="E673" s="401"/>
      <c r="F673" s="401" t="s">
        <v>189</v>
      </c>
      <c r="G673" s="417">
        <f t="shared" si="2"/>
        <v>1080.7271272883806</v>
      </c>
    </row>
    <row r="674" spans="1:7" ht="12.75" customHeight="1">
      <c r="A674" s="406" t="s">
        <v>191</v>
      </c>
      <c r="B674" s="401"/>
      <c r="C674" s="401"/>
      <c r="D674" s="401"/>
      <c r="E674" s="401"/>
      <c r="F674" s="401"/>
      <c r="G674" s="417"/>
    </row>
    <row r="675" spans="1:7" ht="12.75" customHeight="1">
      <c r="A675" s="408" t="s">
        <v>111</v>
      </c>
      <c r="B675" s="169" t="s">
        <v>193</v>
      </c>
      <c r="C675" s="169" t="s">
        <v>194</v>
      </c>
      <c r="D675" s="169" t="s">
        <v>195</v>
      </c>
      <c r="E675" s="169" t="s">
        <v>186</v>
      </c>
      <c r="F675" s="401"/>
      <c r="G675" s="417"/>
    </row>
    <row r="676" spans="1:7" ht="12.75" customHeight="1">
      <c r="A676" s="406" t="s">
        <v>295</v>
      </c>
      <c r="B676" s="169" t="s">
        <v>35</v>
      </c>
      <c r="C676" s="403">
        <f>(19133*1.19)</f>
        <v>22768.27</v>
      </c>
      <c r="D676" s="401">
        <v>1.05</v>
      </c>
      <c r="E676" s="403">
        <v>32000</v>
      </c>
      <c r="F676" s="401"/>
      <c r="G676" s="417"/>
    </row>
    <row r="677" spans="1:7" ht="12.75" customHeight="1">
      <c r="A677" s="406" t="s">
        <v>296</v>
      </c>
      <c r="B677" s="169" t="s">
        <v>220</v>
      </c>
      <c r="C677" s="401">
        <v>1000</v>
      </c>
      <c r="D677" s="401">
        <v>1</v>
      </c>
      <c r="E677" s="401">
        <f t="shared" si="11"/>
        <v>1000</v>
      </c>
      <c r="F677" s="401"/>
      <c r="G677" s="417"/>
    </row>
    <row r="678" spans="1:7" ht="12.75" customHeight="1">
      <c r="A678" s="406"/>
      <c r="B678" s="401"/>
      <c r="C678" s="401"/>
      <c r="D678" s="401"/>
      <c r="E678" s="401"/>
      <c r="F678" s="401"/>
      <c r="G678" s="417"/>
    </row>
    <row r="679" spans="1:7" ht="12.75" customHeight="1">
      <c r="A679" s="406"/>
      <c r="B679" s="401"/>
      <c r="C679" s="401"/>
      <c r="D679" s="401"/>
      <c r="E679" s="401"/>
      <c r="F679" s="401"/>
      <c r="G679" s="417"/>
    </row>
    <row r="680" spans="1:7" ht="12.75" customHeight="1">
      <c r="A680" s="406"/>
      <c r="B680" s="401"/>
      <c r="C680" s="401"/>
      <c r="D680" s="401"/>
      <c r="E680" s="401"/>
      <c r="F680" s="401"/>
      <c r="G680" s="417"/>
    </row>
    <row r="681" spans="1:7" ht="12.75" customHeight="1">
      <c r="A681" s="406"/>
      <c r="B681" s="401"/>
      <c r="C681" s="401"/>
      <c r="D681" s="401"/>
      <c r="E681" s="401"/>
      <c r="F681" s="401"/>
      <c r="G681" s="417"/>
    </row>
    <row r="682" spans="1:7" ht="12.75" customHeight="1">
      <c r="A682" s="406"/>
      <c r="B682" s="401"/>
      <c r="C682" s="401"/>
      <c r="D682" s="401"/>
      <c r="E682" s="401"/>
      <c r="F682" s="401" t="s">
        <v>189</v>
      </c>
      <c r="G682" s="417">
        <f t="shared" si="12"/>
        <v>33000</v>
      </c>
    </row>
    <row r="683" spans="1:7" ht="12.75" customHeight="1">
      <c r="A683" s="406" t="s">
        <v>197</v>
      </c>
      <c r="B683" s="401"/>
      <c r="C683" s="401"/>
      <c r="D683" s="401"/>
      <c r="E683" s="401"/>
      <c r="F683" s="401"/>
      <c r="G683" s="417"/>
    </row>
    <row r="684" spans="1:7" ht="12.75" customHeight="1">
      <c r="A684" s="408" t="s">
        <v>198</v>
      </c>
      <c r="B684" s="169" t="s">
        <v>199</v>
      </c>
      <c r="C684" s="169" t="s">
        <v>200</v>
      </c>
      <c r="D684" s="169" t="s">
        <v>201</v>
      </c>
      <c r="E684" s="169" t="s">
        <v>186</v>
      </c>
      <c r="F684" s="401"/>
      <c r="G684" s="417"/>
    </row>
    <row r="685" spans="1:7" ht="12.75" customHeight="1">
      <c r="A685" s="406" t="s">
        <v>243</v>
      </c>
      <c r="B685" s="401"/>
      <c r="C685" s="401"/>
      <c r="D685" s="401"/>
      <c r="E685" s="403">
        <v>12718.57648079016</v>
      </c>
      <c r="F685" s="401"/>
      <c r="G685" s="417"/>
    </row>
    <row r="686" spans="1:7" ht="12.75" customHeight="1">
      <c r="A686" s="406"/>
      <c r="B686" s="401"/>
      <c r="C686" s="401"/>
      <c r="D686" s="401"/>
      <c r="E686" s="401"/>
      <c r="F686" s="401"/>
      <c r="G686" s="417"/>
    </row>
    <row r="687" spans="1:7" ht="12.75" customHeight="1">
      <c r="A687" s="406"/>
      <c r="B687" s="401"/>
      <c r="C687" s="401"/>
      <c r="D687" s="401"/>
      <c r="E687" s="401"/>
      <c r="F687" s="401"/>
      <c r="G687" s="417"/>
    </row>
    <row r="688" spans="1:7" ht="12.75" customHeight="1">
      <c r="A688" s="406"/>
      <c r="B688" s="401"/>
      <c r="C688" s="401"/>
      <c r="D688" s="401"/>
      <c r="E688" s="401"/>
      <c r="F688" s="401"/>
      <c r="G688" s="417"/>
    </row>
    <row r="689" spans="1:7" ht="12.75" customHeight="1">
      <c r="A689" s="406"/>
      <c r="B689" s="401"/>
      <c r="C689" s="401"/>
      <c r="D689" s="401"/>
      <c r="E689" s="401"/>
      <c r="F689" s="401" t="s">
        <v>189</v>
      </c>
      <c r="G689" s="417">
        <f t="shared" si="13"/>
        <v>12718.57648079016</v>
      </c>
    </row>
    <row r="690" spans="1:7" ht="12.75" customHeight="1">
      <c r="A690" s="406" t="s">
        <v>202</v>
      </c>
      <c r="B690" s="401"/>
      <c r="C690" s="401"/>
      <c r="D690" s="401"/>
      <c r="E690" s="401"/>
      <c r="F690" s="401"/>
      <c r="G690" s="417"/>
    </row>
    <row r="691" spans="1:7" ht="12.75" customHeight="1">
      <c r="A691" s="408" t="s">
        <v>203</v>
      </c>
      <c r="B691" s="169" t="s">
        <v>204</v>
      </c>
      <c r="C691" s="169" t="s">
        <v>205</v>
      </c>
      <c r="D691" s="169" t="s">
        <v>206</v>
      </c>
      <c r="E691" s="169" t="s">
        <v>207</v>
      </c>
      <c r="F691" s="169" t="s">
        <v>208</v>
      </c>
      <c r="G691" s="417"/>
    </row>
    <row r="692" spans="1:7" ht="12.75" customHeight="1">
      <c r="A692" s="406" t="s">
        <v>188</v>
      </c>
      <c r="B692" s="401">
        <f t="shared" si="27"/>
        <v>140000</v>
      </c>
      <c r="C692" s="401">
        <f t="shared" si="14"/>
        <v>105000</v>
      </c>
      <c r="D692" s="401">
        <f t="shared" si="4"/>
        <v>245000</v>
      </c>
      <c r="E692" s="401">
        <v>19</v>
      </c>
      <c r="F692" s="403">
        <f t="shared" si="5"/>
        <v>12894.736842105263</v>
      </c>
      <c r="G692" s="417"/>
    </row>
    <row r="693" spans="1:7" ht="12.75" customHeight="1">
      <c r="A693" s="406" t="s">
        <v>190</v>
      </c>
      <c r="B693" s="401">
        <f t="shared" si="27"/>
        <v>90769.230769230751</v>
      </c>
      <c r="C693" s="403">
        <f t="shared" si="14"/>
        <v>68076.923076923063</v>
      </c>
      <c r="D693" s="403">
        <f t="shared" si="4"/>
        <v>158846.15384615381</v>
      </c>
      <c r="E693" s="403">
        <v>18.216707945618325</v>
      </c>
      <c r="F693" s="403">
        <f t="shared" si="5"/>
        <v>8719.805703662345</v>
      </c>
      <c r="G693" s="417"/>
    </row>
    <row r="694" spans="1:7" ht="12.75" customHeight="1">
      <c r="A694" s="406"/>
      <c r="B694" s="401"/>
      <c r="C694" s="401"/>
      <c r="D694" s="401"/>
      <c r="E694" s="401"/>
      <c r="F694" s="401"/>
      <c r="G694" s="417"/>
    </row>
    <row r="695" spans="1:7" ht="12.75" customHeight="1">
      <c r="A695" s="406"/>
      <c r="B695" s="401"/>
      <c r="C695" s="401"/>
      <c r="D695" s="401"/>
      <c r="E695" s="401"/>
      <c r="F695" s="401"/>
      <c r="G695" s="417"/>
    </row>
    <row r="696" spans="1:7" ht="12.75" customHeight="1">
      <c r="A696" s="406"/>
      <c r="B696" s="401"/>
      <c r="C696" s="401"/>
      <c r="D696" s="401"/>
      <c r="E696" s="401"/>
      <c r="F696" s="401"/>
      <c r="G696" s="417"/>
    </row>
    <row r="697" spans="1:7" ht="12.75" customHeight="1">
      <c r="A697" s="406"/>
      <c r="B697" s="401"/>
      <c r="C697" s="401"/>
      <c r="D697" s="401"/>
      <c r="E697" s="401"/>
      <c r="F697" s="401"/>
      <c r="G697" s="417"/>
    </row>
    <row r="698" spans="1:7" ht="12.75" customHeight="1">
      <c r="A698" s="406"/>
      <c r="B698" s="401"/>
      <c r="C698" s="401"/>
      <c r="D698" s="401"/>
      <c r="E698" s="401"/>
      <c r="F698" s="401" t="s">
        <v>189</v>
      </c>
      <c r="G698" s="417">
        <f t="shared" si="6"/>
        <v>21614.54254576761</v>
      </c>
    </row>
    <row r="699" spans="1:7" ht="12.75" customHeight="1">
      <c r="A699" s="406"/>
      <c r="B699" s="401"/>
      <c r="C699" s="401"/>
      <c r="D699" s="401"/>
      <c r="E699" s="401"/>
      <c r="F699" s="401"/>
      <c r="G699" s="417"/>
    </row>
    <row r="700" spans="1:7" ht="12.75" customHeight="1">
      <c r="A700" s="406" t="s">
        <v>209</v>
      </c>
      <c r="B700" s="401"/>
      <c r="C700" s="401" t="s">
        <v>210</v>
      </c>
      <c r="D700" s="471" t="s">
        <v>211</v>
      </c>
      <c r="E700" s="472"/>
      <c r="F700" s="472"/>
      <c r="G700" s="417">
        <f t="shared" si="7"/>
        <v>68413.846153846156</v>
      </c>
    </row>
    <row r="701" spans="1:7" ht="12.75" customHeight="1">
      <c r="A701" s="406"/>
      <c r="B701" s="401"/>
      <c r="C701" s="401"/>
      <c r="D701" s="401"/>
      <c r="E701" s="401"/>
      <c r="F701" s="401"/>
      <c r="G701" s="417"/>
    </row>
    <row r="702" spans="1:7" ht="12.75" customHeight="1">
      <c r="A702" s="406"/>
      <c r="B702" s="401"/>
      <c r="C702" s="401"/>
      <c r="D702" s="401"/>
      <c r="E702" s="401" t="s">
        <v>212</v>
      </c>
      <c r="F702" s="401"/>
      <c r="G702" s="417">
        <f t="shared" si="8"/>
        <v>20524.153846153848</v>
      </c>
    </row>
    <row r="703" spans="1:7" ht="12.75" customHeight="1">
      <c r="A703" s="406"/>
      <c r="B703" s="401"/>
      <c r="C703" s="401"/>
      <c r="D703" s="401"/>
      <c r="E703" s="401"/>
      <c r="F703" s="401"/>
      <c r="G703" s="417"/>
    </row>
    <row r="704" spans="1:7" ht="12.75" customHeight="1" thickBot="1">
      <c r="A704" s="411" t="s">
        <v>213</v>
      </c>
      <c r="B704" s="412"/>
      <c r="C704" s="412"/>
      <c r="D704" s="469" t="s">
        <v>214</v>
      </c>
      <c r="E704" s="470"/>
      <c r="F704" s="470"/>
      <c r="G704" s="418">
        <f t="shared" si="9"/>
        <v>88938</v>
      </c>
    </row>
    <row r="705" spans="1:9" ht="15" customHeight="1">
      <c r="A705" s="531" t="s">
        <v>174</v>
      </c>
      <c r="B705" s="457"/>
      <c r="C705" s="457"/>
      <c r="D705" s="457"/>
      <c r="E705" s="457"/>
      <c r="F705" s="457"/>
      <c r="G705" s="457"/>
    </row>
    <row r="706" spans="1:9" ht="12.75" customHeight="1" thickBot="1"/>
    <row r="707" spans="1:9" ht="12.75" customHeight="1">
      <c r="A707" s="404" t="s">
        <v>175</v>
      </c>
      <c r="B707" s="405"/>
      <c r="C707" s="405"/>
      <c r="D707" s="428"/>
      <c r="E707" s="428"/>
      <c r="F707" s="428"/>
      <c r="G707" s="429"/>
      <c r="H707" s="94"/>
    </row>
    <row r="708" spans="1:9" ht="12.75" customHeight="1">
      <c r="A708" s="406" t="str">
        <f>+A4</f>
        <v xml:space="preserve">OBRA N°      Bocatoma - Acueducto </v>
      </c>
      <c r="B708" s="401"/>
      <c r="C708" s="401"/>
      <c r="D708" s="401"/>
      <c r="E708" s="195"/>
      <c r="F708" s="402" t="s">
        <v>177</v>
      </c>
      <c r="G708" s="430">
        <f t="shared" ca="1" si="0"/>
        <v>46289</v>
      </c>
      <c r="H708" s="95"/>
      <c r="I708" s="98"/>
    </row>
    <row r="709" spans="1:9" ht="12.75" customHeight="1">
      <c r="A709" s="433"/>
      <c r="B709" s="426"/>
      <c r="C709" s="426"/>
      <c r="D709" s="426"/>
      <c r="E709" s="426"/>
      <c r="F709" s="426"/>
      <c r="G709" s="431"/>
    </row>
    <row r="710" spans="1:9" ht="12.75" customHeight="1">
      <c r="A710" s="406" t="s">
        <v>297</v>
      </c>
      <c r="B710" s="401" t="s">
        <v>36</v>
      </c>
      <c r="C710" s="401"/>
      <c r="D710" s="401"/>
      <c r="E710" s="401"/>
      <c r="F710" s="401"/>
      <c r="G710" s="417"/>
    </row>
    <row r="711" spans="1:9" ht="12.75" customHeight="1">
      <c r="A711" s="406"/>
      <c r="B711" s="401"/>
      <c r="C711" s="401" t="s">
        <v>179</v>
      </c>
      <c r="D711" s="401">
        <v>2</v>
      </c>
      <c r="E711" s="401" t="s">
        <v>180</v>
      </c>
      <c r="F711" s="401" t="s">
        <v>226</v>
      </c>
      <c r="G711" s="417"/>
    </row>
    <row r="712" spans="1:9" ht="12.75" customHeight="1">
      <c r="A712" s="406" t="s">
        <v>182</v>
      </c>
      <c r="B712" s="401"/>
      <c r="C712" s="401"/>
      <c r="D712" s="401"/>
      <c r="E712" s="401"/>
      <c r="F712" s="401"/>
      <c r="G712" s="417"/>
    </row>
    <row r="713" spans="1:9" ht="12.75" customHeight="1">
      <c r="A713" s="408" t="s">
        <v>111</v>
      </c>
      <c r="B713" s="169" t="s">
        <v>183</v>
      </c>
      <c r="C713" s="169" t="s">
        <v>184</v>
      </c>
      <c r="D713" s="169" t="s">
        <v>185</v>
      </c>
      <c r="E713" s="169" t="s">
        <v>186</v>
      </c>
      <c r="F713" s="401"/>
      <c r="G713" s="417"/>
    </row>
    <row r="714" spans="1:9" ht="12.75" customHeight="1">
      <c r="A714" s="406" t="s">
        <v>187</v>
      </c>
      <c r="B714" s="401"/>
      <c r="C714" s="401"/>
      <c r="D714" s="401"/>
      <c r="E714" s="403">
        <f t="shared" si="1"/>
        <v>2692.3077096670659</v>
      </c>
      <c r="F714" s="401"/>
      <c r="G714" s="417"/>
    </row>
    <row r="715" spans="1:9" ht="12.75" customHeight="1">
      <c r="A715" s="406"/>
      <c r="B715" s="401"/>
      <c r="C715" s="401"/>
      <c r="D715" s="401"/>
      <c r="E715" s="401"/>
      <c r="F715" s="401"/>
      <c r="G715" s="417"/>
    </row>
    <row r="716" spans="1:9" ht="12.75" customHeight="1">
      <c r="A716" s="406"/>
      <c r="B716" s="401"/>
      <c r="C716" s="401"/>
      <c r="D716" s="401"/>
      <c r="E716" s="401"/>
      <c r="F716" s="401"/>
      <c r="G716" s="417"/>
    </row>
    <row r="717" spans="1:9" ht="12.75" customHeight="1">
      <c r="A717" s="406"/>
      <c r="B717" s="401"/>
      <c r="C717" s="401"/>
      <c r="D717" s="401"/>
      <c r="E717" s="401"/>
      <c r="F717" s="401" t="s">
        <v>189</v>
      </c>
      <c r="G717" s="417">
        <f t="shared" si="2"/>
        <v>2692.3077096670659</v>
      </c>
    </row>
    <row r="718" spans="1:9" ht="12.75" customHeight="1">
      <c r="A718" s="406" t="s">
        <v>191</v>
      </c>
      <c r="B718" s="401"/>
      <c r="C718" s="401"/>
      <c r="D718" s="401"/>
      <c r="E718" s="401"/>
      <c r="F718" s="401"/>
      <c r="G718" s="417"/>
    </row>
    <row r="719" spans="1:9" ht="12.75" customHeight="1">
      <c r="A719" s="408" t="s">
        <v>111</v>
      </c>
      <c r="B719" s="169" t="s">
        <v>193</v>
      </c>
      <c r="C719" s="169" t="s">
        <v>194</v>
      </c>
      <c r="D719" s="169" t="s">
        <v>195</v>
      </c>
      <c r="E719" s="169" t="s">
        <v>186</v>
      </c>
      <c r="F719" s="401"/>
      <c r="G719" s="417"/>
    </row>
    <row r="720" spans="1:9" ht="12.75" customHeight="1">
      <c r="A720" s="406"/>
      <c r="B720" s="169"/>
      <c r="C720" s="401"/>
      <c r="D720" s="401"/>
      <c r="E720" s="401"/>
      <c r="F720" s="401"/>
      <c r="G720" s="417"/>
    </row>
    <row r="721" spans="1:7" ht="12.75" customHeight="1">
      <c r="A721" s="406"/>
      <c r="B721" s="169"/>
      <c r="C721" s="401"/>
      <c r="D721" s="401"/>
      <c r="E721" s="401"/>
      <c r="F721" s="401"/>
      <c r="G721" s="417"/>
    </row>
    <row r="722" spans="1:7" ht="12.75" customHeight="1">
      <c r="A722" s="406"/>
      <c r="B722" s="401"/>
      <c r="C722" s="401"/>
      <c r="D722" s="401"/>
      <c r="E722" s="401"/>
      <c r="F722" s="401"/>
      <c r="G722" s="417"/>
    </row>
    <row r="723" spans="1:7" ht="12.75" customHeight="1">
      <c r="A723" s="406"/>
      <c r="B723" s="401"/>
      <c r="C723" s="401"/>
      <c r="D723" s="401"/>
      <c r="E723" s="401"/>
      <c r="F723" s="401"/>
      <c r="G723" s="417"/>
    </row>
    <row r="724" spans="1:7" ht="12.75" customHeight="1">
      <c r="A724" s="406"/>
      <c r="B724" s="401"/>
      <c r="C724" s="401"/>
      <c r="D724" s="401"/>
      <c r="E724" s="401"/>
      <c r="F724" s="401"/>
      <c r="G724" s="417"/>
    </row>
    <row r="725" spans="1:7" ht="12.75" customHeight="1">
      <c r="A725" s="406"/>
      <c r="B725" s="401"/>
      <c r="C725" s="401"/>
      <c r="D725" s="401"/>
      <c r="E725" s="401"/>
      <c r="F725" s="401"/>
      <c r="G725" s="417"/>
    </row>
    <row r="726" spans="1:7" ht="12.75" customHeight="1">
      <c r="A726" s="406"/>
      <c r="B726" s="401"/>
      <c r="C726" s="401"/>
      <c r="D726" s="401"/>
      <c r="E726" s="401"/>
      <c r="F726" s="401" t="s">
        <v>189</v>
      </c>
      <c r="G726" s="417">
        <f t="shared" si="12"/>
        <v>0</v>
      </c>
    </row>
    <row r="727" spans="1:7" ht="12.75" customHeight="1">
      <c r="A727" s="406" t="s">
        <v>197</v>
      </c>
      <c r="B727" s="401"/>
      <c r="C727" s="401"/>
      <c r="D727" s="401"/>
      <c r="E727" s="401"/>
      <c r="F727" s="401"/>
      <c r="G727" s="417"/>
    </row>
    <row r="728" spans="1:7" ht="12.75" customHeight="1">
      <c r="A728" s="408" t="s">
        <v>198</v>
      </c>
      <c r="B728" s="169" t="s">
        <v>199</v>
      </c>
      <c r="C728" s="169" t="s">
        <v>200</v>
      </c>
      <c r="D728" s="169" t="s">
        <v>201</v>
      </c>
      <c r="E728" s="169" t="s">
        <v>186</v>
      </c>
      <c r="F728" s="401"/>
      <c r="G728" s="417"/>
    </row>
    <row r="729" spans="1:7" ht="12.75" customHeight="1">
      <c r="A729" s="406" t="s">
        <v>243</v>
      </c>
      <c r="B729" s="401"/>
      <c r="C729" s="401"/>
      <c r="D729" s="401"/>
      <c r="E729" s="401"/>
      <c r="F729" s="401"/>
      <c r="G729" s="417"/>
    </row>
    <row r="730" spans="1:7" ht="12.75" customHeight="1">
      <c r="A730" s="406"/>
      <c r="B730" s="401"/>
      <c r="C730" s="401"/>
      <c r="D730" s="401"/>
      <c r="E730" s="401"/>
      <c r="F730" s="401"/>
      <c r="G730" s="417"/>
    </row>
    <row r="731" spans="1:7" ht="12.75" customHeight="1">
      <c r="A731" s="406"/>
      <c r="B731" s="401"/>
      <c r="C731" s="401"/>
      <c r="D731" s="401"/>
      <c r="E731" s="401"/>
      <c r="F731" s="401"/>
      <c r="G731" s="417"/>
    </row>
    <row r="732" spans="1:7" ht="12.75" customHeight="1">
      <c r="A732" s="406"/>
      <c r="B732" s="401"/>
      <c r="C732" s="401"/>
      <c r="D732" s="401"/>
      <c r="E732" s="401"/>
      <c r="F732" s="401"/>
      <c r="G732" s="417"/>
    </row>
    <row r="733" spans="1:7" ht="12.75" customHeight="1">
      <c r="A733" s="406"/>
      <c r="B733" s="401"/>
      <c r="C733" s="401"/>
      <c r="D733" s="401"/>
      <c r="E733" s="401"/>
      <c r="F733" s="401" t="s">
        <v>189</v>
      </c>
      <c r="G733" s="417">
        <f t="shared" si="13"/>
        <v>0</v>
      </c>
    </row>
    <row r="734" spans="1:7" ht="12.75" customHeight="1">
      <c r="A734" s="406" t="s">
        <v>202</v>
      </c>
      <c r="B734" s="401"/>
      <c r="C734" s="401"/>
      <c r="D734" s="401"/>
      <c r="E734" s="401"/>
      <c r="F734" s="401"/>
      <c r="G734" s="417"/>
    </row>
    <row r="735" spans="1:7" ht="12.75" customHeight="1">
      <c r="A735" s="408" t="s">
        <v>203</v>
      </c>
      <c r="B735" s="169" t="s">
        <v>204</v>
      </c>
      <c r="C735" s="169" t="s">
        <v>205</v>
      </c>
      <c r="D735" s="169" t="s">
        <v>206</v>
      </c>
      <c r="E735" s="169" t="s">
        <v>207</v>
      </c>
      <c r="F735" s="169" t="s">
        <v>208</v>
      </c>
      <c r="G735" s="417"/>
    </row>
    <row r="736" spans="1:7" ht="12.75" customHeight="1">
      <c r="A736" s="406" t="s">
        <v>227</v>
      </c>
      <c r="B736" s="401">
        <f>+B33*2</f>
        <v>181538.4615384615</v>
      </c>
      <c r="C736" s="403">
        <f t="shared" si="14"/>
        <v>136153.84615384613</v>
      </c>
      <c r="D736" s="403">
        <f t="shared" si="4"/>
        <v>317692.30769230763</v>
      </c>
      <c r="E736" s="434">
        <v>5.899999961958172</v>
      </c>
      <c r="F736" s="403">
        <f t="shared" si="5"/>
        <v>53846.154193341317</v>
      </c>
      <c r="G736" s="417"/>
    </row>
    <row r="737" spans="1:9" ht="12.75" customHeight="1">
      <c r="A737" s="406"/>
      <c r="B737" s="401"/>
      <c r="C737" s="401"/>
      <c r="D737" s="401"/>
      <c r="E737" s="401"/>
      <c r="F737" s="403"/>
      <c r="G737" s="417"/>
    </row>
    <row r="738" spans="1:9" ht="12.75" customHeight="1">
      <c r="A738" s="406"/>
      <c r="B738" s="401"/>
      <c r="C738" s="401"/>
      <c r="D738" s="401"/>
      <c r="E738" s="401"/>
      <c r="F738" s="401"/>
      <c r="G738" s="417"/>
    </row>
    <row r="739" spans="1:9" ht="12.75" customHeight="1">
      <c r="A739" s="406"/>
      <c r="B739" s="401"/>
      <c r="C739" s="401"/>
      <c r="D739" s="401"/>
      <c r="E739" s="401"/>
      <c r="F739" s="401"/>
      <c r="G739" s="417"/>
    </row>
    <row r="740" spans="1:9" ht="12.75" customHeight="1">
      <c r="A740" s="406"/>
      <c r="B740" s="401"/>
      <c r="C740" s="401"/>
      <c r="D740" s="401"/>
      <c r="E740" s="401"/>
      <c r="F740" s="401"/>
      <c r="G740" s="417"/>
    </row>
    <row r="741" spans="1:9" ht="12.75" customHeight="1">
      <c r="A741" s="406"/>
      <c r="B741" s="401"/>
      <c r="C741" s="401"/>
      <c r="D741" s="401"/>
      <c r="E741" s="401"/>
      <c r="F741" s="401"/>
      <c r="G741" s="417"/>
    </row>
    <row r="742" spans="1:9" ht="12.75" customHeight="1">
      <c r="A742" s="406"/>
      <c r="B742" s="401"/>
      <c r="C742" s="401"/>
      <c r="D742" s="401"/>
      <c r="E742" s="401"/>
      <c r="F742" s="401" t="s">
        <v>189</v>
      </c>
      <c r="G742" s="417">
        <f t="shared" si="6"/>
        <v>53846.154193341317</v>
      </c>
    </row>
    <row r="743" spans="1:9" ht="12.75" customHeight="1">
      <c r="A743" s="406"/>
      <c r="B743" s="401"/>
      <c r="C743" s="401"/>
      <c r="D743" s="401"/>
      <c r="E743" s="401"/>
      <c r="F743" s="401"/>
      <c r="G743" s="417"/>
    </row>
    <row r="744" spans="1:9" ht="12.75" customHeight="1">
      <c r="A744" s="406" t="s">
        <v>209</v>
      </c>
      <c r="B744" s="401"/>
      <c r="C744" s="401" t="s">
        <v>210</v>
      </c>
      <c r="D744" s="471" t="s">
        <v>211</v>
      </c>
      <c r="E744" s="472"/>
      <c r="F744" s="472"/>
      <c r="G744" s="417">
        <f t="shared" si="7"/>
        <v>56538.461903008385</v>
      </c>
    </row>
    <row r="745" spans="1:9" ht="12.75" customHeight="1">
      <c r="A745" s="406"/>
      <c r="B745" s="401"/>
      <c r="C745" s="401"/>
      <c r="D745" s="401"/>
      <c r="E745" s="401"/>
      <c r="F745" s="401"/>
      <c r="G745" s="417"/>
    </row>
    <row r="746" spans="1:9" ht="12.75" customHeight="1">
      <c r="A746" s="406"/>
      <c r="B746" s="401"/>
      <c r="C746" s="401"/>
      <c r="D746" s="401"/>
      <c r="E746" s="401" t="s">
        <v>212</v>
      </c>
      <c r="F746" s="401"/>
      <c r="G746" s="417">
        <f t="shared" si="8"/>
        <v>16961.538570902514</v>
      </c>
    </row>
    <row r="747" spans="1:9" ht="12.75" customHeight="1">
      <c r="A747" s="406"/>
      <c r="B747" s="401"/>
      <c r="C747" s="401"/>
      <c r="D747" s="401"/>
      <c r="E747" s="401"/>
      <c r="F747" s="401"/>
      <c r="G747" s="417"/>
    </row>
    <row r="748" spans="1:9" ht="12.75" customHeight="1" thickBot="1">
      <c r="A748" s="411" t="s">
        <v>213</v>
      </c>
      <c r="B748" s="412"/>
      <c r="C748" s="412"/>
      <c r="D748" s="469" t="s">
        <v>214</v>
      </c>
      <c r="E748" s="470"/>
      <c r="F748" s="470"/>
      <c r="G748" s="418">
        <f t="shared" si="9"/>
        <v>73500.000473910899</v>
      </c>
    </row>
    <row r="749" spans="1:9" ht="15" customHeight="1">
      <c r="A749" s="531" t="s">
        <v>174</v>
      </c>
      <c r="B749" s="457"/>
      <c r="C749" s="457"/>
      <c r="D749" s="457"/>
      <c r="E749" s="457"/>
      <c r="F749" s="457"/>
      <c r="G749" s="457"/>
    </row>
    <row r="750" spans="1:9" ht="12.75" customHeight="1" thickBot="1"/>
    <row r="751" spans="1:9" ht="12.75" customHeight="1">
      <c r="A751" s="404" t="s">
        <v>175</v>
      </c>
      <c r="B751" s="405"/>
      <c r="C751" s="405"/>
      <c r="D751" s="428"/>
      <c r="E751" s="428"/>
      <c r="F751" s="428"/>
      <c r="G751" s="429"/>
      <c r="H751" s="94"/>
    </row>
    <row r="752" spans="1:9" ht="12.75" customHeight="1">
      <c r="A752" s="406" t="str">
        <f>+A48</f>
        <v xml:space="preserve">OBRA N°      Bocatoma - Acueducto </v>
      </c>
      <c r="B752" s="401"/>
      <c r="C752" s="401"/>
      <c r="D752" s="401"/>
      <c r="E752" s="195"/>
      <c r="F752" s="402" t="s">
        <v>177</v>
      </c>
      <c r="G752" s="430">
        <f t="shared" ref="G752" ca="1" si="28">+TODAY()</f>
        <v>46289</v>
      </c>
      <c r="H752" s="95"/>
      <c r="I752" s="98"/>
    </row>
    <row r="753" spans="1:7" ht="12.75" customHeight="1">
      <c r="A753" s="433"/>
      <c r="B753" s="426"/>
      <c r="C753" s="426"/>
      <c r="D753" s="426"/>
      <c r="E753" s="426"/>
      <c r="F753" s="426"/>
      <c r="G753" s="431"/>
    </row>
    <row r="754" spans="1:7" ht="12.75" customHeight="1">
      <c r="A754" s="406" t="s">
        <v>858</v>
      </c>
      <c r="B754" s="401" t="str">
        <f>+Presupuesto!B24</f>
        <v>S.T.I Guaya Cable Galvanizado 1/4 Alma De Acero</v>
      </c>
      <c r="C754" s="401"/>
      <c r="D754" s="401"/>
      <c r="E754" s="401"/>
      <c r="F754" s="401"/>
      <c r="G754" s="417"/>
    </row>
    <row r="755" spans="1:7" ht="12.75" customHeight="1">
      <c r="A755" s="406"/>
      <c r="B755" s="401"/>
      <c r="C755" s="401" t="s">
        <v>179</v>
      </c>
      <c r="D755" s="401">
        <v>2</v>
      </c>
      <c r="E755" s="401" t="s">
        <v>180</v>
      </c>
      <c r="F755" s="401" t="s">
        <v>226</v>
      </c>
      <c r="G755" s="417"/>
    </row>
    <row r="756" spans="1:7" ht="12.75" customHeight="1">
      <c r="A756" s="406" t="s">
        <v>182</v>
      </c>
      <c r="B756" s="401"/>
      <c r="C756" s="401"/>
      <c r="D756" s="401"/>
      <c r="E756" s="401"/>
      <c r="F756" s="401"/>
      <c r="G756" s="417"/>
    </row>
    <row r="757" spans="1:7" ht="12.75" customHeight="1">
      <c r="A757" s="408" t="s">
        <v>111</v>
      </c>
      <c r="B757" s="169" t="s">
        <v>183</v>
      </c>
      <c r="C757" s="169" t="s">
        <v>184</v>
      </c>
      <c r="D757" s="169" t="s">
        <v>185</v>
      </c>
      <c r="E757" s="169" t="s">
        <v>186</v>
      </c>
      <c r="F757" s="401"/>
      <c r="G757" s="417"/>
    </row>
    <row r="758" spans="1:7" ht="12.75" customHeight="1">
      <c r="A758" s="406" t="s">
        <v>187</v>
      </c>
      <c r="B758" s="401"/>
      <c r="C758" s="401"/>
      <c r="D758" s="401"/>
      <c r="E758" s="403">
        <f t="shared" ref="E758" si="29">G786*0.05</f>
        <v>334.23101481355252</v>
      </c>
      <c r="F758" s="401"/>
      <c r="G758" s="417"/>
    </row>
    <row r="759" spans="1:7" ht="12.75" customHeight="1">
      <c r="A759" s="406"/>
      <c r="B759" s="401"/>
      <c r="C759" s="401"/>
      <c r="D759" s="401"/>
      <c r="E759" s="401"/>
      <c r="F759" s="401"/>
      <c r="G759" s="417"/>
    </row>
    <row r="760" spans="1:7" ht="12.75" customHeight="1">
      <c r="A760" s="406"/>
      <c r="B760" s="401"/>
      <c r="C760" s="401"/>
      <c r="D760" s="401"/>
      <c r="E760" s="401"/>
      <c r="F760" s="401"/>
      <c r="G760" s="417"/>
    </row>
    <row r="761" spans="1:7" ht="12.75" customHeight="1">
      <c r="A761" s="406"/>
      <c r="B761" s="401"/>
      <c r="C761" s="401"/>
      <c r="D761" s="401"/>
      <c r="E761" s="401"/>
      <c r="F761" s="401" t="s">
        <v>189</v>
      </c>
      <c r="G761" s="417">
        <f t="shared" ref="G761" si="30">E758+E759+E760+E761</f>
        <v>334.23101481355252</v>
      </c>
    </row>
    <row r="762" spans="1:7" ht="12.75" customHeight="1">
      <c r="A762" s="406" t="s">
        <v>191</v>
      </c>
      <c r="B762" s="401"/>
      <c r="C762" s="401"/>
      <c r="D762" s="401"/>
      <c r="E762" s="401"/>
      <c r="F762" s="401"/>
      <c r="G762" s="417"/>
    </row>
    <row r="763" spans="1:7" ht="12.75" customHeight="1">
      <c r="A763" s="408" t="s">
        <v>111</v>
      </c>
      <c r="B763" s="169" t="s">
        <v>193</v>
      </c>
      <c r="C763" s="169" t="s">
        <v>194</v>
      </c>
      <c r="D763" s="169" t="s">
        <v>195</v>
      </c>
      <c r="E763" s="169" t="s">
        <v>186</v>
      </c>
      <c r="F763" s="401"/>
      <c r="G763" s="417"/>
    </row>
    <row r="764" spans="1:7" ht="12.75" customHeight="1">
      <c r="A764" s="406" t="s">
        <v>859</v>
      </c>
      <c r="B764" s="169" t="s">
        <v>860</v>
      </c>
      <c r="C764" s="403">
        <f>89900/10/1.2</f>
        <v>7491.666666666667</v>
      </c>
      <c r="D764" s="401">
        <v>1.05</v>
      </c>
      <c r="E764" s="401">
        <f>+C764*D764</f>
        <v>7866.2500000000009</v>
      </c>
      <c r="F764" s="401"/>
      <c r="G764" s="417"/>
    </row>
    <row r="765" spans="1:7" ht="12.75" customHeight="1">
      <c r="A765" s="406"/>
      <c r="B765" s="169"/>
      <c r="C765" s="401"/>
      <c r="D765" s="401"/>
      <c r="E765" s="401"/>
      <c r="F765" s="401"/>
      <c r="G765" s="417"/>
    </row>
    <row r="766" spans="1:7" ht="12.75" customHeight="1">
      <c r="A766" s="406"/>
      <c r="B766" s="401"/>
      <c r="C766" s="401"/>
      <c r="D766" s="401"/>
      <c r="E766" s="401"/>
      <c r="F766" s="401"/>
      <c r="G766" s="417"/>
    </row>
    <row r="767" spans="1:7" ht="12.75" customHeight="1">
      <c r="A767" s="406"/>
      <c r="B767" s="401"/>
      <c r="C767" s="401"/>
      <c r="D767" s="401"/>
      <c r="E767" s="401"/>
      <c r="F767" s="401"/>
      <c r="G767" s="417"/>
    </row>
    <row r="768" spans="1:7" ht="12.75" customHeight="1">
      <c r="A768" s="406"/>
      <c r="B768" s="401"/>
      <c r="C768" s="401"/>
      <c r="D768" s="401"/>
      <c r="E768" s="401"/>
      <c r="F768" s="401"/>
      <c r="G768" s="417"/>
    </row>
    <row r="769" spans="1:7" ht="12.75" customHeight="1">
      <c r="A769" s="406"/>
      <c r="B769" s="401"/>
      <c r="C769" s="401"/>
      <c r="D769" s="401"/>
      <c r="E769" s="401"/>
      <c r="F769" s="401"/>
      <c r="G769" s="417"/>
    </row>
    <row r="770" spans="1:7" ht="12.75" customHeight="1">
      <c r="A770" s="406"/>
      <c r="B770" s="401"/>
      <c r="C770" s="401"/>
      <c r="D770" s="401"/>
      <c r="E770" s="401"/>
      <c r="F770" s="401" t="s">
        <v>189</v>
      </c>
      <c r="G770" s="417">
        <f t="shared" ref="G770" si="31">E764+E765+E766+E767+E768+E769+E770</f>
        <v>7866.2500000000009</v>
      </c>
    </row>
    <row r="771" spans="1:7" ht="12.75" customHeight="1">
      <c r="A771" s="406" t="s">
        <v>197</v>
      </c>
      <c r="B771" s="401"/>
      <c r="C771" s="401"/>
      <c r="D771" s="401"/>
      <c r="E771" s="401"/>
      <c r="F771" s="401"/>
      <c r="G771" s="417"/>
    </row>
    <row r="772" spans="1:7" ht="12.75" customHeight="1">
      <c r="A772" s="408" t="s">
        <v>198</v>
      </c>
      <c r="B772" s="169" t="s">
        <v>199</v>
      </c>
      <c r="C772" s="169" t="s">
        <v>200</v>
      </c>
      <c r="D772" s="169" t="s">
        <v>201</v>
      </c>
      <c r="E772" s="169" t="s">
        <v>186</v>
      </c>
      <c r="F772" s="401"/>
      <c r="G772" s="417"/>
    </row>
    <row r="773" spans="1:7" ht="12.75" customHeight="1">
      <c r="A773" s="406" t="s">
        <v>243</v>
      </c>
      <c r="B773" s="401"/>
      <c r="C773" s="401"/>
      <c r="D773" s="401"/>
      <c r="E773" s="401"/>
      <c r="F773" s="401"/>
      <c r="G773" s="417"/>
    </row>
    <row r="774" spans="1:7" ht="12.75" customHeight="1">
      <c r="A774" s="406"/>
      <c r="B774" s="401"/>
      <c r="C774" s="401"/>
      <c r="D774" s="401"/>
      <c r="E774" s="401"/>
      <c r="F774" s="401"/>
      <c r="G774" s="417"/>
    </row>
    <row r="775" spans="1:7" ht="12.75" customHeight="1">
      <c r="A775" s="406"/>
      <c r="B775" s="401"/>
      <c r="C775" s="401"/>
      <c r="D775" s="401"/>
      <c r="E775" s="401"/>
      <c r="F775" s="401"/>
      <c r="G775" s="417"/>
    </row>
    <row r="776" spans="1:7" ht="12.75" customHeight="1">
      <c r="A776" s="406"/>
      <c r="B776" s="401"/>
      <c r="C776" s="401"/>
      <c r="D776" s="401"/>
      <c r="E776" s="401"/>
      <c r="F776" s="401"/>
      <c r="G776" s="417"/>
    </row>
    <row r="777" spans="1:7" ht="12.75" customHeight="1">
      <c r="A777" s="406"/>
      <c r="B777" s="401"/>
      <c r="C777" s="401"/>
      <c r="D777" s="401"/>
      <c r="E777" s="401"/>
      <c r="F777" s="401" t="s">
        <v>189</v>
      </c>
      <c r="G777" s="417">
        <f t="shared" ref="G777" si="32">E773+E774+E775+E776+E777</f>
        <v>0</v>
      </c>
    </row>
    <row r="778" spans="1:7" ht="12.75" customHeight="1">
      <c r="A778" s="406" t="s">
        <v>202</v>
      </c>
      <c r="B778" s="401"/>
      <c r="C778" s="401"/>
      <c r="D778" s="401"/>
      <c r="E778" s="401"/>
      <c r="F778" s="401"/>
      <c r="G778" s="417"/>
    </row>
    <row r="779" spans="1:7" ht="12.75" customHeight="1">
      <c r="A779" s="408" t="s">
        <v>203</v>
      </c>
      <c r="B779" s="169" t="s">
        <v>204</v>
      </c>
      <c r="C779" s="169" t="s">
        <v>205</v>
      </c>
      <c r="D779" s="169" t="s">
        <v>206</v>
      </c>
      <c r="E779" s="169" t="s">
        <v>207</v>
      </c>
      <c r="F779" s="169" t="s">
        <v>208</v>
      </c>
      <c r="G779" s="417"/>
    </row>
    <row r="780" spans="1:7" ht="12.75" customHeight="1">
      <c r="A780" s="406" t="s">
        <v>188</v>
      </c>
      <c r="B780" s="401">
        <f>+B692</f>
        <v>140000</v>
      </c>
      <c r="C780" s="401">
        <f t="shared" ref="C780:C781" si="33">0.75*B780</f>
        <v>105000</v>
      </c>
      <c r="D780" s="401">
        <f t="shared" ref="D780:D781" si="34">B780+C780</f>
        <v>245000</v>
      </c>
      <c r="E780" s="401">
        <v>65.004653283950631</v>
      </c>
      <c r="F780" s="403">
        <f t="shared" ref="F780:F781" si="35">D780/E780</f>
        <v>3768.9609531459409</v>
      </c>
      <c r="G780" s="417"/>
    </row>
    <row r="781" spans="1:7" ht="12.75" customHeight="1">
      <c r="A781" s="406" t="s">
        <v>190</v>
      </c>
      <c r="B781" s="401">
        <f>+B693</f>
        <v>90769.230769230751</v>
      </c>
      <c r="C781" s="403">
        <f t="shared" si="33"/>
        <v>68076.923076923063</v>
      </c>
      <c r="D781" s="403">
        <f t="shared" si="34"/>
        <v>158846.15384615381</v>
      </c>
      <c r="E781" s="403">
        <v>54.480354236409788</v>
      </c>
      <c r="F781" s="403">
        <f t="shared" si="35"/>
        <v>2915.659343125109</v>
      </c>
      <c r="G781" s="417"/>
    </row>
    <row r="782" spans="1:7" ht="12.75" customHeight="1">
      <c r="A782" s="406"/>
      <c r="B782" s="401"/>
      <c r="C782" s="401"/>
      <c r="D782" s="401"/>
      <c r="E782" s="401"/>
      <c r="F782" s="401"/>
      <c r="G782" s="417"/>
    </row>
    <row r="783" spans="1:7" ht="12.75" customHeight="1">
      <c r="A783" s="406"/>
      <c r="B783" s="401"/>
      <c r="C783" s="401"/>
      <c r="D783" s="401"/>
      <c r="E783" s="401"/>
      <c r="F783" s="401"/>
      <c r="G783" s="417"/>
    </row>
    <row r="784" spans="1:7" ht="12.75" customHeight="1">
      <c r="A784" s="406"/>
      <c r="B784" s="401"/>
      <c r="C784" s="401"/>
      <c r="D784" s="401"/>
      <c r="E784" s="401"/>
      <c r="F784" s="401"/>
      <c r="G784" s="417"/>
    </row>
    <row r="785" spans="1:7" ht="12.75" customHeight="1">
      <c r="A785" s="406"/>
      <c r="B785" s="401"/>
      <c r="C785" s="401"/>
      <c r="D785" s="401"/>
      <c r="E785" s="401"/>
      <c r="F785" s="401"/>
      <c r="G785" s="417"/>
    </row>
    <row r="786" spans="1:7" ht="12.75" customHeight="1">
      <c r="A786" s="406"/>
      <c r="B786" s="401"/>
      <c r="C786" s="401"/>
      <c r="D786" s="401"/>
      <c r="E786" s="401"/>
      <c r="F786" s="401" t="s">
        <v>189</v>
      </c>
      <c r="G786" s="417">
        <f t="shared" ref="G786" si="36">F780+F781+F782+F783+F784+F785</f>
        <v>6684.6202962710504</v>
      </c>
    </row>
    <row r="787" spans="1:7" ht="12.75" customHeight="1">
      <c r="A787" s="406"/>
      <c r="B787" s="401"/>
      <c r="C787" s="401"/>
      <c r="D787" s="401"/>
      <c r="E787" s="401"/>
      <c r="F787" s="401"/>
      <c r="G787" s="417"/>
    </row>
    <row r="788" spans="1:7" ht="12.75" customHeight="1">
      <c r="A788" s="406" t="s">
        <v>209</v>
      </c>
      <c r="B788" s="401"/>
      <c r="C788" s="401" t="s">
        <v>210</v>
      </c>
      <c r="D788" s="471" t="s">
        <v>211</v>
      </c>
      <c r="E788" s="472"/>
      <c r="F788" s="472"/>
      <c r="G788" s="417">
        <f t="shared" ref="G788" si="37">G761+G770+G777+G786</f>
        <v>14885.101311084603</v>
      </c>
    </row>
    <row r="789" spans="1:7" ht="12.75" customHeight="1">
      <c r="A789" s="406"/>
      <c r="B789" s="401"/>
      <c r="C789" s="401"/>
      <c r="D789" s="401"/>
      <c r="E789" s="401"/>
      <c r="F789" s="401"/>
      <c r="G789" s="417"/>
    </row>
    <row r="790" spans="1:7" ht="12.75" customHeight="1">
      <c r="A790" s="406"/>
      <c r="B790" s="401"/>
      <c r="C790" s="401"/>
      <c r="D790" s="401"/>
      <c r="E790" s="401" t="s">
        <v>212</v>
      </c>
      <c r="F790" s="401"/>
      <c r="G790" s="417">
        <f t="shared" ref="G790" si="38">0.3*G788</f>
        <v>4465.5303933253808</v>
      </c>
    </row>
    <row r="791" spans="1:7" ht="12.75" customHeight="1">
      <c r="A791" s="406"/>
      <c r="B791" s="401"/>
      <c r="C791" s="401"/>
      <c r="D791" s="401"/>
      <c r="E791" s="401"/>
      <c r="F791" s="401"/>
      <c r="G791" s="417"/>
    </row>
    <row r="792" spans="1:7" ht="12.75" customHeight="1" thickBot="1">
      <c r="A792" s="411" t="s">
        <v>213</v>
      </c>
      <c r="B792" s="412"/>
      <c r="C792" s="412"/>
      <c r="D792" s="469" t="s">
        <v>214</v>
      </c>
      <c r="E792" s="470"/>
      <c r="F792" s="470"/>
      <c r="G792" s="418">
        <f t="shared" ref="G792" si="39">G788+G790</f>
        <v>19350.631704409985</v>
      </c>
    </row>
    <row r="793" spans="1:7" ht="12.75" customHeight="1"/>
    <row r="794" spans="1:7" ht="12.75" customHeight="1"/>
    <row r="795" spans="1:7" ht="12.75" customHeight="1"/>
    <row r="796" spans="1:7" ht="12.75" customHeight="1"/>
    <row r="797" spans="1:7" ht="12.75" customHeight="1"/>
    <row r="798" spans="1:7" ht="12.75" customHeight="1"/>
    <row r="799" spans="1:7" ht="12.75" customHeight="1"/>
    <row r="800" spans="1:7"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54">
    <mergeCell ref="A1:G1"/>
    <mergeCell ref="D40:F40"/>
    <mergeCell ref="D44:F44"/>
    <mergeCell ref="A45:G45"/>
    <mergeCell ref="D84:F84"/>
    <mergeCell ref="D88:F88"/>
    <mergeCell ref="A89:G89"/>
    <mergeCell ref="D128:F128"/>
    <mergeCell ref="D132:F132"/>
    <mergeCell ref="A133:G133"/>
    <mergeCell ref="D172:F172"/>
    <mergeCell ref="D176:F176"/>
    <mergeCell ref="A177:G177"/>
    <mergeCell ref="D216:F216"/>
    <mergeCell ref="D220:F220"/>
    <mergeCell ref="A221:G221"/>
    <mergeCell ref="D260:F260"/>
    <mergeCell ref="D264:F264"/>
    <mergeCell ref="A265:G265"/>
    <mergeCell ref="D304:F304"/>
    <mergeCell ref="A309:G309"/>
    <mergeCell ref="D308:F308"/>
    <mergeCell ref="D348:F348"/>
    <mergeCell ref="D352:F352"/>
    <mergeCell ref="A353:G353"/>
    <mergeCell ref="D392:F392"/>
    <mergeCell ref="D396:F396"/>
    <mergeCell ref="A397:G397"/>
    <mergeCell ref="D436:F436"/>
    <mergeCell ref="D440:F440"/>
    <mergeCell ref="A441:G441"/>
    <mergeCell ref="D480:F480"/>
    <mergeCell ref="D484:F484"/>
    <mergeCell ref="A485:G485"/>
    <mergeCell ref="D524:F524"/>
    <mergeCell ref="D528:F528"/>
    <mergeCell ref="A529:G529"/>
    <mergeCell ref="D568:F568"/>
    <mergeCell ref="D572:F572"/>
    <mergeCell ref="A573:G573"/>
    <mergeCell ref="A749:G749"/>
    <mergeCell ref="D788:F788"/>
    <mergeCell ref="D792:F792"/>
    <mergeCell ref="D612:F612"/>
    <mergeCell ref="A617:G617"/>
    <mergeCell ref="D744:F744"/>
    <mergeCell ref="D748:F748"/>
    <mergeCell ref="D616:F616"/>
    <mergeCell ref="D656:F656"/>
    <mergeCell ref="D660:F660"/>
    <mergeCell ref="A661:G661"/>
    <mergeCell ref="D700:F700"/>
    <mergeCell ref="D704:F704"/>
    <mergeCell ref="A705:G705"/>
  </mergeCells>
  <pageMargins left="0.7" right="0.7" top="0.75" bottom="0.75" header="0" footer="0"/>
  <pageSetup orientation="landscape"/>
  <headerFooter>
    <oddHeader>&amp;L&amp;C&amp;R</oddHeader>
    <oddFooter>&amp;L&amp;C&amp;R</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5B309-B0D8-5558-DF28-153857450E58}">
  <dimension ref="A1:K1000"/>
  <sheetViews>
    <sheetView topLeftCell="A169" workbookViewId="0">
      <selection activeCell="J184" sqref="I184:J184"/>
    </sheetView>
  </sheetViews>
  <sheetFormatPr baseColWidth="10" defaultColWidth="12.6640625" defaultRowHeight="15" customHeight="1"/>
  <cols>
    <col min="1" max="1" width="19.88671875" customWidth="1"/>
    <col min="2" max="6" width="11.6640625" customWidth="1"/>
    <col min="7" max="7" width="14.88671875" customWidth="1"/>
    <col min="8" max="26" width="10" customWidth="1"/>
  </cols>
  <sheetData>
    <row r="1" spans="1:11" ht="15" customHeight="1">
      <c r="A1" s="468" t="s">
        <v>174</v>
      </c>
      <c r="B1" s="457"/>
      <c r="C1" s="457"/>
      <c r="D1" s="457"/>
      <c r="E1" s="457"/>
      <c r="F1" s="457"/>
      <c r="G1" s="457"/>
    </row>
    <row r="2" spans="1:11" ht="12.75" customHeight="1"/>
    <row r="3" spans="1:11" ht="12.75" customHeight="1">
      <c r="A3" s="1" t="s">
        <v>175</v>
      </c>
      <c r="B3" s="1"/>
      <c r="C3" s="1"/>
      <c r="D3" s="94"/>
      <c r="E3" s="94"/>
      <c r="F3" s="94"/>
      <c r="G3" s="94"/>
    </row>
    <row r="4" spans="1:11" ht="12.75" customHeight="1">
      <c r="A4" s="1" t="s">
        <v>298</v>
      </c>
      <c r="B4" s="1"/>
      <c r="C4" s="1"/>
      <c r="D4" s="1"/>
      <c r="F4" s="95" t="s">
        <v>177</v>
      </c>
      <c r="G4" s="96">
        <f t="shared" ref="G4:G812" ca="1" si="0">+TODAY()</f>
        <v>46289</v>
      </c>
      <c r="H4" s="94"/>
      <c r="I4" s="97"/>
    </row>
    <row r="5" spans="1:11" ht="12.75" customHeight="1">
      <c r="A5" s="94"/>
      <c r="B5" s="94"/>
      <c r="C5" s="94"/>
      <c r="D5" s="94"/>
      <c r="E5" s="94"/>
      <c r="F5" s="94"/>
      <c r="G5" s="94"/>
      <c r="H5" s="94"/>
    </row>
    <row r="6" spans="1:11" ht="12.75" customHeight="1">
      <c r="A6" s="99" t="s">
        <v>299</v>
      </c>
      <c r="B6" s="100" t="s">
        <v>300</v>
      </c>
      <c r="C6" s="100"/>
      <c r="D6" s="100"/>
      <c r="E6" s="100"/>
      <c r="F6" s="100"/>
      <c r="G6" s="101"/>
      <c r="H6" s="94"/>
    </row>
    <row r="7" spans="1:11" ht="12.75" customHeight="1">
      <c r="A7" s="102"/>
      <c r="B7" s="103"/>
      <c r="C7" s="103" t="s">
        <v>179</v>
      </c>
      <c r="D7" s="126">
        <v>4</v>
      </c>
      <c r="E7" s="103" t="s">
        <v>180</v>
      </c>
      <c r="F7" s="103" t="s">
        <v>226</v>
      </c>
      <c r="G7" s="105"/>
      <c r="H7" s="94"/>
    </row>
    <row r="8" spans="1:11" ht="12.75" customHeight="1">
      <c r="A8" s="1" t="s">
        <v>182</v>
      </c>
      <c r="B8" s="1"/>
      <c r="C8" s="1"/>
      <c r="D8" s="1"/>
      <c r="E8" s="1"/>
      <c r="F8" s="1"/>
      <c r="G8" s="1"/>
      <c r="H8" s="94"/>
    </row>
    <row r="9" spans="1:11" ht="12.75" customHeight="1">
      <c r="A9" s="106" t="s">
        <v>111</v>
      </c>
      <c r="B9" s="107" t="s">
        <v>183</v>
      </c>
      <c r="C9" s="106" t="s">
        <v>184</v>
      </c>
      <c r="D9" s="107" t="s">
        <v>185</v>
      </c>
      <c r="E9" s="106" t="s">
        <v>186</v>
      </c>
      <c r="F9" s="108"/>
      <c r="G9" s="109"/>
      <c r="H9" s="94"/>
    </row>
    <row r="10" spans="1:11" ht="12.75" customHeight="1">
      <c r="A10" s="110" t="s">
        <v>187</v>
      </c>
      <c r="B10" s="100"/>
      <c r="C10" s="110"/>
      <c r="D10" s="100"/>
      <c r="E10" s="111">
        <f t="shared" ref="E10:E819" si="1">G38*0.05</f>
        <v>5833.3333333333339</v>
      </c>
      <c r="F10" s="112"/>
      <c r="G10" s="113"/>
      <c r="H10" s="94"/>
      <c r="J10" t="s">
        <v>188</v>
      </c>
      <c r="K10">
        <v>150000</v>
      </c>
    </row>
    <row r="11" spans="1:11" ht="12.75" customHeight="1">
      <c r="A11" s="110"/>
      <c r="B11" s="110"/>
      <c r="C11" s="110"/>
      <c r="D11" s="110"/>
      <c r="E11" s="101"/>
      <c r="F11" s="112"/>
      <c r="G11" s="113"/>
      <c r="H11" s="94"/>
      <c r="J11" t="s">
        <v>190</v>
      </c>
      <c r="K11">
        <v>100000</v>
      </c>
    </row>
    <row r="12" spans="1:11" ht="12.75" customHeight="1">
      <c r="A12" s="110"/>
      <c r="B12" s="110"/>
      <c r="C12" s="110"/>
      <c r="D12" s="110"/>
      <c r="E12" s="101"/>
      <c r="F12" s="112"/>
      <c r="G12" s="113"/>
      <c r="H12" s="94"/>
      <c r="J12" t="s">
        <v>192</v>
      </c>
      <c r="K12">
        <v>120000</v>
      </c>
    </row>
    <row r="13" spans="1:11" ht="12.75" customHeight="1">
      <c r="A13" s="110"/>
      <c r="B13" s="110"/>
      <c r="C13" s="110"/>
      <c r="D13" s="110"/>
      <c r="E13" s="101"/>
      <c r="F13" s="102" t="s">
        <v>189</v>
      </c>
      <c r="G13" s="114">
        <f t="shared" ref="G13:G822" si="2">E10+E11+E12+E13</f>
        <v>5833.3333333333339</v>
      </c>
      <c r="H13" s="94"/>
      <c r="J13" t="s">
        <v>196</v>
      </c>
      <c r="K13">
        <v>120000</v>
      </c>
    </row>
    <row r="14" spans="1:11" ht="12.75" customHeight="1">
      <c r="A14" s="1" t="s">
        <v>191</v>
      </c>
      <c r="B14" s="1"/>
      <c r="C14" s="1"/>
      <c r="D14" s="1"/>
      <c r="E14" s="1"/>
      <c r="F14" s="1"/>
      <c r="G14" s="1"/>
      <c r="H14" s="94"/>
    </row>
    <row r="15" spans="1:11" ht="12.75" customHeight="1">
      <c r="A15" s="115" t="s">
        <v>111</v>
      </c>
      <c r="B15" s="106" t="s">
        <v>193</v>
      </c>
      <c r="C15" s="80" t="s">
        <v>194</v>
      </c>
      <c r="D15" s="106" t="s">
        <v>195</v>
      </c>
      <c r="E15" s="81" t="s">
        <v>186</v>
      </c>
      <c r="F15" s="108"/>
      <c r="G15" s="109"/>
      <c r="H15" s="94"/>
    </row>
    <row r="16" spans="1:11" ht="12.75" customHeight="1">
      <c r="A16" s="110"/>
      <c r="B16" s="110"/>
      <c r="C16" s="110"/>
      <c r="D16" s="110"/>
      <c r="E16" s="101"/>
      <c r="F16" s="112"/>
      <c r="G16" s="113"/>
      <c r="H16" s="94"/>
    </row>
    <row r="17" spans="1:8" ht="12.75" customHeight="1">
      <c r="A17" s="63"/>
      <c r="B17" s="63"/>
      <c r="C17" s="63"/>
      <c r="D17" s="63"/>
      <c r="E17" s="101"/>
      <c r="F17" s="112"/>
      <c r="G17" s="113"/>
      <c r="H17" s="94"/>
    </row>
    <row r="18" spans="1:8" ht="12.75" customHeight="1">
      <c r="A18" s="110"/>
      <c r="B18" s="110"/>
      <c r="C18" s="110"/>
      <c r="D18" s="110"/>
      <c r="E18" s="101"/>
      <c r="F18" s="112"/>
      <c r="G18" s="113"/>
      <c r="H18" s="94"/>
    </row>
    <row r="19" spans="1:8" ht="12.75" customHeight="1">
      <c r="A19" s="63"/>
      <c r="B19" s="63"/>
      <c r="C19" s="63"/>
      <c r="D19" s="63"/>
      <c r="E19" s="101"/>
      <c r="F19" s="112"/>
      <c r="G19" s="113"/>
      <c r="H19" s="94"/>
    </row>
    <row r="20" spans="1:8" ht="12.75" customHeight="1">
      <c r="A20" s="110"/>
      <c r="B20" s="110"/>
      <c r="C20" s="110"/>
      <c r="D20" s="110"/>
      <c r="E20" s="101"/>
      <c r="F20" s="112"/>
      <c r="G20" s="113"/>
      <c r="H20" s="94"/>
    </row>
    <row r="21" spans="1:8" ht="12.75" customHeight="1">
      <c r="A21" s="110"/>
      <c r="B21" s="110"/>
      <c r="C21" s="110"/>
      <c r="D21" s="110"/>
      <c r="E21" s="101"/>
      <c r="F21" s="112"/>
      <c r="G21" s="113"/>
      <c r="H21" s="94"/>
    </row>
    <row r="22" spans="1:8" ht="12.75" customHeight="1">
      <c r="A22" s="116"/>
      <c r="B22" s="116"/>
      <c r="C22" s="116"/>
      <c r="D22" s="116"/>
      <c r="E22" s="101"/>
      <c r="F22" s="102" t="s">
        <v>189</v>
      </c>
      <c r="G22" s="105">
        <f t="shared" ref="G22:G831" si="3">E16+E17+E18+E19+E20+E21+E22</f>
        <v>0</v>
      </c>
      <c r="H22" s="94"/>
    </row>
    <row r="23" spans="1:8" ht="12.75" customHeight="1">
      <c r="A23" s="1" t="s">
        <v>197</v>
      </c>
      <c r="B23" s="1"/>
      <c r="C23" s="1"/>
      <c r="D23" s="1"/>
      <c r="E23" s="1"/>
      <c r="F23" s="1"/>
      <c r="G23" s="1"/>
      <c r="H23" s="94"/>
    </row>
    <row r="24" spans="1:8" ht="12.75" customHeight="1">
      <c r="A24" s="117" t="s">
        <v>198</v>
      </c>
      <c r="B24" s="117" t="s">
        <v>199</v>
      </c>
      <c r="C24" s="117" t="s">
        <v>200</v>
      </c>
      <c r="D24" s="117" t="s">
        <v>201</v>
      </c>
      <c r="E24" s="81" t="s">
        <v>186</v>
      </c>
      <c r="F24" s="108"/>
      <c r="G24" s="109"/>
      <c r="H24" s="94"/>
    </row>
    <row r="25" spans="1:8" ht="12.75" customHeight="1">
      <c r="A25" s="110"/>
      <c r="B25" s="110"/>
      <c r="C25" s="110"/>
      <c r="D25" s="110"/>
      <c r="E25" s="101"/>
      <c r="F25" s="112"/>
      <c r="G25" s="113"/>
      <c r="H25" s="94"/>
    </row>
    <row r="26" spans="1:8" ht="12.75" customHeight="1">
      <c r="A26" s="63"/>
      <c r="B26" s="63"/>
      <c r="C26" s="63"/>
      <c r="D26" s="63"/>
      <c r="E26" s="113"/>
      <c r="F26" s="112"/>
      <c r="G26" s="113"/>
      <c r="H26" s="94"/>
    </row>
    <row r="27" spans="1:8" ht="12.75" customHeight="1">
      <c r="A27" s="110"/>
      <c r="B27" s="110"/>
      <c r="C27" s="110"/>
      <c r="D27" s="110"/>
      <c r="E27" s="101"/>
      <c r="F27" s="112"/>
      <c r="G27" s="113"/>
      <c r="H27" s="94"/>
    </row>
    <row r="28" spans="1:8" ht="12.75" customHeight="1">
      <c r="A28" s="110"/>
      <c r="B28" s="110"/>
      <c r="C28" s="110"/>
      <c r="D28" s="110"/>
      <c r="E28" s="101"/>
      <c r="F28" s="112"/>
      <c r="G28" s="113"/>
      <c r="H28" s="94"/>
    </row>
    <row r="29" spans="1:8" ht="12.75" customHeight="1">
      <c r="A29" s="116"/>
      <c r="B29" s="116"/>
      <c r="C29" s="116"/>
      <c r="D29" s="116"/>
      <c r="E29" s="105"/>
      <c r="F29" s="102" t="s">
        <v>189</v>
      </c>
      <c r="G29" s="105">
        <f t="shared" ref="G29:G838" si="4">E25+E26+E27+E28+E29</f>
        <v>0</v>
      </c>
      <c r="H29" s="94"/>
    </row>
    <row r="30" spans="1:8" ht="12.75" customHeight="1">
      <c r="A30" s="1" t="s">
        <v>202</v>
      </c>
      <c r="B30" s="1"/>
      <c r="C30" s="1"/>
      <c r="D30" s="1"/>
      <c r="E30" s="1"/>
      <c r="F30" s="1"/>
      <c r="G30" s="1"/>
      <c r="H30" s="94"/>
    </row>
    <row r="31" spans="1:8" ht="12.75" customHeight="1">
      <c r="A31" s="117" t="s">
        <v>203</v>
      </c>
      <c r="B31" s="80" t="s">
        <v>204</v>
      </c>
      <c r="C31" s="117" t="s">
        <v>205</v>
      </c>
      <c r="D31" s="80" t="s">
        <v>206</v>
      </c>
      <c r="E31" s="117" t="s">
        <v>207</v>
      </c>
      <c r="F31" s="80" t="s">
        <v>208</v>
      </c>
      <c r="G31" s="118"/>
      <c r="H31" s="94"/>
    </row>
    <row r="32" spans="1:8" ht="12.75" customHeight="1">
      <c r="A32" s="110" t="s">
        <v>301</v>
      </c>
      <c r="B32" s="100">
        <f>K11*2</f>
        <v>200000</v>
      </c>
      <c r="C32" s="111">
        <f t="shared" ref="C32:C841" si="5">0.75*B32</f>
        <v>150000</v>
      </c>
      <c r="D32" s="120">
        <f t="shared" ref="D32:D841" si="6">B32+C32</f>
        <v>350000</v>
      </c>
      <c r="E32" s="124">
        <v>3</v>
      </c>
      <c r="F32" s="119">
        <f t="shared" ref="F32:F841" si="7">D32/E32</f>
        <v>116666.66666666667</v>
      </c>
      <c r="G32" s="63"/>
      <c r="H32" s="94"/>
    </row>
    <row r="33" spans="1:8" ht="12.75" customHeight="1">
      <c r="A33" s="63"/>
      <c r="B33" s="100"/>
      <c r="C33" s="110"/>
      <c r="D33" s="100"/>
      <c r="E33" s="63"/>
      <c r="F33" s="101"/>
      <c r="G33" s="63"/>
      <c r="H33" s="94"/>
    </row>
    <row r="34" spans="1:8" ht="12.75" customHeight="1">
      <c r="A34" s="110"/>
      <c r="B34" s="100"/>
      <c r="C34" s="110"/>
      <c r="D34" s="100"/>
      <c r="E34" s="110"/>
      <c r="F34" s="101"/>
      <c r="G34" s="63"/>
      <c r="H34" s="94"/>
    </row>
    <row r="35" spans="1:8" ht="12.75" customHeight="1">
      <c r="A35" s="63"/>
      <c r="B35" s="1"/>
      <c r="C35" s="63"/>
      <c r="D35" s="1"/>
      <c r="E35" s="63"/>
      <c r="F35" s="101"/>
      <c r="G35" s="63"/>
      <c r="H35" s="94"/>
    </row>
    <row r="36" spans="1:8" ht="12.75" customHeight="1">
      <c r="A36" s="110"/>
      <c r="B36" s="100"/>
      <c r="C36" s="110"/>
      <c r="D36" s="100"/>
      <c r="E36" s="110"/>
      <c r="F36" s="101"/>
      <c r="G36" s="63"/>
      <c r="H36" s="94"/>
    </row>
    <row r="37" spans="1:8" ht="12.75" customHeight="1">
      <c r="A37" s="116"/>
      <c r="B37" s="103"/>
      <c r="C37" s="116"/>
      <c r="D37" s="103"/>
      <c r="E37" s="116"/>
      <c r="F37" s="101"/>
      <c r="G37" s="116"/>
      <c r="H37" s="94"/>
    </row>
    <row r="38" spans="1:8" ht="12.75" customHeight="1">
      <c r="A38" s="94"/>
      <c r="B38" s="94"/>
      <c r="C38" s="94"/>
      <c r="D38" s="94"/>
      <c r="E38" s="94"/>
      <c r="F38" s="1" t="s">
        <v>189</v>
      </c>
      <c r="G38" s="121">
        <f t="shared" ref="G38:G847" si="8">F32+F33+F34+F35+F36+F37</f>
        <v>116666.66666666667</v>
      </c>
      <c r="H38" s="94"/>
    </row>
    <row r="39" spans="1:8" ht="12.75" customHeight="1">
      <c r="A39" s="94"/>
      <c r="B39" s="94"/>
      <c r="C39" s="94"/>
      <c r="D39" s="94"/>
      <c r="E39" s="94"/>
      <c r="F39" s="94"/>
      <c r="G39" s="94"/>
      <c r="H39" s="94"/>
    </row>
    <row r="40" spans="1:8" ht="12.75" customHeight="1">
      <c r="A40" s="103" t="s">
        <v>209</v>
      </c>
      <c r="B40" s="1"/>
      <c r="C40" s="1" t="s">
        <v>210</v>
      </c>
      <c r="D40" s="473" t="s">
        <v>211</v>
      </c>
      <c r="E40" s="457"/>
      <c r="F40" s="457"/>
      <c r="G40" s="121">
        <f t="shared" ref="G40:G849" si="9">G13+G22+G29+G38</f>
        <v>122500</v>
      </c>
      <c r="H40" s="94"/>
    </row>
    <row r="41" spans="1:8" ht="12.75" customHeight="1">
      <c r="A41" s="1"/>
      <c r="B41" s="1"/>
      <c r="C41" s="1"/>
      <c r="D41" s="1"/>
      <c r="E41" s="1"/>
      <c r="F41" s="1"/>
      <c r="G41" s="1"/>
      <c r="H41" s="94"/>
    </row>
    <row r="42" spans="1:8" ht="12.75" customHeight="1">
      <c r="A42" s="1"/>
      <c r="B42" s="1"/>
      <c r="C42" s="1"/>
      <c r="D42" s="1"/>
      <c r="E42" s="1" t="s">
        <v>212</v>
      </c>
      <c r="F42" s="1"/>
      <c r="G42" s="121">
        <f t="shared" ref="G42:G851" si="10">0.3*G40</f>
        <v>36750</v>
      </c>
      <c r="H42" s="94"/>
    </row>
    <row r="43" spans="1:8" ht="12.75" customHeight="1">
      <c r="A43" s="1"/>
      <c r="B43" s="1"/>
      <c r="C43" s="1"/>
      <c r="D43" s="1"/>
      <c r="E43" s="1"/>
      <c r="F43" s="1"/>
      <c r="G43" s="1"/>
      <c r="H43" s="94"/>
    </row>
    <row r="44" spans="1:8" ht="12.75" customHeight="1">
      <c r="A44" s="103" t="s">
        <v>213</v>
      </c>
      <c r="B44" s="1"/>
      <c r="C44" s="1"/>
      <c r="D44" s="473" t="s">
        <v>214</v>
      </c>
      <c r="E44" s="457"/>
      <c r="F44" s="457"/>
      <c r="G44" s="121">
        <f t="shared" ref="G44:G853" si="11">G40+G42</f>
        <v>159250</v>
      </c>
      <c r="H44" s="94"/>
    </row>
    <row r="45" spans="1:8" ht="12.75" customHeight="1">
      <c r="A45" s="94"/>
      <c r="B45" s="94"/>
      <c r="C45" s="94"/>
      <c r="D45" s="94"/>
      <c r="E45" s="94"/>
      <c r="F45" s="94"/>
      <c r="G45" s="94"/>
      <c r="H45" s="94"/>
    </row>
    <row r="46" spans="1:8" ht="15" customHeight="1">
      <c r="A46" s="534" t="s">
        <v>174</v>
      </c>
      <c r="B46" s="457"/>
      <c r="C46" s="457"/>
      <c r="D46" s="457"/>
      <c r="E46" s="457"/>
      <c r="F46" s="457"/>
      <c r="G46" s="533"/>
    </row>
    <row r="47" spans="1:8" ht="12.75" customHeight="1">
      <c r="A47" s="112"/>
      <c r="B47" s="1"/>
      <c r="C47" s="1"/>
      <c r="D47" s="1"/>
      <c r="E47" s="1"/>
      <c r="F47" s="1"/>
      <c r="G47" s="113"/>
    </row>
    <row r="48" spans="1:8" ht="12.75" customHeight="1">
      <c r="A48" s="1" t="s">
        <v>175</v>
      </c>
      <c r="B48" s="1"/>
      <c r="C48" s="1"/>
      <c r="D48" s="94"/>
      <c r="E48" s="94"/>
      <c r="F48" s="94"/>
      <c r="G48" s="94"/>
    </row>
    <row r="49" spans="1:9" ht="12.75" customHeight="1">
      <c r="A49" s="1" t="str">
        <f>+A4</f>
        <v xml:space="preserve">OBRA N°      Desarenador - Acueducto </v>
      </c>
      <c r="B49" s="1"/>
      <c r="C49" s="1"/>
      <c r="D49" s="1"/>
      <c r="F49" s="95" t="s">
        <v>177</v>
      </c>
      <c r="G49" s="96">
        <f t="shared" ca="1" si="0"/>
        <v>46289</v>
      </c>
      <c r="H49" s="94"/>
      <c r="I49" s="97"/>
    </row>
    <row r="50" spans="1:9" ht="12.75" customHeight="1">
      <c r="A50" s="112"/>
      <c r="B50" s="94"/>
      <c r="C50" s="94"/>
      <c r="D50" s="94"/>
      <c r="E50" s="94"/>
      <c r="F50" s="94"/>
      <c r="G50" s="128"/>
    </row>
    <row r="51" spans="1:9" ht="12.75" customHeight="1">
      <c r="A51" s="99" t="s">
        <v>302</v>
      </c>
      <c r="B51" s="100" t="s">
        <v>229</v>
      </c>
      <c r="C51" s="100"/>
      <c r="D51" s="100"/>
      <c r="E51" s="100"/>
      <c r="F51" s="100"/>
      <c r="G51" s="101"/>
    </row>
    <row r="52" spans="1:9" ht="12.75" customHeight="1">
      <c r="A52" s="102"/>
      <c r="B52" s="103"/>
      <c r="C52" s="103" t="s">
        <v>179</v>
      </c>
      <c r="D52" s="103">
        <v>2</v>
      </c>
      <c r="E52" s="103" t="s">
        <v>180</v>
      </c>
      <c r="F52" s="103" t="s">
        <v>226</v>
      </c>
      <c r="G52" s="105"/>
    </row>
    <row r="53" spans="1:9" ht="12.75" customHeight="1">
      <c r="A53" s="112" t="s">
        <v>182</v>
      </c>
      <c r="B53" s="1"/>
      <c r="C53" s="1"/>
      <c r="D53" s="1"/>
      <c r="E53" s="1"/>
      <c r="F53" s="1"/>
      <c r="G53" s="113"/>
    </row>
    <row r="54" spans="1:9" ht="12.75" customHeight="1">
      <c r="A54" s="106" t="s">
        <v>111</v>
      </c>
      <c r="B54" s="107" t="s">
        <v>183</v>
      </c>
      <c r="C54" s="106" t="s">
        <v>184</v>
      </c>
      <c r="D54" s="107" t="s">
        <v>185</v>
      </c>
      <c r="E54" s="106" t="s">
        <v>186</v>
      </c>
      <c r="F54" s="108"/>
      <c r="G54" s="109"/>
    </row>
    <row r="55" spans="1:9" ht="12.75" customHeight="1">
      <c r="A55" s="110" t="s">
        <v>187</v>
      </c>
      <c r="B55" s="100"/>
      <c r="C55" s="110"/>
      <c r="D55" s="100"/>
      <c r="E55" s="111">
        <f t="shared" si="1"/>
        <v>32627.118644067799</v>
      </c>
      <c r="F55" s="112"/>
      <c r="G55" s="113"/>
    </row>
    <row r="56" spans="1:9" ht="12.75" customHeight="1">
      <c r="A56" s="110" t="s">
        <v>303</v>
      </c>
      <c r="B56" s="110"/>
      <c r="C56" s="110"/>
      <c r="D56" s="110"/>
      <c r="E56" s="101">
        <v>7500</v>
      </c>
      <c r="F56" s="112"/>
      <c r="G56" s="113"/>
    </row>
    <row r="57" spans="1:9" ht="12.75" customHeight="1">
      <c r="A57" s="110" t="s">
        <v>304</v>
      </c>
      <c r="B57" s="110"/>
      <c r="C57" s="110"/>
      <c r="D57" s="110"/>
      <c r="E57" s="101">
        <v>7500</v>
      </c>
      <c r="F57" s="112"/>
      <c r="G57" s="113"/>
    </row>
    <row r="58" spans="1:9" ht="12.75" customHeight="1">
      <c r="A58" s="110"/>
      <c r="B58" s="110"/>
      <c r="C58" s="110"/>
      <c r="D58" s="110"/>
      <c r="E58" s="101"/>
      <c r="F58" s="102" t="s">
        <v>189</v>
      </c>
      <c r="G58" s="129">
        <f t="shared" si="2"/>
        <v>47627.118644067799</v>
      </c>
    </row>
    <row r="59" spans="1:9" ht="12.75" customHeight="1">
      <c r="A59" s="112" t="s">
        <v>191</v>
      </c>
      <c r="B59" s="1"/>
      <c r="C59" s="1"/>
      <c r="D59" s="1"/>
      <c r="E59" s="1"/>
      <c r="F59" s="1"/>
      <c r="G59" s="113"/>
    </row>
    <row r="60" spans="1:9" ht="12.75" customHeight="1">
      <c r="A60" s="115" t="s">
        <v>111</v>
      </c>
      <c r="B60" s="106" t="s">
        <v>193</v>
      </c>
      <c r="C60" s="80" t="s">
        <v>194</v>
      </c>
      <c r="D60" s="106" t="s">
        <v>195</v>
      </c>
      <c r="E60" s="81" t="s">
        <v>186</v>
      </c>
      <c r="F60" s="108"/>
      <c r="G60" s="109"/>
    </row>
    <row r="61" spans="1:9" ht="12.75" customHeight="1">
      <c r="A61" s="110" t="s">
        <v>305</v>
      </c>
      <c r="B61" s="106" t="s">
        <v>220</v>
      </c>
      <c r="C61" s="110">
        <v>35000</v>
      </c>
      <c r="D61" s="110">
        <v>1</v>
      </c>
      <c r="E61" s="101">
        <f t="shared" ref="E61:E780" si="12">C61*D61</f>
        <v>35000</v>
      </c>
      <c r="F61" s="112"/>
      <c r="G61" s="113"/>
    </row>
    <row r="62" spans="1:9" ht="12.75" customHeight="1">
      <c r="A62" s="63"/>
      <c r="B62" s="63"/>
      <c r="C62" s="63"/>
      <c r="D62" s="63"/>
      <c r="E62" s="101"/>
      <c r="F62" s="112"/>
      <c r="G62" s="113"/>
    </row>
    <row r="63" spans="1:9" ht="12.75" customHeight="1">
      <c r="A63" s="110"/>
      <c r="B63" s="110"/>
      <c r="C63" s="110"/>
      <c r="D63" s="110"/>
      <c r="E63" s="101"/>
      <c r="F63" s="112"/>
      <c r="G63" s="113"/>
    </row>
    <row r="64" spans="1:9" ht="12.75" customHeight="1">
      <c r="A64" s="63"/>
      <c r="B64" s="63"/>
      <c r="C64" s="63"/>
      <c r="D64" s="63"/>
      <c r="E64" s="101"/>
      <c r="F64" s="112"/>
      <c r="G64" s="113"/>
    </row>
    <row r="65" spans="1:7" ht="12.75" customHeight="1">
      <c r="A65" s="110"/>
      <c r="B65" s="110"/>
      <c r="C65" s="110"/>
      <c r="D65" s="110"/>
      <c r="E65" s="101"/>
      <c r="F65" s="112"/>
      <c r="G65" s="113"/>
    </row>
    <row r="66" spans="1:7" ht="12.75" customHeight="1">
      <c r="A66" s="110"/>
      <c r="B66" s="110"/>
      <c r="C66" s="110"/>
      <c r="D66" s="110"/>
      <c r="E66" s="101"/>
      <c r="F66" s="112"/>
      <c r="G66" s="113"/>
    </row>
    <row r="67" spans="1:7" ht="12.75" customHeight="1">
      <c r="A67" s="116"/>
      <c r="B67" s="116"/>
      <c r="C67" s="116"/>
      <c r="D67" s="116"/>
      <c r="E67" s="101"/>
      <c r="F67" s="102" t="s">
        <v>189</v>
      </c>
      <c r="G67" s="129">
        <f t="shared" si="3"/>
        <v>35000</v>
      </c>
    </row>
    <row r="68" spans="1:7" ht="12.75" customHeight="1">
      <c r="A68" s="112" t="s">
        <v>197</v>
      </c>
      <c r="B68" s="1"/>
      <c r="C68" s="1"/>
      <c r="D68" s="1"/>
      <c r="E68" s="1"/>
      <c r="F68" s="1"/>
      <c r="G68" s="113"/>
    </row>
    <row r="69" spans="1:7" ht="12.75" customHeight="1">
      <c r="A69" s="117" t="s">
        <v>198</v>
      </c>
      <c r="B69" s="117" t="s">
        <v>199</v>
      </c>
      <c r="C69" s="117" t="s">
        <v>200</v>
      </c>
      <c r="D69" s="117" t="s">
        <v>201</v>
      </c>
      <c r="E69" s="81" t="s">
        <v>186</v>
      </c>
      <c r="F69" s="108"/>
      <c r="G69" s="109"/>
    </row>
    <row r="70" spans="1:7" ht="12.75" customHeight="1">
      <c r="A70" s="110" t="s">
        <v>306</v>
      </c>
      <c r="B70" s="110"/>
      <c r="C70" s="110"/>
      <c r="D70" s="110"/>
      <c r="E70" s="101">
        <v>25000</v>
      </c>
      <c r="F70" s="112"/>
      <c r="G70" s="113"/>
    </row>
    <row r="71" spans="1:7" ht="12.75" customHeight="1">
      <c r="A71" s="63"/>
      <c r="B71" s="63"/>
      <c r="C71" s="63"/>
      <c r="D71" s="63"/>
      <c r="E71" s="113"/>
      <c r="F71" s="112"/>
      <c r="G71" s="113"/>
    </row>
    <row r="72" spans="1:7" ht="12.75" customHeight="1">
      <c r="A72" s="110"/>
      <c r="B72" s="110"/>
      <c r="C72" s="110"/>
      <c r="D72" s="110"/>
      <c r="E72" s="101"/>
      <c r="F72" s="112"/>
      <c r="G72" s="113"/>
    </row>
    <row r="73" spans="1:7" ht="12.75" customHeight="1">
      <c r="A73" s="110"/>
      <c r="B73" s="110"/>
      <c r="C73" s="110"/>
      <c r="D73" s="110"/>
      <c r="E73" s="101"/>
      <c r="F73" s="112"/>
      <c r="G73" s="113"/>
    </row>
    <row r="74" spans="1:7" ht="12.75" customHeight="1">
      <c r="A74" s="116"/>
      <c r="B74" s="116"/>
      <c r="C74" s="116"/>
      <c r="D74" s="116"/>
      <c r="E74" s="105"/>
      <c r="F74" s="102" t="s">
        <v>189</v>
      </c>
      <c r="G74" s="129">
        <f t="shared" si="4"/>
        <v>25000</v>
      </c>
    </row>
    <row r="75" spans="1:7" ht="12.75" customHeight="1">
      <c r="A75" s="112" t="s">
        <v>202</v>
      </c>
      <c r="B75" s="1"/>
      <c r="C75" s="1"/>
      <c r="D75" s="1"/>
      <c r="E75" s="1"/>
      <c r="F75" s="1"/>
      <c r="G75" s="113"/>
    </row>
    <row r="76" spans="1:7" ht="12.75" customHeight="1">
      <c r="A76" s="117" t="s">
        <v>203</v>
      </c>
      <c r="B76" s="80" t="s">
        <v>204</v>
      </c>
      <c r="C76" s="117" t="s">
        <v>205</v>
      </c>
      <c r="D76" s="80" t="s">
        <v>206</v>
      </c>
      <c r="E76" s="117" t="s">
        <v>207</v>
      </c>
      <c r="F76" s="80" t="s">
        <v>208</v>
      </c>
      <c r="G76" s="118"/>
    </row>
    <row r="77" spans="1:7" ht="12.75" customHeight="1">
      <c r="A77" s="110" t="s">
        <v>192</v>
      </c>
      <c r="B77" s="100">
        <f>+K12</f>
        <v>120000</v>
      </c>
      <c r="C77" s="110">
        <f t="shared" si="5"/>
        <v>90000</v>
      </c>
      <c r="D77" s="100">
        <f t="shared" si="6"/>
        <v>210000</v>
      </c>
      <c r="E77" s="110">
        <v>0.59</v>
      </c>
      <c r="F77" s="119">
        <f t="shared" si="7"/>
        <v>355932.20338983054</v>
      </c>
      <c r="G77" s="63"/>
    </row>
    <row r="78" spans="1:7" ht="12.75" customHeight="1">
      <c r="A78" s="63" t="s">
        <v>307</v>
      </c>
      <c r="B78" s="100">
        <f>+K11</f>
        <v>100000</v>
      </c>
      <c r="C78" s="110">
        <f t="shared" si="5"/>
        <v>75000</v>
      </c>
      <c r="D78" s="120">
        <f t="shared" si="6"/>
        <v>175000</v>
      </c>
      <c r="E78" s="110">
        <v>0.59</v>
      </c>
      <c r="F78" s="119">
        <f t="shared" si="7"/>
        <v>296610.16949152545</v>
      </c>
      <c r="G78" s="63"/>
    </row>
    <row r="79" spans="1:7" ht="12.75" customHeight="1">
      <c r="A79" s="110"/>
      <c r="B79" s="100"/>
      <c r="C79" s="110"/>
      <c r="D79" s="100"/>
      <c r="E79" s="110"/>
      <c r="F79" s="101"/>
      <c r="G79" s="63"/>
    </row>
    <row r="80" spans="1:7" ht="12.75" customHeight="1">
      <c r="A80" s="63"/>
      <c r="B80" s="1"/>
      <c r="C80" s="63"/>
      <c r="D80" s="1"/>
      <c r="E80" s="63"/>
      <c r="F80" s="101"/>
      <c r="G80" s="63"/>
    </row>
    <row r="81" spans="1:9" ht="12.75" customHeight="1">
      <c r="A81" s="110"/>
      <c r="B81" s="100"/>
      <c r="C81" s="110"/>
      <c r="D81" s="100"/>
      <c r="E81" s="110"/>
      <c r="F81" s="101"/>
      <c r="G81" s="63"/>
    </row>
    <row r="82" spans="1:9" ht="12.75" customHeight="1">
      <c r="A82" s="116"/>
      <c r="B82" s="103"/>
      <c r="C82" s="116"/>
      <c r="D82" s="103"/>
      <c r="E82" s="116"/>
      <c r="F82" s="101"/>
      <c r="G82" s="116"/>
    </row>
    <row r="83" spans="1:9" ht="12.75" customHeight="1">
      <c r="A83" s="112"/>
      <c r="B83" s="1"/>
      <c r="C83" s="1"/>
      <c r="D83" s="1"/>
      <c r="E83" s="1"/>
      <c r="F83" s="1" t="s">
        <v>189</v>
      </c>
      <c r="G83" s="129">
        <f t="shared" si="8"/>
        <v>652542.37288135593</v>
      </c>
    </row>
    <row r="84" spans="1:9" ht="12.75" customHeight="1">
      <c r="A84" s="112"/>
      <c r="B84" s="1"/>
      <c r="C84" s="1"/>
      <c r="D84" s="1"/>
      <c r="E84" s="1"/>
      <c r="F84" s="1"/>
      <c r="G84" s="130"/>
    </row>
    <row r="85" spans="1:9" ht="12.75" customHeight="1">
      <c r="A85" s="102" t="s">
        <v>308</v>
      </c>
      <c r="B85" s="1"/>
      <c r="C85" s="1" t="s">
        <v>210</v>
      </c>
      <c r="D85" s="473" t="s">
        <v>211</v>
      </c>
      <c r="E85" s="457"/>
      <c r="F85" s="457"/>
      <c r="G85" s="129">
        <f t="shared" si="9"/>
        <v>760169.49152542371</v>
      </c>
    </row>
    <row r="86" spans="1:9" ht="12.75" customHeight="1">
      <c r="A86" s="112"/>
      <c r="B86" s="1"/>
      <c r="C86" s="1"/>
      <c r="D86" s="1"/>
      <c r="E86" s="1"/>
      <c r="F86" s="1"/>
      <c r="G86" s="130"/>
    </row>
    <row r="87" spans="1:9" ht="12.75" customHeight="1">
      <c r="A87" s="102"/>
      <c r="B87" s="1"/>
      <c r="C87" s="1"/>
      <c r="D87" s="1"/>
      <c r="E87" s="1" t="s">
        <v>309</v>
      </c>
      <c r="F87" s="1"/>
      <c r="G87" s="129">
        <f>0.32*G85</f>
        <v>243254.2372881356</v>
      </c>
    </row>
    <row r="88" spans="1:9" ht="12.75" customHeight="1">
      <c r="A88" s="112"/>
      <c r="B88" s="1"/>
      <c r="C88" s="1"/>
      <c r="D88" s="1"/>
      <c r="E88" s="1"/>
      <c r="F88" s="1"/>
      <c r="G88" s="130"/>
    </row>
    <row r="89" spans="1:9" ht="12.75" customHeight="1">
      <c r="A89" s="102" t="s">
        <v>213</v>
      </c>
      <c r="B89" s="1"/>
      <c r="C89" s="1"/>
      <c r="D89" s="473" t="s">
        <v>214</v>
      </c>
      <c r="E89" s="457"/>
      <c r="F89" s="457"/>
      <c r="G89" s="129">
        <f t="shared" si="11"/>
        <v>1003423.7288135593</v>
      </c>
    </row>
    <row r="90" spans="1:9" ht="12.75" customHeight="1">
      <c r="A90" s="1"/>
      <c r="B90" s="1"/>
      <c r="C90" s="1"/>
      <c r="D90" s="77"/>
      <c r="E90" s="77"/>
      <c r="F90" s="77"/>
      <c r="G90" s="19"/>
    </row>
    <row r="91" spans="1:9" ht="15" customHeight="1">
      <c r="A91" s="468" t="s">
        <v>174</v>
      </c>
      <c r="B91" s="457"/>
      <c r="C91" s="457"/>
      <c r="D91" s="457"/>
      <c r="E91" s="457"/>
      <c r="F91" s="457"/>
      <c r="G91" s="457"/>
    </row>
    <row r="92" spans="1:9" ht="12.75" customHeight="1">
      <c r="A92" s="77"/>
      <c r="B92" s="77"/>
      <c r="C92" s="77"/>
      <c r="D92" s="77"/>
      <c r="E92" s="77"/>
      <c r="F92" s="77"/>
    </row>
    <row r="93" spans="1:9" ht="12.75" customHeight="1"/>
    <row r="94" spans="1:9" ht="12.75" customHeight="1">
      <c r="A94" s="1" t="s">
        <v>175</v>
      </c>
      <c r="B94" s="1"/>
      <c r="C94" s="1"/>
      <c r="D94" s="94"/>
      <c r="E94" s="94"/>
      <c r="F94" s="94"/>
      <c r="G94" s="94"/>
    </row>
    <row r="95" spans="1:9" ht="12.75" customHeight="1">
      <c r="A95" s="1" t="str">
        <f>+A4</f>
        <v xml:space="preserve">OBRA N°      Desarenador - Acueducto </v>
      </c>
      <c r="B95" s="1"/>
      <c r="C95" s="1"/>
      <c r="D95" s="1"/>
      <c r="F95" s="95" t="s">
        <v>177</v>
      </c>
      <c r="G95" s="96">
        <f t="shared" ca="1" si="0"/>
        <v>46289</v>
      </c>
      <c r="H95" s="94"/>
      <c r="I95" s="97"/>
    </row>
    <row r="96" spans="1:9" ht="15" customHeight="1">
      <c r="A96" s="1"/>
      <c r="B96" s="1"/>
      <c r="C96" s="1"/>
      <c r="D96" s="1"/>
      <c r="E96" s="1"/>
      <c r="F96" s="1"/>
      <c r="G96" s="1"/>
    </row>
    <row r="97" spans="1:7" ht="15.75" customHeight="1">
      <c r="A97" s="99" t="s">
        <v>310</v>
      </c>
      <c r="B97" s="100" t="s">
        <v>45</v>
      </c>
      <c r="C97" s="100"/>
      <c r="D97" s="100"/>
      <c r="E97" s="100"/>
      <c r="F97" s="100"/>
      <c r="G97" s="101"/>
    </row>
    <row r="98" spans="1:7" ht="15.75" customHeight="1">
      <c r="A98" s="102"/>
      <c r="B98" s="103"/>
      <c r="C98" s="103" t="s">
        <v>179</v>
      </c>
      <c r="D98" s="126">
        <v>2</v>
      </c>
      <c r="E98" s="103" t="s">
        <v>180</v>
      </c>
      <c r="F98" s="103" t="s">
        <v>181</v>
      </c>
      <c r="G98" s="105"/>
    </row>
    <row r="99" spans="1:7" ht="12.75" customHeight="1">
      <c r="A99" s="1" t="s">
        <v>182</v>
      </c>
      <c r="B99" s="1"/>
      <c r="C99" s="1"/>
      <c r="D99" s="1"/>
      <c r="E99" s="1"/>
      <c r="F99" s="1"/>
      <c r="G99" s="1"/>
    </row>
    <row r="100" spans="1:7" ht="12.75" customHeight="1">
      <c r="A100" s="106" t="s">
        <v>111</v>
      </c>
      <c r="B100" s="107" t="s">
        <v>183</v>
      </c>
      <c r="C100" s="106" t="s">
        <v>184</v>
      </c>
      <c r="D100" s="107" t="s">
        <v>185</v>
      </c>
      <c r="E100" s="106" t="s">
        <v>186</v>
      </c>
      <c r="F100" s="108"/>
      <c r="G100" s="109"/>
    </row>
    <row r="101" spans="1:7" ht="12.75" customHeight="1">
      <c r="A101" s="110" t="s">
        <v>187</v>
      </c>
      <c r="B101" s="100"/>
      <c r="C101" s="110"/>
      <c r="D101" s="100"/>
      <c r="E101" s="111">
        <f t="shared" si="1"/>
        <v>4375</v>
      </c>
      <c r="F101" s="112"/>
      <c r="G101" s="113"/>
    </row>
    <row r="102" spans="1:7" ht="12.75" customHeight="1">
      <c r="A102" s="110"/>
      <c r="B102" s="110"/>
      <c r="C102" s="110"/>
      <c r="D102" s="110"/>
      <c r="E102" s="119"/>
      <c r="F102" s="112"/>
      <c r="G102" s="113"/>
    </row>
    <row r="103" spans="1:7" ht="12.75" customHeight="1">
      <c r="A103" s="110"/>
      <c r="B103" s="110"/>
      <c r="C103" s="110"/>
      <c r="D103" s="110"/>
      <c r="E103" s="119"/>
      <c r="F103" s="112"/>
      <c r="G103" s="113"/>
    </row>
    <row r="104" spans="1:7" ht="12.75" customHeight="1">
      <c r="A104" s="110"/>
      <c r="B104" s="110"/>
      <c r="C104" s="110"/>
      <c r="D104" s="110"/>
      <c r="E104" s="101"/>
      <c r="F104" s="102" t="s">
        <v>189</v>
      </c>
      <c r="G104" s="114">
        <f t="shared" si="2"/>
        <v>4375</v>
      </c>
    </row>
    <row r="105" spans="1:7" ht="12.75" customHeight="1">
      <c r="A105" s="1" t="s">
        <v>191</v>
      </c>
      <c r="B105" s="1"/>
      <c r="C105" s="1"/>
      <c r="D105" s="1"/>
      <c r="E105" s="1"/>
      <c r="F105" s="1"/>
      <c r="G105" s="1"/>
    </row>
    <row r="106" spans="1:7" ht="12.75" customHeight="1">
      <c r="A106" s="115" t="s">
        <v>111</v>
      </c>
      <c r="B106" s="106" t="s">
        <v>193</v>
      </c>
      <c r="C106" s="80" t="s">
        <v>194</v>
      </c>
      <c r="D106" s="106" t="s">
        <v>195</v>
      </c>
      <c r="E106" s="81" t="s">
        <v>186</v>
      </c>
      <c r="F106" s="108"/>
      <c r="G106" s="109"/>
    </row>
    <row r="107" spans="1:7" ht="12.75" customHeight="1">
      <c r="A107" s="110" t="s">
        <v>235</v>
      </c>
      <c r="B107" s="106" t="s">
        <v>236</v>
      </c>
      <c r="C107" s="110">
        <v>40000</v>
      </c>
      <c r="D107" s="110">
        <v>0.4</v>
      </c>
      <c r="E107" s="101">
        <f t="shared" si="12"/>
        <v>16000</v>
      </c>
      <c r="F107" s="112"/>
      <c r="G107" s="113"/>
    </row>
    <row r="108" spans="1:7" ht="12.75" customHeight="1">
      <c r="A108" s="63" t="s">
        <v>237</v>
      </c>
      <c r="B108" s="123" t="s">
        <v>226</v>
      </c>
      <c r="C108" s="63">
        <v>200000</v>
      </c>
      <c r="D108" s="63">
        <v>0.1</v>
      </c>
      <c r="E108" s="101">
        <f t="shared" si="12"/>
        <v>20000</v>
      </c>
      <c r="F108" s="112"/>
      <c r="G108" s="113"/>
    </row>
    <row r="109" spans="1:7" ht="12.75" customHeight="1">
      <c r="A109" s="110" t="s">
        <v>242</v>
      </c>
      <c r="B109" s="106" t="s">
        <v>231</v>
      </c>
      <c r="C109" s="111">
        <f>(E107+E108)*0.05</f>
        <v>1800</v>
      </c>
      <c r="D109" s="110">
        <v>1</v>
      </c>
      <c r="E109" s="119">
        <f t="shared" si="12"/>
        <v>1800</v>
      </c>
      <c r="F109" s="112"/>
      <c r="G109" s="113"/>
    </row>
    <row r="110" spans="1:7" ht="12.75" customHeight="1">
      <c r="A110" s="63"/>
      <c r="B110" s="123"/>
      <c r="C110" s="63"/>
      <c r="D110" s="63"/>
      <c r="E110" s="101"/>
      <c r="F110" s="112"/>
      <c r="G110" s="113"/>
    </row>
    <row r="111" spans="1:7" ht="12.75" customHeight="1">
      <c r="A111" s="110"/>
      <c r="B111" s="106"/>
      <c r="C111" s="111"/>
      <c r="D111" s="110"/>
      <c r="E111" s="119"/>
      <c r="F111" s="112"/>
      <c r="G111" s="113"/>
    </row>
    <row r="112" spans="1:7" ht="12.75" customHeight="1">
      <c r="A112" s="110"/>
      <c r="B112" s="110"/>
      <c r="C112" s="110"/>
      <c r="D112" s="110"/>
      <c r="E112" s="101"/>
      <c r="F112" s="112"/>
      <c r="G112" s="113"/>
    </row>
    <row r="113" spans="1:7" ht="12.75" customHeight="1">
      <c r="A113" s="116"/>
      <c r="B113" s="116"/>
      <c r="C113" s="116"/>
      <c r="D113" s="116"/>
      <c r="E113" s="101"/>
      <c r="F113" s="102" t="s">
        <v>189</v>
      </c>
      <c r="G113" s="114">
        <f t="shared" si="3"/>
        <v>37800</v>
      </c>
    </row>
    <row r="114" spans="1:7" ht="12.75" customHeight="1">
      <c r="A114" s="1" t="s">
        <v>197</v>
      </c>
      <c r="B114" s="1"/>
      <c r="C114" s="1"/>
      <c r="D114" s="1"/>
      <c r="E114" s="1"/>
      <c r="F114" s="1"/>
      <c r="G114" s="1"/>
    </row>
    <row r="115" spans="1:7" ht="12.75" customHeight="1">
      <c r="A115" s="117" t="s">
        <v>198</v>
      </c>
      <c r="B115" s="117" t="s">
        <v>199</v>
      </c>
      <c r="C115" s="117" t="s">
        <v>200</v>
      </c>
      <c r="D115" s="117" t="s">
        <v>201</v>
      </c>
      <c r="E115" s="81" t="s">
        <v>186</v>
      </c>
      <c r="F115" s="108"/>
      <c r="G115" s="109"/>
    </row>
    <row r="116" spans="1:7" ht="12.75" customHeight="1">
      <c r="A116" s="110" t="s">
        <v>243</v>
      </c>
      <c r="B116" s="110"/>
      <c r="C116" s="110"/>
      <c r="D116" s="110"/>
      <c r="E116" s="119">
        <f>500000*0.05</f>
        <v>25000</v>
      </c>
      <c r="F116" s="112"/>
      <c r="G116" s="113"/>
    </row>
    <row r="117" spans="1:7" ht="12.75" customHeight="1">
      <c r="A117" s="63"/>
      <c r="B117" s="63"/>
      <c r="C117" s="63"/>
      <c r="D117" s="63"/>
      <c r="E117" s="113"/>
      <c r="F117" s="112"/>
      <c r="G117" s="113"/>
    </row>
    <row r="118" spans="1:7" ht="12.75" customHeight="1">
      <c r="A118" s="110"/>
      <c r="B118" s="110"/>
      <c r="C118" s="110"/>
      <c r="D118" s="110"/>
      <c r="E118" s="101"/>
      <c r="F118" s="112"/>
      <c r="G118" s="113"/>
    </row>
    <row r="119" spans="1:7" ht="12.75" customHeight="1">
      <c r="A119" s="110"/>
      <c r="B119" s="110"/>
      <c r="C119" s="110"/>
      <c r="D119" s="110"/>
      <c r="E119" s="101"/>
      <c r="F119" s="112"/>
      <c r="G119" s="113"/>
    </row>
    <row r="120" spans="1:7" ht="12.75" customHeight="1">
      <c r="A120" s="116"/>
      <c r="B120" s="116"/>
      <c r="C120" s="116"/>
      <c r="D120" s="116"/>
      <c r="E120" s="105"/>
      <c r="F120" s="102" t="s">
        <v>189</v>
      </c>
      <c r="G120" s="114">
        <f t="shared" si="4"/>
        <v>25000</v>
      </c>
    </row>
    <row r="121" spans="1:7" ht="12.75" customHeight="1">
      <c r="A121" s="1" t="s">
        <v>202</v>
      </c>
      <c r="B121" s="1"/>
      <c r="C121" s="1"/>
      <c r="D121" s="1"/>
      <c r="E121" s="1"/>
      <c r="F121" s="1"/>
      <c r="G121" s="1"/>
    </row>
    <row r="122" spans="1:7" ht="12.75" customHeight="1">
      <c r="A122" s="117" t="s">
        <v>203</v>
      </c>
      <c r="B122" s="80" t="s">
        <v>204</v>
      </c>
      <c r="C122" s="117" t="s">
        <v>205</v>
      </c>
      <c r="D122" s="80" t="s">
        <v>206</v>
      </c>
      <c r="E122" s="117" t="s">
        <v>207</v>
      </c>
      <c r="F122" s="80" t="s">
        <v>208</v>
      </c>
      <c r="G122" s="118"/>
    </row>
    <row r="123" spans="1:7" ht="12.75" customHeight="1">
      <c r="A123" s="110" t="s">
        <v>188</v>
      </c>
      <c r="B123" s="100">
        <f>+K10</f>
        <v>150000</v>
      </c>
      <c r="C123" s="110">
        <f t="shared" si="5"/>
        <v>112500</v>
      </c>
      <c r="D123" s="100">
        <f t="shared" si="6"/>
        <v>262500</v>
      </c>
      <c r="E123" s="124">
        <v>5</v>
      </c>
      <c r="F123" s="119">
        <f t="shared" si="7"/>
        <v>52500</v>
      </c>
      <c r="G123" s="63"/>
    </row>
    <row r="124" spans="1:7" ht="12.75" customHeight="1">
      <c r="A124" s="63" t="s">
        <v>190</v>
      </c>
      <c r="B124" s="100">
        <f>+B78</f>
        <v>100000</v>
      </c>
      <c r="C124" s="111">
        <f t="shared" si="5"/>
        <v>75000</v>
      </c>
      <c r="D124" s="120">
        <f t="shared" si="6"/>
        <v>175000</v>
      </c>
      <c r="E124" s="124">
        <v>5</v>
      </c>
      <c r="F124" s="119">
        <f t="shared" si="7"/>
        <v>35000</v>
      </c>
      <c r="G124" s="63"/>
    </row>
    <row r="125" spans="1:7" ht="12.75" customHeight="1">
      <c r="A125" s="110"/>
      <c r="B125" s="100"/>
      <c r="C125" s="110"/>
      <c r="D125" s="100"/>
      <c r="E125" s="110"/>
      <c r="F125" s="101"/>
      <c r="G125" s="63"/>
    </row>
    <row r="126" spans="1:7" ht="12.75" customHeight="1">
      <c r="A126" s="63"/>
      <c r="B126" s="1"/>
      <c r="C126" s="63"/>
      <c r="D126" s="1"/>
      <c r="E126" s="63"/>
      <c r="F126" s="101"/>
      <c r="G126" s="63"/>
    </row>
    <row r="127" spans="1:7" ht="12.75" customHeight="1">
      <c r="A127" s="110"/>
      <c r="B127" s="100"/>
      <c r="C127" s="110"/>
      <c r="D127" s="100"/>
      <c r="E127" s="110"/>
      <c r="F127" s="101"/>
      <c r="G127" s="63"/>
    </row>
    <row r="128" spans="1:7" ht="12.75" customHeight="1">
      <c r="A128" s="116"/>
      <c r="B128" s="103"/>
      <c r="C128" s="116"/>
      <c r="D128" s="103"/>
      <c r="E128" s="116"/>
      <c r="F128" s="101"/>
      <c r="G128" s="116"/>
    </row>
    <row r="129" spans="1:9" ht="12.75" customHeight="1">
      <c r="A129" s="1"/>
      <c r="B129" s="1"/>
      <c r="C129" s="1"/>
      <c r="D129" s="1"/>
      <c r="E129" s="1"/>
      <c r="F129" s="1" t="s">
        <v>189</v>
      </c>
      <c r="G129" s="121">
        <f t="shared" si="8"/>
        <v>87500</v>
      </c>
    </row>
    <row r="130" spans="1:9" ht="12.75" customHeight="1">
      <c r="A130" s="1"/>
      <c r="B130" s="1"/>
      <c r="C130" s="1"/>
      <c r="D130" s="1"/>
      <c r="E130" s="1"/>
      <c r="F130" s="1"/>
      <c r="G130" s="1"/>
    </row>
    <row r="131" spans="1:9" ht="12.75" customHeight="1">
      <c r="A131" s="103" t="s">
        <v>209</v>
      </c>
      <c r="B131" s="1"/>
      <c r="C131" s="1" t="s">
        <v>210</v>
      </c>
      <c r="D131" s="473" t="s">
        <v>211</v>
      </c>
      <c r="E131" s="457"/>
      <c r="F131" s="457"/>
      <c r="G131" s="121">
        <f t="shared" si="9"/>
        <v>154675</v>
      </c>
    </row>
    <row r="132" spans="1:9" ht="12.75" customHeight="1">
      <c r="A132" s="1"/>
      <c r="B132" s="1"/>
      <c r="C132" s="1"/>
      <c r="D132" s="1"/>
      <c r="E132" s="1"/>
      <c r="F132" s="1"/>
      <c r="G132" s="1"/>
    </row>
    <row r="133" spans="1:9" ht="12.75" customHeight="1">
      <c r="A133" s="1"/>
      <c r="B133" s="1"/>
      <c r="C133" s="1"/>
      <c r="D133" s="1"/>
      <c r="E133" s="1" t="s">
        <v>212</v>
      </c>
      <c r="F133" s="1"/>
      <c r="G133" s="121">
        <f t="shared" si="10"/>
        <v>46402.5</v>
      </c>
    </row>
    <row r="134" spans="1:9" ht="12.75" customHeight="1">
      <c r="A134" s="1"/>
      <c r="B134" s="1"/>
      <c r="C134" s="1"/>
      <c r="D134" s="1"/>
      <c r="E134" s="1"/>
      <c r="F134" s="1"/>
      <c r="G134" s="1"/>
    </row>
    <row r="135" spans="1:9" ht="12.75" customHeight="1">
      <c r="A135" s="103" t="s">
        <v>213</v>
      </c>
      <c r="B135" s="1"/>
      <c r="C135" s="1"/>
      <c r="D135" s="473" t="s">
        <v>214</v>
      </c>
      <c r="E135" s="457"/>
      <c r="F135" s="457"/>
      <c r="G135" s="121">
        <f t="shared" si="11"/>
        <v>201077.5</v>
      </c>
    </row>
    <row r="136" spans="1:9" ht="15" customHeight="1">
      <c r="A136" s="468" t="s">
        <v>174</v>
      </c>
      <c r="B136" s="457"/>
      <c r="C136" s="457"/>
      <c r="D136" s="457"/>
      <c r="E136" s="457"/>
      <c r="F136" s="457"/>
      <c r="G136" s="457"/>
    </row>
    <row r="137" spans="1:9" ht="12.75" customHeight="1" thickBot="1">
      <c r="A137" s="77"/>
      <c r="B137" s="77"/>
      <c r="C137" s="77"/>
      <c r="D137" s="77"/>
      <c r="E137" s="77"/>
      <c r="F137" s="77"/>
    </row>
    <row r="138" spans="1:9" ht="12.75" customHeight="1">
      <c r="A138" s="404" t="s">
        <v>175</v>
      </c>
      <c r="B138" s="405"/>
      <c r="C138" s="405"/>
      <c r="D138" s="428"/>
      <c r="E138" s="428"/>
      <c r="F138" s="428"/>
      <c r="G138" s="436"/>
    </row>
    <row r="139" spans="1:9" ht="12.75" customHeight="1">
      <c r="A139" s="406" t="str">
        <f>+A4</f>
        <v xml:space="preserve">OBRA N°      Desarenador - Acueducto </v>
      </c>
      <c r="B139" s="401"/>
      <c r="C139" s="401"/>
      <c r="D139" s="401"/>
      <c r="E139" s="195"/>
      <c r="F139" s="402" t="s">
        <v>177</v>
      </c>
      <c r="G139" s="437">
        <f t="shared" ca="1" si="0"/>
        <v>46289</v>
      </c>
      <c r="H139" s="94"/>
      <c r="I139" s="97"/>
    </row>
    <row r="140" spans="1:9" ht="12.75" customHeight="1">
      <c r="A140" s="406"/>
      <c r="B140" s="401"/>
      <c r="C140" s="401"/>
      <c r="D140" s="401"/>
      <c r="E140" s="401"/>
      <c r="F140" s="401"/>
      <c r="G140" s="407"/>
    </row>
    <row r="141" spans="1:9" ht="12.75" customHeight="1">
      <c r="A141" s="406" t="s">
        <v>311</v>
      </c>
      <c r="B141" s="401" t="s">
        <v>852</v>
      </c>
      <c r="C141" s="401"/>
      <c r="D141" s="401"/>
      <c r="E141" s="401"/>
      <c r="F141" s="401"/>
      <c r="G141" s="407"/>
    </row>
    <row r="142" spans="1:9" ht="12.75" customHeight="1">
      <c r="A142" s="406" t="s">
        <v>312</v>
      </c>
      <c r="B142" s="401"/>
      <c r="C142" s="401" t="s">
        <v>179</v>
      </c>
      <c r="D142" s="432">
        <v>4</v>
      </c>
      <c r="E142" s="401" t="s">
        <v>180</v>
      </c>
      <c r="F142" s="401" t="s">
        <v>262</v>
      </c>
      <c r="G142" s="407"/>
    </row>
    <row r="143" spans="1:9" ht="12.75" customHeight="1">
      <c r="A143" s="406" t="s">
        <v>182</v>
      </c>
      <c r="B143" s="401"/>
      <c r="C143" s="401"/>
      <c r="D143" s="401"/>
      <c r="E143" s="401"/>
      <c r="F143" s="401"/>
      <c r="G143" s="407"/>
    </row>
    <row r="144" spans="1:9" ht="12.75" customHeight="1">
      <c r="A144" s="408" t="s">
        <v>111</v>
      </c>
      <c r="B144" s="169" t="s">
        <v>183</v>
      </c>
      <c r="C144" s="169" t="s">
        <v>184</v>
      </c>
      <c r="D144" s="169" t="s">
        <v>185</v>
      </c>
      <c r="E144" s="169" t="s">
        <v>186</v>
      </c>
      <c r="F144" s="401"/>
      <c r="G144" s="407"/>
    </row>
    <row r="145" spans="1:7" ht="12.75" customHeight="1">
      <c r="A145" s="406" t="s">
        <v>187</v>
      </c>
      <c r="B145" s="401"/>
      <c r="C145" s="401"/>
      <c r="D145" s="401"/>
      <c r="E145" s="403">
        <f t="shared" si="1"/>
        <v>4296.9597072865508</v>
      </c>
      <c r="F145" s="401"/>
      <c r="G145" s="407"/>
    </row>
    <row r="146" spans="1:7" ht="12.75" customHeight="1">
      <c r="A146" s="406"/>
      <c r="B146" s="401"/>
      <c r="C146" s="401"/>
      <c r="D146" s="401"/>
      <c r="E146" s="401"/>
      <c r="F146" s="401"/>
      <c r="G146" s="407"/>
    </row>
    <row r="147" spans="1:7" ht="12.75" customHeight="1">
      <c r="A147" s="406"/>
      <c r="B147" s="401"/>
      <c r="C147" s="401"/>
      <c r="D147" s="401"/>
      <c r="E147" s="401"/>
      <c r="F147" s="401"/>
      <c r="G147" s="407"/>
    </row>
    <row r="148" spans="1:7" ht="12.75" customHeight="1">
      <c r="A148" s="406"/>
      <c r="B148" s="401"/>
      <c r="C148" s="401"/>
      <c r="D148" s="401"/>
      <c r="E148" s="401"/>
      <c r="F148" s="401" t="s">
        <v>189</v>
      </c>
      <c r="G148" s="409">
        <f t="shared" si="2"/>
        <v>4296.9597072865508</v>
      </c>
    </row>
    <row r="149" spans="1:7" ht="15" customHeight="1">
      <c r="A149" s="406" t="s">
        <v>191</v>
      </c>
      <c r="B149" s="401"/>
      <c r="C149" s="401"/>
      <c r="D149" s="401"/>
      <c r="E149" s="401"/>
      <c r="F149" s="401"/>
      <c r="G149" s="407"/>
    </row>
    <row r="150" spans="1:7" ht="12.75" customHeight="1">
      <c r="A150" s="408" t="s">
        <v>111</v>
      </c>
      <c r="B150" s="169" t="s">
        <v>193</v>
      </c>
      <c r="C150" s="169" t="s">
        <v>194</v>
      </c>
      <c r="D150" s="169" t="s">
        <v>195</v>
      </c>
      <c r="E150" s="169" t="s">
        <v>186</v>
      </c>
      <c r="F150" s="401"/>
      <c r="G150" s="407"/>
    </row>
    <row r="151" spans="1:7" ht="12.75" customHeight="1">
      <c r="A151" s="406" t="s">
        <v>313</v>
      </c>
      <c r="B151" s="169" t="s">
        <v>238</v>
      </c>
      <c r="C151" s="403">
        <f>+Bocatoma!G242</f>
        <v>777000</v>
      </c>
      <c r="D151" s="435">
        <f>3*1.7*0.1</f>
        <v>0.51</v>
      </c>
      <c r="E151" s="403">
        <f t="shared" si="12"/>
        <v>396270</v>
      </c>
      <c r="F151" s="401"/>
      <c r="G151" s="407"/>
    </row>
    <row r="152" spans="1:7" ht="12.75" customHeight="1">
      <c r="A152" s="406" t="s">
        <v>314</v>
      </c>
      <c r="B152" s="169" t="s">
        <v>193</v>
      </c>
      <c r="C152" s="401">
        <f>75000*3</f>
        <v>225000</v>
      </c>
      <c r="D152" s="401">
        <v>1</v>
      </c>
      <c r="E152" s="401">
        <f t="shared" si="12"/>
        <v>225000</v>
      </c>
      <c r="F152" s="401"/>
      <c r="G152" s="407"/>
    </row>
    <row r="153" spans="1:7" ht="12.75" customHeight="1">
      <c r="A153" s="406"/>
      <c r="B153" s="169"/>
      <c r="C153" s="401"/>
      <c r="D153" s="401"/>
      <c r="E153" s="401"/>
      <c r="F153" s="401"/>
      <c r="G153" s="407"/>
    </row>
    <row r="154" spans="1:7" ht="12.75" customHeight="1">
      <c r="A154" s="406"/>
      <c r="B154" s="401"/>
      <c r="C154" s="401"/>
      <c r="D154" s="401"/>
      <c r="E154" s="401"/>
      <c r="F154" s="401"/>
      <c r="G154" s="407"/>
    </row>
    <row r="155" spans="1:7" ht="12.75" customHeight="1">
      <c r="A155" s="406"/>
      <c r="B155" s="401"/>
      <c r="C155" s="401"/>
      <c r="D155" s="401"/>
      <c r="E155" s="401"/>
      <c r="F155" s="401"/>
      <c r="G155" s="407"/>
    </row>
    <row r="156" spans="1:7" ht="12.75" customHeight="1">
      <c r="A156" s="406"/>
      <c r="B156" s="401"/>
      <c r="C156" s="401"/>
      <c r="D156" s="401"/>
      <c r="E156" s="401"/>
      <c r="F156" s="401"/>
      <c r="G156" s="407"/>
    </row>
    <row r="157" spans="1:7" ht="12.75" customHeight="1">
      <c r="A157" s="406"/>
      <c r="B157" s="401"/>
      <c r="C157" s="401"/>
      <c r="D157" s="401"/>
      <c r="E157" s="401"/>
      <c r="F157" s="401" t="s">
        <v>189</v>
      </c>
      <c r="G157" s="409">
        <f t="shared" si="3"/>
        <v>621270</v>
      </c>
    </row>
    <row r="158" spans="1:7" ht="12.75" customHeight="1">
      <c r="A158" s="406" t="s">
        <v>197</v>
      </c>
      <c r="B158" s="401"/>
      <c r="C158" s="401"/>
      <c r="D158" s="401"/>
      <c r="E158" s="401"/>
      <c r="F158" s="401"/>
      <c r="G158" s="407"/>
    </row>
    <row r="159" spans="1:7" ht="12.75" customHeight="1">
      <c r="A159" s="408" t="s">
        <v>198</v>
      </c>
      <c r="B159" s="169" t="s">
        <v>199</v>
      </c>
      <c r="C159" s="169" t="s">
        <v>200</v>
      </c>
      <c r="D159" s="169" t="s">
        <v>201</v>
      </c>
      <c r="E159" s="169" t="s">
        <v>186</v>
      </c>
      <c r="F159" s="401"/>
      <c r="G159" s="407"/>
    </row>
    <row r="160" spans="1:7" ht="12.75" customHeight="1">
      <c r="A160" s="406" t="s">
        <v>243</v>
      </c>
      <c r="B160" s="401"/>
      <c r="C160" s="401"/>
      <c r="D160" s="401"/>
      <c r="E160" s="403">
        <v>20000</v>
      </c>
      <c r="F160" s="401"/>
      <c r="G160" s="407"/>
    </row>
    <row r="161" spans="1:9" ht="12.75" customHeight="1">
      <c r="A161" s="406"/>
      <c r="B161" s="401"/>
      <c r="C161" s="401"/>
      <c r="D161" s="401"/>
      <c r="E161" s="401"/>
      <c r="F161" s="401"/>
      <c r="G161" s="407"/>
    </row>
    <row r="162" spans="1:9" ht="12.75" customHeight="1">
      <c r="A162" s="406"/>
      <c r="B162" s="401"/>
      <c r="C162" s="401"/>
      <c r="D162" s="401"/>
      <c r="E162" s="401"/>
      <c r="F162" s="401"/>
      <c r="G162" s="407"/>
    </row>
    <row r="163" spans="1:9" ht="12.75" customHeight="1">
      <c r="A163" s="406"/>
      <c r="B163" s="401"/>
      <c r="C163" s="401"/>
      <c r="D163" s="401"/>
      <c r="E163" s="401"/>
      <c r="F163" s="401"/>
      <c r="G163" s="407"/>
    </row>
    <row r="164" spans="1:9" ht="12.75" customHeight="1">
      <c r="A164" s="406"/>
      <c r="B164" s="401"/>
      <c r="C164" s="401"/>
      <c r="D164" s="401"/>
      <c r="E164" s="401"/>
      <c r="F164" s="401" t="s">
        <v>189</v>
      </c>
      <c r="G164" s="409">
        <f t="shared" si="4"/>
        <v>20000</v>
      </c>
    </row>
    <row r="165" spans="1:9" ht="12.75" customHeight="1">
      <c r="A165" s="406" t="s">
        <v>202</v>
      </c>
      <c r="B165" s="401"/>
      <c r="C165" s="401"/>
      <c r="D165" s="401"/>
      <c r="E165" s="401"/>
      <c r="F165" s="401"/>
      <c r="G165" s="407"/>
    </row>
    <row r="166" spans="1:9" ht="12.75" customHeight="1">
      <c r="A166" s="408" t="s">
        <v>203</v>
      </c>
      <c r="B166" s="169" t="s">
        <v>204</v>
      </c>
      <c r="C166" s="169" t="s">
        <v>205</v>
      </c>
      <c r="D166" s="169" t="s">
        <v>206</v>
      </c>
      <c r="E166" s="169" t="s">
        <v>207</v>
      </c>
      <c r="F166" s="169" t="s">
        <v>208</v>
      </c>
      <c r="G166" s="407"/>
    </row>
    <row r="167" spans="1:9" ht="12.75" customHeight="1">
      <c r="A167" s="406" t="s">
        <v>188</v>
      </c>
      <c r="B167" s="401">
        <v>140000</v>
      </c>
      <c r="C167" s="401">
        <f t="shared" si="5"/>
        <v>105000</v>
      </c>
      <c r="D167" s="401">
        <f t="shared" si="6"/>
        <v>245000</v>
      </c>
      <c r="E167" s="401">
        <v>5</v>
      </c>
      <c r="F167" s="403">
        <f t="shared" si="7"/>
        <v>49000</v>
      </c>
      <c r="G167" s="407"/>
    </row>
    <row r="168" spans="1:9" ht="12.75" customHeight="1">
      <c r="A168" s="406" t="s">
        <v>190</v>
      </c>
      <c r="B168" s="403">
        <f>+Bocatoma!B781</f>
        <v>90769.230769230751</v>
      </c>
      <c r="C168" s="403">
        <f t="shared" si="5"/>
        <v>68076.923076923063</v>
      </c>
      <c r="D168" s="403">
        <f t="shared" si="6"/>
        <v>158846.15384615381</v>
      </c>
      <c r="E168" s="432">
        <v>4.3002062584116052</v>
      </c>
      <c r="F168" s="403">
        <f t="shared" si="7"/>
        <v>36939.194145731009</v>
      </c>
      <c r="G168" s="407"/>
    </row>
    <row r="169" spans="1:9" ht="12.75" customHeight="1">
      <c r="A169" s="406"/>
      <c r="B169" s="401"/>
      <c r="C169" s="401"/>
      <c r="D169" s="401"/>
      <c r="E169" s="401"/>
      <c r="F169" s="401"/>
      <c r="G169" s="407"/>
    </row>
    <row r="170" spans="1:9" ht="12.75" customHeight="1">
      <c r="A170" s="406"/>
      <c r="B170" s="401"/>
      <c r="C170" s="401"/>
      <c r="D170" s="401"/>
      <c r="E170" s="401"/>
      <c r="F170" s="401"/>
      <c r="G170" s="407"/>
    </row>
    <row r="171" spans="1:9" ht="12.75" customHeight="1">
      <c r="A171" s="406"/>
      <c r="B171" s="401"/>
      <c r="C171" s="401"/>
      <c r="D171" s="401"/>
      <c r="E171" s="401"/>
      <c r="F171" s="401"/>
      <c r="G171" s="407"/>
    </row>
    <row r="172" spans="1:9" ht="12.75" customHeight="1">
      <c r="A172" s="406"/>
      <c r="B172" s="401"/>
      <c r="C172" s="401"/>
      <c r="D172" s="401"/>
      <c r="E172" s="401"/>
      <c r="F172" s="401"/>
      <c r="G172" s="407"/>
    </row>
    <row r="173" spans="1:9" ht="12.75" customHeight="1">
      <c r="A173" s="406"/>
      <c r="B173" s="401"/>
      <c r="C173" s="401"/>
      <c r="D173" s="401"/>
      <c r="E173" s="401"/>
      <c r="F173" s="401" t="s">
        <v>189</v>
      </c>
      <c r="G173" s="409">
        <f t="shared" si="8"/>
        <v>85939.194145731017</v>
      </c>
    </row>
    <row r="174" spans="1:9" ht="12.75" customHeight="1">
      <c r="A174" s="406"/>
      <c r="B174" s="401"/>
      <c r="C174" s="401"/>
      <c r="D174" s="401"/>
      <c r="E174" s="401"/>
      <c r="F174" s="401"/>
      <c r="G174" s="407"/>
    </row>
    <row r="175" spans="1:9" ht="12.75" customHeight="1">
      <c r="A175" s="406" t="s">
        <v>209</v>
      </c>
      <c r="B175" s="401"/>
      <c r="C175" s="401" t="s">
        <v>210</v>
      </c>
      <c r="D175" s="471" t="s">
        <v>211</v>
      </c>
      <c r="E175" s="472"/>
      <c r="F175" s="472"/>
      <c r="G175" s="438">
        <f t="shared" si="9"/>
        <v>731506.1538530176</v>
      </c>
      <c r="I175">
        <v>950958</v>
      </c>
    </row>
    <row r="176" spans="1:9" ht="12.75" customHeight="1">
      <c r="A176" s="406"/>
      <c r="B176" s="401"/>
      <c r="C176" s="401"/>
      <c r="D176" s="401"/>
      <c r="E176" s="401"/>
      <c r="F176" s="401"/>
      <c r="G176" s="407"/>
    </row>
    <row r="177" spans="1:9" ht="12.75" customHeight="1">
      <c r="A177" s="406"/>
      <c r="B177" s="401"/>
      <c r="C177" s="401"/>
      <c r="D177" s="401"/>
      <c r="E177" s="401" t="s">
        <v>212</v>
      </c>
      <c r="F177" s="401"/>
      <c r="G177" s="409">
        <f t="shared" si="10"/>
        <v>219451.84615590528</v>
      </c>
    </row>
    <row r="178" spans="1:9" ht="12.75" customHeight="1">
      <c r="A178" s="406"/>
      <c r="B178" s="401"/>
      <c r="C178" s="401"/>
      <c r="D178" s="401"/>
      <c r="E178" s="401"/>
      <c r="F178" s="401"/>
      <c r="G178" s="407"/>
    </row>
    <row r="179" spans="1:9" ht="12.75" customHeight="1" thickBot="1">
      <c r="A179" s="411" t="s">
        <v>213</v>
      </c>
      <c r="B179" s="412"/>
      <c r="C179" s="412"/>
      <c r="D179" s="469" t="s">
        <v>214</v>
      </c>
      <c r="E179" s="470"/>
      <c r="F179" s="470"/>
      <c r="G179" s="413">
        <f t="shared" si="11"/>
        <v>950958.00000892289</v>
      </c>
    </row>
    <row r="180" spans="1:9" ht="15" customHeight="1">
      <c r="A180" s="468" t="s">
        <v>174</v>
      </c>
      <c r="B180" s="457"/>
      <c r="C180" s="457"/>
      <c r="D180" s="457"/>
      <c r="E180" s="457"/>
      <c r="F180" s="457"/>
      <c r="G180" s="457"/>
    </row>
    <row r="181" spans="1:9" ht="4.5" customHeight="1"/>
    <row r="182" spans="1:9" ht="12.75" customHeight="1">
      <c r="A182" s="1" t="s">
        <v>175</v>
      </c>
      <c r="B182" s="1"/>
      <c r="C182" s="1"/>
      <c r="D182" s="94"/>
      <c r="E182" s="94"/>
      <c r="F182" s="94"/>
      <c r="G182" s="94"/>
    </row>
    <row r="183" spans="1:9" ht="12.75" customHeight="1">
      <c r="A183" s="1" t="str">
        <f>+A4</f>
        <v xml:space="preserve">OBRA N°      Desarenador - Acueducto </v>
      </c>
      <c r="B183" s="1"/>
      <c r="C183" s="1"/>
      <c r="D183" s="1"/>
      <c r="F183" s="95" t="s">
        <v>177</v>
      </c>
      <c r="G183" s="96">
        <f t="shared" ca="1" si="0"/>
        <v>46289</v>
      </c>
      <c r="H183" s="94"/>
      <c r="I183" s="97"/>
    </row>
    <row r="184" spans="1:9" ht="12.75" customHeight="1">
      <c r="A184" s="99" t="s">
        <v>315</v>
      </c>
      <c r="B184" s="100" t="s">
        <v>316</v>
      </c>
      <c r="C184" s="100"/>
      <c r="D184" s="100"/>
      <c r="E184" s="100"/>
      <c r="F184" s="100"/>
      <c r="G184" s="101"/>
    </row>
    <row r="185" spans="1:9" ht="12.75" customHeight="1">
      <c r="A185" s="102"/>
      <c r="B185" s="103"/>
      <c r="C185" s="103" t="s">
        <v>179</v>
      </c>
      <c r="D185" s="103">
        <v>1</v>
      </c>
      <c r="E185" s="103" t="s">
        <v>180</v>
      </c>
      <c r="F185" s="103" t="s">
        <v>262</v>
      </c>
      <c r="G185" s="105"/>
    </row>
    <row r="186" spans="1:9" ht="12.75" customHeight="1">
      <c r="A186" s="1" t="s">
        <v>182</v>
      </c>
      <c r="B186" s="1"/>
      <c r="C186" s="1"/>
      <c r="D186" s="1"/>
      <c r="E186" s="1"/>
      <c r="F186" s="1"/>
      <c r="G186" s="1"/>
    </row>
    <row r="187" spans="1:9" ht="12.75" customHeight="1">
      <c r="A187" s="106" t="s">
        <v>111</v>
      </c>
      <c r="B187" s="107" t="s">
        <v>183</v>
      </c>
      <c r="C187" s="106" t="s">
        <v>184</v>
      </c>
      <c r="D187" s="107" t="s">
        <v>185</v>
      </c>
      <c r="E187" s="106" t="s">
        <v>186</v>
      </c>
      <c r="F187" s="108"/>
      <c r="G187" s="109"/>
    </row>
    <row r="188" spans="1:9" ht="12.75" customHeight="1">
      <c r="A188" s="110" t="s">
        <v>187</v>
      </c>
      <c r="B188" s="100"/>
      <c r="C188" s="110"/>
      <c r="D188" s="100"/>
      <c r="E188" s="111">
        <f t="shared" si="1"/>
        <v>123083.33333333336</v>
      </c>
      <c r="F188" s="112"/>
      <c r="G188" s="113"/>
    </row>
    <row r="189" spans="1:9" ht="12.75" customHeight="1">
      <c r="A189" s="110"/>
      <c r="B189" s="110"/>
      <c r="C189" s="110"/>
      <c r="D189" s="110"/>
      <c r="E189" s="101"/>
      <c r="F189" s="112"/>
      <c r="G189" s="113"/>
    </row>
    <row r="190" spans="1:9" ht="12.75" customHeight="1">
      <c r="A190" s="110"/>
      <c r="B190" s="110"/>
      <c r="C190" s="110"/>
      <c r="D190" s="110"/>
      <c r="E190" s="101"/>
      <c r="F190" s="112"/>
      <c r="G190" s="113"/>
    </row>
    <row r="191" spans="1:9" ht="12.75" customHeight="1">
      <c r="A191" s="110"/>
      <c r="B191" s="110"/>
      <c r="C191" s="110"/>
      <c r="D191" s="110"/>
      <c r="E191" s="101"/>
      <c r="F191" s="102" t="s">
        <v>189</v>
      </c>
      <c r="G191" s="114">
        <f t="shared" si="2"/>
        <v>123083.33333333336</v>
      </c>
    </row>
    <row r="192" spans="1:9" ht="12.75" customHeight="1">
      <c r="A192" s="1" t="s">
        <v>191</v>
      </c>
      <c r="B192" s="1"/>
      <c r="C192" s="1"/>
      <c r="D192" s="1"/>
      <c r="E192" s="1"/>
      <c r="F192" s="1"/>
      <c r="G192" s="1"/>
    </row>
    <row r="193" spans="1:7" ht="12.75" customHeight="1">
      <c r="A193" s="115" t="s">
        <v>111</v>
      </c>
      <c r="B193" s="106" t="s">
        <v>193</v>
      </c>
      <c r="C193" s="80" t="s">
        <v>194</v>
      </c>
      <c r="D193" s="106" t="s">
        <v>195</v>
      </c>
      <c r="E193" s="81" t="s">
        <v>186</v>
      </c>
      <c r="F193" s="108"/>
      <c r="G193" s="109"/>
    </row>
    <row r="194" spans="1:7" ht="12.75" customHeight="1">
      <c r="A194" s="110" t="s">
        <v>317</v>
      </c>
      <c r="B194" s="106"/>
      <c r="C194" s="110"/>
      <c r="D194" s="110"/>
      <c r="E194" s="101"/>
      <c r="F194" s="112"/>
      <c r="G194" s="113"/>
    </row>
    <row r="195" spans="1:7" ht="12.75" customHeight="1">
      <c r="A195" s="63" t="s">
        <v>318</v>
      </c>
      <c r="B195" s="123"/>
      <c r="C195" s="63"/>
      <c r="D195" s="63"/>
      <c r="E195" s="119"/>
      <c r="F195" s="112"/>
      <c r="G195" s="113"/>
    </row>
    <row r="196" spans="1:7" ht="12.75" customHeight="1">
      <c r="A196" s="110" t="s">
        <v>279</v>
      </c>
      <c r="B196" s="106"/>
      <c r="C196" s="110"/>
      <c r="D196" s="110"/>
      <c r="E196" s="101"/>
      <c r="F196" s="112"/>
      <c r="G196" s="113"/>
    </row>
    <row r="197" spans="1:7" ht="12.75" customHeight="1">
      <c r="A197" s="63" t="s">
        <v>319</v>
      </c>
      <c r="B197" s="63"/>
      <c r="C197" s="63"/>
      <c r="D197" s="63"/>
      <c r="E197" s="101"/>
      <c r="F197" s="112"/>
      <c r="G197" s="113"/>
    </row>
    <row r="198" spans="1:7" ht="12.75" customHeight="1">
      <c r="A198" s="110" t="s">
        <v>281</v>
      </c>
      <c r="B198" s="106" t="s">
        <v>256</v>
      </c>
      <c r="C198" s="110">
        <f>1.2*2750000</f>
        <v>3300000</v>
      </c>
      <c r="D198" s="110">
        <v>1</v>
      </c>
      <c r="E198" s="101">
        <f t="shared" si="12"/>
        <v>3300000</v>
      </c>
      <c r="F198" s="112"/>
      <c r="G198" s="113"/>
    </row>
    <row r="199" spans="1:7" ht="12.75" customHeight="1">
      <c r="A199" s="110"/>
      <c r="B199" s="110"/>
      <c r="C199" s="110"/>
      <c r="D199" s="110"/>
      <c r="E199" s="101"/>
      <c r="F199" s="112"/>
      <c r="G199" s="113"/>
    </row>
    <row r="200" spans="1:7" ht="12.75" customHeight="1">
      <c r="A200" s="116"/>
      <c r="B200" s="116"/>
      <c r="C200" s="116"/>
      <c r="D200" s="116"/>
      <c r="E200" s="101"/>
      <c r="F200" s="102" t="s">
        <v>189</v>
      </c>
      <c r="G200" s="114">
        <f t="shared" si="3"/>
        <v>3300000</v>
      </c>
    </row>
    <row r="201" spans="1:7" ht="12.75" customHeight="1">
      <c r="A201" s="1" t="s">
        <v>197</v>
      </c>
      <c r="B201" s="1"/>
      <c r="C201" s="1"/>
      <c r="D201" s="1"/>
      <c r="E201" s="1"/>
      <c r="F201" s="1"/>
      <c r="G201" s="1"/>
    </row>
    <row r="202" spans="1:7" ht="12.75" customHeight="1">
      <c r="A202" s="117" t="s">
        <v>198</v>
      </c>
      <c r="B202" s="117" t="s">
        <v>199</v>
      </c>
      <c r="C202" s="117" t="s">
        <v>200</v>
      </c>
      <c r="D202" s="117" t="s">
        <v>201</v>
      </c>
      <c r="E202" s="81" t="s">
        <v>186</v>
      </c>
      <c r="F202" s="108"/>
      <c r="G202" s="109"/>
    </row>
    <row r="203" spans="1:7" ht="12.75" customHeight="1">
      <c r="A203" s="110" t="s">
        <v>243</v>
      </c>
      <c r="B203" s="110"/>
      <c r="C203" s="110"/>
      <c r="D203" s="110"/>
      <c r="E203" s="101">
        <v>550000</v>
      </c>
      <c r="F203" s="112"/>
      <c r="G203" s="113"/>
    </row>
    <row r="204" spans="1:7" ht="12.75" customHeight="1">
      <c r="A204" s="63"/>
      <c r="B204" s="63"/>
      <c r="C204" s="63"/>
      <c r="D204" s="63"/>
      <c r="E204" s="113"/>
      <c r="F204" s="112"/>
      <c r="G204" s="113"/>
    </row>
    <row r="205" spans="1:7" ht="12.75" customHeight="1">
      <c r="A205" s="110"/>
      <c r="B205" s="110"/>
      <c r="C205" s="110"/>
      <c r="D205" s="110"/>
      <c r="E205" s="101"/>
      <c r="F205" s="112"/>
      <c r="G205" s="113"/>
    </row>
    <row r="206" spans="1:7" ht="12.75" customHeight="1">
      <c r="A206" s="110"/>
      <c r="B206" s="110"/>
      <c r="C206" s="110"/>
      <c r="D206" s="110"/>
      <c r="E206" s="101"/>
      <c r="F206" s="112"/>
      <c r="G206" s="113"/>
    </row>
    <row r="207" spans="1:7" ht="12.75" customHeight="1">
      <c r="A207" s="116"/>
      <c r="B207" s="116"/>
      <c r="C207" s="116"/>
      <c r="D207" s="116"/>
      <c r="E207" s="105"/>
      <c r="F207" s="102" t="s">
        <v>189</v>
      </c>
      <c r="G207" s="105">
        <f t="shared" si="4"/>
        <v>550000</v>
      </c>
    </row>
    <row r="208" spans="1:7" ht="12.75" customHeight="1">
      <c r="A208" s="1" t="s">
        <v>202</v>
      </c>
      <c r="B208" s="1"/>
      <c r="C208" s="1"/>
      <c r="D208" s="1"/>
      <c r="E208" s="1"/>
      <c r="F208" s="1"/>
      <c r="G208" s="1"/>
    </row>
    <row r="209" spans="1:7" ht="12.75" customHeight="1">
      <c r="A209" s="117" t="s">
        <v>203</v>
      </c>
      <c r="B209" s="80" t="s">
        <v>204</v>
      </c>
      <c r="C209" s="117" t="s">
        <v>205</v>
      </c>
      <c r="D209" s="80" t="s">
        <v>206</v>
      </c>
      <c r="E209" s="117" t="s">
        <v>207</v>
      </c>
      <c r="F209" s="80" t="s">
        <v>208</v>
      </c>
      <c r="G209" s="118"/>
    </row>
    <row r="210" spans="1:7" ht="12.75" customHeight="1">
      <c r="A210" s="110" t="s">
        <v>188</v>
      </c>
      <c r="B210" s="100">
        <f>+B123</f>
        <v>150000</v>
      </c>
      <c r="C210" s="110">
        <f t="shared" si="5"/>
        <v>112500</v>
      </c>
      <c r="D210" s="100">
        <f t="shared" si="6"/>
        <v>262500</v>
      </c>
      <c r="E210" s="124">
        <v>0.3</v>
      </c>
      <c r="F210" s="119">
        <f t="shared" si="7"/>
        <v>875000</v>
      </c>
      <c r="G210" s="63"/>
    </row>
    <row r="211" spans="1:7" ht="12.75" customHeight="1">
      <c r="A211" s="63" t="s">
        <v>320</v>
      </c>
      <c r="B211" s="100">
        <f>+B124*2</f>
        <v>200000</v>
      </c>
      <c r="C211" s="111">
        <f t="shared" si="5"/>
        <v>150000</v>
      </c>
      <c r="D211" s="120">
        <f t="shared" si="6"/>
        <v>350000</v>
      </c>
      <c r="E211" s="124">
        <v>0.3</v>
      </c>
      <c r="F211" s="119">
        <f t="shared" si="7"/>
        <v>1166666.6666666667</v>
      </c>
      <c r="G211" s="63"/>
    </row>
    <row r="212" spans="1:7" ht="12.75" customHeight="1">
      <c r="A212" s="110" t="s">
        <v>321</v>
      </c>
      <c r="B212" s="100">
        <f>+K13</f>
        <v>120000</v>
      </c>
      <c r="C212" s="111">
        <f t="shared" si="5"/>
        <v>90000</v>
      </c>
      <c r="D212" s="120">
        <f t="shared" si="6"/>
        <v>210000</v>
      </c>
      <c r="E212" s="124">
        <v>0.5</v>
      </c>
      <c r="F212" s="119">
        <f t="shared" si="7"/>
        <v>420000</v>
      </c>
      <c r="G212" s="63"/>
    </row>
    <row r="213" spans="1:7" ht="12.75" customHeight="1">
      <c r="A213" s="63"/>
      <c r="B213" s="1"/>
      <c r="C213" s="63"/>
      <c r="D213" s="1"/>
      <c r="E213" s="63"/>
      <c r="F213" s="101"/>
      <c r="G213" s="63"/>
    </row>
    <row r="214" spans="1:7" ht="12.75" customHeight="1">
      <c r="A214" s="110"/>
      <c r="B214" s="100"/>
      <c r="C214" s="110"/>
      <c r="D214" s="100"/>
      <c r="E214" s="110"/>
      <c r="F214" s="101"/>
      <c r="G214" s="63"/>
    </row>
    <row r="215" spans="1:7" ht="12.75" customHeight="1">
      <c r="A215" s="116"/>
      <c r="B215" s="103"/>
      <c r="C215" s="116"/>
      <c r="D215" s="103"/>
      <c r="E215" s="116"/>
      <c r="F215" s="101"/>
      <c r="G215" s="116"/>
    </row>
    <row r="216" spans="1:7" ht="12.75" customHeight="1">
      <c r="A216" s="1"/>
      <c r="B216" s="1"/>
      <c r="C216" s="1"/>
      <c r="D216" s="1"/>
      <c r="E216" s="1"/>
      <c r="F216" s="1" t="s">
        <v>189</v>
      </c>
      <c r="G216" s="121">
        <f t="shared" si="8"/>
        <v>2461666.666666667</v>
      </c>
    </row>
    <row r="217" spans="1:7" ht="12.75" customHeight="1">
      <c r="A217" s="1"/>
      <c r="B217" s="1"/>
      <c r="C217" s="1"/>
      <c r="D217" s="1"/>
      <c r="E217" s="1"/>
      <c r="F217" s="1"/>
      <c r="G217" s="1"/>
    </row>
    <row r="218" spans="1:7" ht="12.75" customHeight="1">
      <c r="A218" s="103" t="s">
        <v>209</v>
      </c>
      <c r="B218" s="1"/>
      <c r="C218" s="1" t="s">
        <v>210</v>
      </c>
      <c r="D218" s="473" t="s">
        <v>211</v>
      </c>
      <c r="E218" s="457"/>
      <c r="F218" s="457"/>
      <c r="G218" s="132">
        <f t="shared" si="9"/>
        <v>6434750</v>
      </c>
    </row>
    <row r="219" spans="1:7" ht="12.75" customHeight="1">
      <c r="A219" s="1"/>
      <c r="B219" s="1"/>
      <c r="C219" s="1"/>
      <c r="D219" s="1"/>
      <c r="E219" s="1"/>
      <c r="F219" s="1"/>
      <c r="G219" s="1"/>
    </row>
    <row r="220" spans="1:7" ht="12.75" customHeight="1">
      <c r="A220" s="1"/>
      <c r="B220" s="1"/>
      <c r="C220" s="1"/>
      <c r="D220" s="1"/>
      <c r="E220" s="1" t="s">
        <v>212</v>
      </c>
      <c r="F220" s="1"/>
      <c r="G220" s="121">
        <f t="shared" si="10"/>
        <v>1930425</v>
      </c>
    </row>
    <row r="221" spans="1:7" ht="12.75" customHeight="1">
      <c r="A221" s="1"/>
      <c r="B221" s="1"/>
      <c r="C221" s="1"/>
      <c r="D221" s="1"/>
      <c r="E221" s="1"/>
      <c r="F221" s="1"/>
      <c r="G221" s="1"/>
    </row>
    <row r="222" spans="1:7" ht="12.75" customHeight="1">
      <c r="A222" s="103" t="s">
        <v>213</v>
      </c>
      <c r="B222" s="1"/>
      <c r="C222" s="1"/>
      <c r="D222" s="473" t="s">
        <v>214</v>
      </c>
      <c r="E222" s="457"/>
      <c r="F222" s="457"/>
      <c r="G222" s="121">
        <f t="shared" si="11"/>
        <v>8365175</v>
      </c>
    </row>
    <row r="223" spans="1:7" ht="15" customHeight="1">
      <c r="A223" s="468" t="s">
        <v>174</v>
      </c>
      <c r="B223" s="457"/>
      <c r="C223" s="457"/>
      <c r="D223" s="457"/>
      <c r="E223" s="457"/>
      <c r="F223" s="457"/>
      <c r="G223" s="457"/>
    </row>
    <row r="224" spans="1:7" ht="12.75" customHeight="1">
      <c r="A224" s="77"/>
      <c r="B224" s="77"/>
      <c r="C224" s="77"/>
      <c r="D224" s="77"/>
      <c r="E224" s="77"/>
      <c r="F224" s="77"/>
    </row>
    <row r="225" spans="1:9" ht="12.75" customHeight="1"/>
    <row r="226" spans="1:9" ht="12.75" customHeight="1">
      <c r="A226" s="1" t="s">
        <v>175</v>
      </c>
      <c r="B226" s="1"/>
      <c r="C226" s="1"/>
      <c r="D226" s="94"/>
      <c r="E226" s="94"/>
      <c r="F226" s="94"/>
      <c r="G226" s="94"/>
    </row>
    <row r="227" spans="1:9" ht="12.75" customHeight="1">
      <c r="A227" s="1" t="str">
        <f>+A4</f>
        <v xml:space="preserve">OBRA N°      Desarenador - Acueducto </v>
      </c>
      <c r="B227" s="1"/>
      <c r="C227" s="1"/>
      <c r="D227" s="1"/>
      <c r="F227" s="95" t="s">
        <v>177</v>
      </c>
      <c r="G227" s="96">
        <f t="shared" ca="1" si="0"/>
        <v>46289</v>
      </c>
      <c r="H227" s="94"/>
      <c r="I227" s="97"/>
    </row>
    <row r="228" spans="1:9" ht="12.75" customHeight="1">
      <c r="A228" s="1"/>
      <c r="B228" s="1"/>
      <c r="C228" s="1"/>
      <c r="D228" s="1"/>
      <c r="E228" s="1"/>
      <c r="F228" s="1"/>
      <c r="G228" s="1"/>
    </row>
    <row r="229" spans="1:9" ht="12.75" customHeight="1">
      <c r="A229" s="99" t="s">
        <v>322</v>
      </c>
      <c r="B229" s="100" t="s">
        <v>323</v>
      </c>
      <c r="C229" s="100"/>
      <c r="D229" s="100"/>
      <c r="E229" s="100"/>
      <c r="F229" s="100"/>
      <c r="G229" s="101"/>
    </row>
    <row r="230" spans="1:9" ht="12.75" customHeight="1">
      <c r="A230" s="102"/>
      <c r="B230" s="103"/>
      <c r="C230" s="103" t="s">
        <v>179</v>
      </c>
      <c r="D230" s="126">
        <v>1</v>
      </c>
      <c r="E230" s="103" t="s">
        <v>180</v>
      </c>
      <c r="F230" s="103" t="s">
        <v>262</v>
      </c>
      <c r="G230" s="105"/>
    </row>
    <row r="231" spans="1:9" ht="12.75" customHeight="1">
      <c r="A231" s="1" t="s">
        <v>182</v>
      </c>
      <c r="B231" s="1"/>
      <c r="C231" s="1"/>
      <c r="D231" s="1"/>
      <c r="E231" s="1"/>
      <c r="F231" s="1"/>
      <c r="G231" s="1"/>
    </row>
    <row r="232" spans="1:9" ht="12.75" customHeight="1">
      <c r="A232" s="106" t="s">
        <v>111</v>
      </c>
      <c r="B232" s="107" t="s">
        <v>183</v>
      </c>
      <c r="C232" s="106" t="s">
        <v>184</v>
      </c>
      <c r="D232" s="107" t="s">
        <v>185</v>
      </c>
      <c r="E232" s="106" t="s">
        <v>186</v>
      </c>
      <c r="F232" s="108"/>
      <c r="G232" s="109"/>
    </row>
    <row r="233" spans="1:9" ht="12.75" customHeight="1">
      <c r="A233" s="110" t="s">
        <v>187</v>
      </c>
      <c r="B233" s="100"/>
      <c r="C233" s="110"/>
      <c r="D233" s="100"/>
      <c r="E233" s="111">
        <f t="shared" si="1"/>
        <v>7291.6666666666679</v>
      </c>
      <c r="F233" s="112"/>
      <c r="G233" s="113"/>
    </row>
    <row r="234" spans="1:9" ht="12.75" customHeight="1">
      <c r="A234" s="110"/>
      <c r="B234" s="110"/>
      <c r="C234" s="110"/>
      <c r="D234" s="110"/>
      <c r="E234" s="101"/>
      <c r="F234" s="112"/>
      <c r="G234" s="113"/>
    </row>
    <row r="235" spans="1:9" ht="12.75" customHeight="1">
      <c r="A235" s="110"/>
      <c r="B235" s="110"/>
      <c r="C235" s="110"/>
      <c r="D235" s="110"/>
      <c r="E235" s="101"/>
      <c r="F235" s="112"/>
      <c r="G235" s="113"/>
    </row>
    <row r="236" spans="1:9" ht="12.75" customHeight="1">
      <c r="A236" s="110"/>
      <c r="B236" s="110"/>
      <c r="C236" s="110"/>
      <c r="D236" s="110"/>
      <c r="E236" s="101"/>
      <c r="F236" s="102" t="s">
        <v>189</v>
      </c>
      <c r="G236" s="114">
        <f t="shared" si="2"/>
        <v>7291.6666666666679</v>
      </c>
    </row>
    <row r="237" spans="1:9" ht="12.75" customHeight="1">
      <c r="A237" s="1" t="s">
        <v>191</v>
      </c>
      <c r="B237" s="1"/>
      <c r="C237" s="1"/>
      <c r="D237" s="1"/>
      <c r="E237" s="1"/>
      <c r="F237" s="1"/>
      <c r="G237" s="1"/>
    </row>
    <row r="238" spans="1:9" ht="12.75" customHeight="1">
      <c r="A238" s="115" t="s">
        <v>111</v>
      </c>
      <c r="B238" s="106" t="s">
        <v>193</v>
      </c>
      <c r="C238" s="80" t="s">
        <v>194</v>
      </c>
      <c r="D238" s="106" t="s">
        <v>195</v>
      </c>
      <c r="E238" s="81" t="s">
        <v>186</v>
      </c>
      <c r="F238" s="108"/>
      <c r="G238" s="109"/>
    </row>
    <row r="239" spans="1:9" ht="12.75" customHeight="1">
      <c r="A239" s="110" t="s">
        <v>324</v>
      </c>
      <c r="B239" s="106" t="s">
        <v>193</v>
      </c>
      <c r="C239" s="111">
        <f>(505000*1.19)</f>
        <v>600950</v>
      </c>
      <c r="D239" s="110">
        <v>1</v>
      </c>
      <c r="E239" s="119">
        <f t="shared" si="12"/>
        <v>600950</v>
      </c>
      <c r="F239" s="112"/>
      <c r="G239" s="113"/>
    </row>
    <row r="240" spans="1:9" ht="12.75" customHeight="1">
      <c r="A240" s="63" t="s">
        <v>325</v>
      </c>
      <c r="B240" s="123" t="s">
        <v>193</v>
      </c>
      <c r="C240" s="125">
        <v>750</v>
      </c>
      <c r="D240" s="63">
        <v>1</v>
      </c>
      <c r="E240" s="119">
        <f t="shared" si="12"/>
        <v>750</v>
      </c>
      <c r="F240" s="112"/>
      <c r="G240" s="113"/>
    </row>
    <row r="241" spans="1:7" ht="15" customHeight="1">
      <c r="A241" s="110"/>
      <c r="B241" s="106"/>
      <c r="C241" s="110"/>
      <c r="D241" s="110"/>
      <c r="E241" s="101"/>
      <c r="F241" s="112"/>
      <c r="G241" s="113"/>
    </row>
    <row r="242" spans="1:7" ht="12.75" customHeight="1">
      <c r="A242" s="63"/>
      <c r="B242" s="63"/>
      <c r="C242" s="63"/>
      <c r="D242" s="63"/>
      <c r="E242" s="101"/>
      <c r="F242" s="112"/>
      <c r="G242" s="113"/>
    </row>
    <row r="243" spans="1:7" ht="12.75" customHeight="1">
      <c r="A243" s="110"/>
      <c r="B243" s="110"/>
      <c r="C243" s="110"/>
      <c r="D243" s="110"/>
      <c r="E243" s="101"/>
      <c r="F243" s="112"/>
      <c r="G243" s="113"/>
    </row>
    <row r="244" spans="1:7" ht="12.75" customHeight="1">
      <c r="A244" s="110"/>
      <c r="B244" s="110"/>
      <c r="C244" s="110"/>
      <c r="D244" s="110"/>
      <c r="E244" s="101"/>
      <c r="F244" s="112"/>
      <c r="G244" s="113"/>
    </row>
    <row r="245" spans="1:7" ht="12.75" customHeight="1">
      <c r="A245" s="116"/>
      <c r="B245" s="116"/>
      <c r="C245" s="116"/>
      <c r="D245" s="116"/>
      <c r="E245" s="101"/>
      <c r="F245" s="102" t="s">
        <v>189</v>
      </c>
      <c r="G245" s="114">
        <f t="shared" si="3"/>
        <v>601700</v>
      </c>
    </row>
    <row r="246" spans="1:7" ht="12.75" customHeight="1">
      <c r="A246" s="1" t="s">
        <v>197</v>
      </c>
      <c r="B246" s="1"/>
      <c r="C246" s="1"/>
      <c r="D246" s="1"/>
      <c r="E246" s="1"/>
      <c r="F246" s="1"/>
      <c r="G246" s="1"/>
    </row>
    <row r="247" spans="1:7" ht="12.75" customHeight="1">
      <c r="A247" s="117" t="s">
        <v>198</v>
      </c>
      <c r="B247" s="117" t="s">
        <v>199</v>
      </c>
      <c r="C247" s="117" t="s">
        <v>200</v>
      </c>
      <c r="D247" s="117" t="s">
        <v>201</v>
      </c>
      <c r="E247" s="81" t="s">
        <v>186</v>
      </c>
      <c r="F247" s="108"/>
      <c r="G247" s="109"/>
    </row>
    <row r="248" spans="1:7" ht="12.75" customHeight="1">
      <c r="A248" s="110" t="s">
        <v>243</v>
      </c>
      <c r="B248" s="110"/>
      <c r="C248" s="110"/>
      <c r="D248" s="110"/>
      <c r="E248" s="101">
        <v>100000</v>
      </c>
      <c r="F248" s="112"/>
      <c r="G248" s="113"/>
    </row>
    <row r="249" spans="1:7" ht="12.75" customHeight="1">
      <c r="A249" s="63"/>
      <c r="B249" s="63"/>
      <c r="C249" s="63"/>
      <c r="D249" s="63"/>
      <c r="E249" s="113"/>
      <c r="F249" s="112"/>
      <c r="G249" s="113"/>
    </row>
    <row r="250" spans="1:7" ht="12.75" customHeight="1">
      <c r="A250" s="110"/>
      <c r="B250" s="110"/>
      <c r="C250" s="110"/>
      <c r="D250" s="110"/>
      <c r="E250" s="101"/>
      <c r="F250" s="112"/>
      <c r="G250" s="113"/>
    </row>
    <row r="251" spans="1:7" ht="12.75" customHeight="1">
      <c r="A251" s="110"/>
      <c r="B251" s="110"/>
      <c r="C251" s="110"/>
      <c r="D251" s="110"/>
      <c r="E251" s="101"/>
      <c r="F251" s="112"/>
      <c r="G251" s="113"/>
    </row>
    <row r="252" spans="1:7" ht="12.75" customHeight="1">
      <c r="A252" s="116"/>
      <c r="B252" s="116"/>
      <c r="C252" s="116"/>
      <c r="D252" s="116"/>
      <c r="E252" s="105"/>
      <c r="F252" s="102" t="s">
        <v>189</v>
      </c>
      <c r="G252" s="105">
        <f t="shared" si="4"/>
        <v>100000</v>
      </c>
    </row>
    <row r="253" spans="1:7" ht="12.75" customHeight="1">
      <c r="A253" s="1" t="s">
        <v>202</v>
      </c>
      <c r="B253" s="1"/>
      <c r="C253" s="1"/>
      <c r="D253" s="1"/>
      <c r="E253" s="1"/>
      <c r="F253" s="1"/>
      <c r="G253" s="1"/>
    </row>
    <row r="254" spans="1:7" ht="12.75" customHeight="1">
      <c r="A254" s="117" t="s">
        <v>203</v>
      </c>
      <c r="B254" s="80" t="s">
        <v>204</v>
      </c>
      <c r="C254" s="117" t="s">
        <v>205</v>
      </c>
      <c r="D254" s="80" t="s">
        <v>206</v>
      </c>
      <c r="E254" s="117" t="s">
        <v>207</v>
      </c>
      <c r="F254" s="80" t="s">
        <v>208</v>
      </c>
      <c r="G254" s="118"/>
    </row>
    <row r="255" spans="1:7" ht="12.75" customHeight="1">
      <c r="A255" s="110" t="s">
        <v>188</v>
      </c>
      <c r="B255" s="100">
        <f t="shared" ref="B255:B256" si="13">+B123</f>
        <v>150000</v>
      </c>
      <c r="C255" s="110">
        <f t="shared" si="5"/>
        <v>112500</v>
      </c>
      <c r="D255" s="100">
        <f t="shared" si="6"/>
        <v>262500</v>
      </c>
      <c r="E255" s="110">
        <v>3</v>
      </c>
      <c r="F255" s="119">
        <f t="shared" si="7"/>
        <v>87500</v>
      </c>
      <c r="G255" s="63"/>
    </row>
    <row r="256" spans="1:7" ht="12.75" customHeight="1">
      <c r="A256" s="63" t="s">
        <v>190</v>
      </c>
      <c r="B256" s="100">
        <f t="shared" si="13"/>
        <v>100000</v>
      </c>
      <c r="C256" s="111">
        <f t="shared" si="5"/>
        <v>75000</v>
      </c>
      <c r="D256" s="120">
        <f t="shared" si="6"/>
        <v>175000</v>
      </c>
      <c r="E256" s="110">
        <v>3</v>
      </c>
      <c r="F256" s="119">
        <f t="shared" si="7"/>
        <v>58333.333333333336</v>
      </c>
      <c r="G256" s="63"/>
    </row>
    <row r="257" spans="1:9" ht="12.75" customHeight="1">
      <c r="A257" s="110"/>
      <c r="B257" s="100"/>
      <c r="C257" s="110"/>
      <c r="D257" s="100"/>
      <c r="E257" s="110"/>
      <c r="F257" s="101"/>
      <c r="G257" s="63"/>
    </row>
    <row r="258" spans="1:9" ht="12.75" customHeight="1">
      <c r="A258" s="63"/>
      <c r="B258" s="1"/>
      <c r="C258" s="63"/>
      <c r="D258" s="1"/>
      <c r="E258" s="63"/>
      <c r="F258" s="101"/>
      <c r="G258" s="63"/>
    </row>
    <row r="259" spans="1:9" ht="12.75" customHeight="1">
      <c r="A259" s="110"/>
      <c r="B259" s="100"/>
      <c r="C259" s="110"/>
      <c r="D259" s="100"/>
      <c r="E259" s="110"/>
      <c r="F259" s="101"/>
      <c r="G259" s="63"/>
    </row>
    <row r="260" spans="1:9" ht="12.75" customHeight="1">
      <c r="A260" s="116"/>
      <c r="B260" s="103"/>
      <c r="C260" s="116"/>
      <c r="D260" s="103"/>
      <c r="E260" s="116"/>
      <c r="F260" s="101"/>
      <c r="G260" s="116"/>
    </row>
    <row r="261" spans="1:9" ht="12.75" customHeight="1">
      <c r="A261" s="1"/>
      <c r="B261" s="1"/>
      <c r="C261" s="1"/>
      <c r="D261" s="1"/>
      <c r="E261" s="1"/>
      <c r="F261" s="1" t="s">
        <v>189</v>
      </c>
      <c r="G261" s="121">
        <f t="shared" si="8"/>
        <v>145833.33333333334</v>
      </c>
    </row>
    <row r="262" spans="1:9" ht="12.75" customHeight="1">
      <c r="A262" s="1"/>
      <c r="B262" s="1"/>
      <c r="C262" s="1"/>
      <c r="D262" s="1"/>
      <c r="E262" s="1"/>
      <c r="F262" s="1"/>
      <c r="G262" s="1"/>
    </row>
    <row r="263" spans="1:9" ht="12.75" customHeight="1">
      <c r="A263" s="103" t="s">
        <v>209</v>
      </c>
      <c r="B263" s="1"/>
      <c r="C263" s="1" t="s">
        <v>210</v>
      </c>
      <c r="D263" s="473" t="s">
        <v>211</v>
      </c>
      <c r="E263" s="457"/>
      <c r="F263" s="457"/>
      <c r="G263" s="121">
        <f t="shared" si="9"/>
        <v>854825</v>
      </c>
    </row>
    <row r="264" spans="1:9" ht="12.75" customHeight="1">
      <c r="A264" s="1"/>
      <c r="B264" s="1"/>
      <c r="C264" s="1"/>
      <c r="D264" s="1"/>
      <c r="E264" s="1"/>
      <c r="F264" s="1"/>
      <c r="G264" s="1"/>
    </row>
    <row r="265" spans="1:9" ht="12.75" customHeight="1">
      <c r="A265" s="1"/>
      <c r="B265" s="1"/>
      <c r="C265" s="1"/>
      <c r="D265" s="1"/>
      <c r="E265" s="1" t="s">
        <v>212</v>
      </c>
      <c r="F265" s="1"/>
      <c r="G265" s="121">
        <f t="shared" si="10"/>
        <v>256447.5</v>
      </c>
    </row>
    <row r="266" spans="1:9" ht="12.75" customHeight="1">
      <c r="A266" s="1"/>
      <c r="B266" s="1"/>
      <c r="C266" s="1"/>
      <c r="D266" s="1"/>
      <c r="E266" s="1"/>
      <c r="F266" s="1"/>
      <c r="G266" s="1"/>
    </row>
    <row r="267" spans="1:9" ht="12.75" customHeight="1">
      <c r="A267" s="103" t="s">
        <v>213</v>
      </c>
      <c r="B267" s="1"/>
      <c r="C267" s="1"/>
      <c r="D267" s="473" t="s">
        <v>214</v>
      </c>
      <c r="E267" s="457"/>
      <c r="F267" s="457"/>
      <c r="G267" s="121">
        <f t="shared" si="11"/>
        <v>1111272.5</v>
      </c>
    </row>
    <row r="268" spans="1:9" ht="12.75" customHeight="1">
      <c r="A268" s="1"/>
      <c r="B268" s="1"/>
      <c r="C268" s="1"/>
      <c r="D268" s="77"/>
      <c r="E268" s="77"/>
      <c r="F268" s="77"/>
      <c r="G268" s="19"/>
    </row>
    <row r="269" spans="1:9" ht="15" customHeight="1">
      <c r="A269" s="468" t="s">
        <v>174</v>
      </c>
      <c r="B269" s="457"/>
      <c r="C269" s="457"/>
      <c r="D269" s="457"/>
      <c r="E269" s="457"/>
      <c r="F269" s="457"/>
      <c r="G269" s="457"/>
    </row>
    <row r="270" spans="1:9" ht="12.75" customHeight="1"/>
    <row r="271" spans="1:9" ht="12.75" customHeight="1">
      <c r="A271" s="1" t="s">
        <v>175</v>
      </c>
      <c r="B271" s="1"/>
      <c r="C271" s="1"/>
      <c r="D271" s="94"/>
      <c r="E271" s="94"/>
      <c r="F271" s="94"/>
      <c r="G271" s="94"/>
    </row>
    <row r="272" spans="1:9" ht="12.75" customHeight="1">
      <c r="A272" s="1" t="str">
        <f>+A4</f>
        <v xml:space="preserve">OBRA N°      Desarenador - Acueducto </v>
      </c>
      <c r="B272" s="1"/>
      <c r="C272" s="1"/>
      <c r="D272" s="1"/>
      <c r="F272" s="95" t="s">
        <v>177</v>
      </c>
      <c r="G272" s="96">
        <f t="shared" ca="1" si="0"/>
        <v>46289</v>
      </c>
      <c r="H272" s="94"/>
      <c r="I272" s="97"/>
    </row>
    <row r="273" spans="1:7" ht="12.75" customHeight="1">
      <c r="A273" s="99" t="s">
        <v>326</v>
      </c>
      <c r="B273" s="100" t="s">
        <v>327</v>
      </c>
      <c r="C273" s="100"/>
      <c r="D273" s="100"/>
      <c r="E273" s="100"/>
      <c r="F273" s="100"/>
      <c r="G273" s="101"/>
    </row>
    <row r="274" spans="1:7" ht="12.75" customHeight="1">
      <c r="A274" s="102"/>
      <c r="B274" s="103"/>
      <c r="C274" s="103" t="s">
        <v>179</v>
      </c>
      <c r="D274" s="126">
        <v>1</v>
      </c>
      <c r="E274" s="103" t="s">
        <v>180</v>
      </c>
      <c r="F274" s="103" t="s">
        <v>262</v>
      </c>
      <c r="G274" s="105"/>
    </row>
    <row r="275" spans="1:7" ht="12.75" customHeight="1">
      <c r="A275" s="1" t="s">
        <v>182</v>
      </c>
      <c r="B275" s="1"/>
      <c r="C275" s="1"/>
      <c r="D275" s="1"/>
      <c r="E275" s="1"/>
      <c r="F275" s="1"/>
      <c r="G275" s="1"/>
    </row>
    <row r="276" spans="1:7" ht="12.75" customHeight="1">
      <c r="A276" s="106" t="s">
        <v>111</v>
      </c>
      <c r="B276" s="107" t="s">
        <v>183</v>
      </c>
      <c r="C276" s="106" t="s">
        <v>184</v>
      </c>
      <c r="D276" s="107" t="s">
        <v>185</v>
      </c>
      <c r="E276" s="106" t="s">
        <v>186</v>
      </c>
      <c r="F276" s="108"/>
      <c r="G276" s="109"/>
    </row>
    <row r="277" spans="1:7" ht="12.75" customHeight="1">
      <c r="A277" s="110" t="s">
        <v>187</v>
      </c>
      <c r="B277" s="100"/>
      <c r="C277" s="110"/>
      <c r="D277" s="100"/>
      <c r="E277" s="111">
        <f t="shared" si="1"/>
        <v>4375</v>
      </c>
      <c r="F277" s="112"/>
      <c r="G277" s="113"/>
    </row>
    <row r="278" spans="1:7" ht="12.75" customHeight="1">
      <c r="A278" s="110"/>
      <c r="B278" s="110"/>
      <c r="C278" s="110"/>
      <c r="D278" s="110"/>
      <c r="E278" s="101"/>
      <c r="F278" s="112"/>
      <c r="G278" s="113"/>
    </row>
    <row r="279" spans="1:7" ht="12.75" customHeight="1">
      <c r="A279" s="110"/>
      <c r="B279" s="110"/>
      <c r="C279" s="110"/>
      <c r="D279" s="110"/>
      <c r="E279" s="101"/>
      <c r="F279" s="112"/>
      <c r="G279" s="113"/>
    </row>
    <row r="280" spans="1:7" ht="12.75" customHeight="1">
      <c r="A280" s="110"/>
      <c r="B280" s="110"/>
      <c r="C280" s="110"/>
      <c r="D280" s="110"/>
      <c r="E280" s="101"/>
      <c r="F280" s="102" t="s">
        <v>189</v>
      </c>
      <c r="G280" s="114">
        <f t="shared" si="2"/>
        <v>4375</v>
      </c>
    </row>
    <row r="281" spans="1:7" ht="12.75" customHeight="1">
      <c r="A281" s="1" t="s">
        <v>191</v>
      </c>
      <c r="B281" s="1"/>
      <c r="C281" s="1"/>
      <c r="D281" s="1"/>
      <c r="E281" s="1"/>
      <c r="F281" s="1"/>
      <c r="G281" s="1"/>
    </row>
    <row r="282" spans="1:7" ht="12.75" customHeight="1">
      <c r="A282" s="115" t="s">
        <v>111</v>
      </c>
      <c r="B282" s="106" t="s">
        <v>193</v>
      </c>
      <c r="C282" s="80" t="s">
        <v>194</v>
      </c>
      <c r="D282" s="106" t="s">
        <v>195</v>
      </c>
      <c r="E282" s="81" t="s">
        <v>186</v>
      </c>
      <c r="F282" s="108"/>
      <c r="G282" s="109"/>
    </row>
    <row r="283" spans="1:7" ht="12.75" customHeight="1">
      <c r="A283" s="110" t="s">
        <v>328</v>
      </c>
      <c r="B283" s="106" t="s">
        <v>193</v>
      </c>
      <c r="C283" s="133">
        <f>150265*1.19</f>
        <v>178815.35</v>
      </c>
      <c r="D283" s="110">
        <v>1</v>
      </c>
      <c r="E283" s="119">
        <f t="shared" si="12"/>
        <v>178815.35</v>
      </c>
      <c r="F283" s="112"/>
      <c r="G283" s="113"/>
    </row>
    <row r="284" spans="1:7" ht="12.75" customHeight="1">
      <c r="A284" s="110" t="s">
        <v>329</v>
      </c>
      <c r="B284" s="123" t="s">
        <v>193</v>
      </c>
      <c r="C284" s="133">
        <f>4475*1.19</f>
        <v>5325.25</v>
      </c>
      <c r="D284" s="63">
        <v>2</v>
      </c>
      <c r="E284" s="101">
        <f t="shared" si="12"/>
        <v>10650.5</v>
      </c>
      <c r="F284" s="112"/>
      <c r="G284" s="113"/>
    </row>
    <row r="285" spans="1:7" ht="12.75" customHeight="1">
      <c r="A285" s="110" t="s">
        <v>330</v>
      </c>
      <c r="B285" s="106" t="s">
        <v>220</v>
      </c>
      <c r="C285" s="110">
        <v>400</v>
      </c>
      <c r="D285" s="110">
        <v>1</v>
      </c>
      <c r="E285" s="119">
        <f t="shared" si="12"/>
        <v>400</v>
      </c>
      <c r="F285" s="112"/>
      <c r="G285" s="113"/>
    </row>
    <row r="286" spans="1:7" ht="12.75" customHeight="1">
      <c r="A286" s="63"/>
      <c r="B286" s="63"/>
      <c r="C286" s="63"/>
      <c r="D286" s="63"/>
      <c r="E286" s="101"/>
      <c r="F286" s="112"/>
      <c r="G286" s="113"/>
    </row>
    <row r="287" spans="1:7" ht="12.75" customHeight="1">
      <c r="A287" s="110"/>
      <c r="B287" s="110"/>
      <c r="C287" s="110"/>
      <c r="D287" s="110"/>
      <c r="E287" s="101"/>
      <c r="F287" s="112"/>
      <c r="G287" s="113"/>
    </row>
    <row r="288" spans="1:7" ht="12.75" customHeight="1">
      <c r="A288" s="110"/>
      <c r="B288" s="110"/>
      <c r="C288" s="110"/>
      <c r="D288" s="110"/>
      <c r="E288" s="101"/>
      <c r="F288" s="112"/>
      <c r="G288" s="113"/>
    </row>
    <row r="289" spans="1:7" ht="12.75" customHeight="1">
      <c r="A289" s="116"/>
      <c r="B289" s="116"/>
      <c r="C289" s="116"/>
      <c r="D289" s="116"/>
      <c r="E289" s="101"/>
      <c r="F289" s="102" t="s">
        <v>189</v>
      </c>
      <c r="G289" s="114">
        <f t="shared" si="3"/>
        <v>189865.85</v>
      </c>
    </row>
    <row r="290" spans="1:7" ht="12.75" customHeight="1">
      <c r="A290" s="1" t="s">
        <v>197</v>
      </c>
      <c r="B290" s="1"/>
      <c r="C290" s="1"/>
      <c r="D290" s="1"/>
      <c r="E290" s="1"/>
      <c r="F290" s="1"/>
      <c r="G290" s="1"/>
    </row>
    <row r="291" spans="1:7" ht="12.75" customHeight="1">
      <c r="A291" s="117" t="s">
        <v>198</v>
      </c>
      <c r="B291" s="117" t="s">
        <v>199</v>
      </c>
      <c r="C291" s="117" t="s">
        <v>200</v>
      </c>
      <c r="D291" s="117" t="s">
        <v>201</v>
      </c>
      <c r="E291" s="81" t="s">
        <v>186</v>
      </c>
      <c r="F291" s="108"/>
      <c r="G291" s="109"/>
    </row>
    <row r="292" spans="1:7" ht="12.75" customHeight="1">
      <c r="A292" s="110" t="s">
        <v>243</v>
      </c>
      <c r="B292" s="110"/>
      <c r="C292" s="110"/>
      <c r="D292" s="110"/>
      <c r="E292" s="101">
        <v>15000</v>
      </c>
      <c r="F292" s="112"/>
      <c r="G292" s="113"/>
    </row>
    <row r="293" spans="1:7" ht="12.75" customHeight="1">
      <c r="A293" s="63"/>
      <c r="B293" s="63"/>
      <c r="C293" s="63"/>
      <c r="D293" s="63"/>
      <c r="E293" s="113"/>
      <c r="F293" s="112"/>
      <c r="G293" s="113"/>
    </row>
    <row r="294" spans="1:7" ht="12.75" customHeight="1">
      <c r="A294" s="110"/>
      <c r="B294" s="110"/>
      <c r="C294" s="110"/>
      <c r="D294" s="110"/>
      <c r="E294" s="101"/>
      <c r="F294" s="112"/>
      <c r="G294" s="113"/>
    </row>
    <row r="295" spans="1:7" ht="12.75" customHeight="1">
      <c r="A295" s="110"/>
      <c r="B295" s="110"/>
      <c r="C295" s="110"/>
      <c r="D295" s="110"/>
      <c r="E295" s="101"/>
      <c r="F295" s="112"/>
      <c r="G295" s="113"/>
    </row>
    <row r="296" spans="1:7" ht="12.75" customHeight="1">
      <c r="A296" s="116"/>
      <c r="B296" s="116"/>
      <c r="C296" s="116"/>
      <c r="D296" s="116"/>
      <c r="E296" s="105"/>
      <c r="F296" s="102" t="s">
        <v>189</v>
      </c>
      <c r="G296" s="105">
        <f t="shared" si="4"/>
        <v>15000</v>
      </c>
    </row>
    <row r="297" spans="1:7" ht="12.75" customHeight="1">
      <c r="A297" s="1" t="s">
        <v>202</v>
      </c>
      <c r="B297" s="1"/>
      <c r="C297" s="1"/>
      <c r="D297" s="1"/>
      <c r="E297" s="1"/>
      <c r="F297" s="1"/>
      <c r="G297" s="1"/>
    </row>
    <row r="298" spans="1:7" ht="12.75" customHeight="1">
      <c r="A298" s="117" t="s">
        <v>203</v>
      </c>
      <c r="B298" s="80" t="s">
        <v>204</v>
      </c>
      <c r="C298" s="117" t="s">
        <v>205</v>
      </c>
      <c r="D298" s="80" t="s">
        <v>206</v>
      </c>
      <c r="E298" s="117" t="s">
        <v>207</v>
      </c>
      <c r="F298" s="80" t="s">
        <v>208</v>
      </c>
      <c r="G298" s="118"/>
    </row>
    <row r="299" spans="1:7" ht="12.75" customHeight="1">
      <c r="A299" s="110" t="s">
        <v>188</v>
      </c>
      <c r="B299" s="100">
        <f t="shared" ref="B299:B300" si="14">+B123</f>
        <v>150000</v>
      </c>
      <c r="C299" s="110">
        <f t="shared" si="5"/>
        <v>112500</v>
      </c>
      <c r="D299" s="100">
        <f t="shared" si="6"/>
        <v>262500</v>
      </c>
      <c r="E299" s="110">
        <v>5</v>
      </c>
      <c r="F299" s="119">
        <f t="shared" si="7"/>
        <v>52500</v>
      </c>
      <c r="G299" s="63"/>
    </row>
    <row r="300" spans="1:7" ht="12.75" customHeight="1">
      <c r="A300" s="63" t="s">
        <v>190</v>
      </c>
      <c r="B300" s="100">
        <f t="shared" si="14"/>
        <v>100000</v>
      </c>
      <c r="C300" s="111">
        <f t="shared" si="5"/>
        <v>75000</v>
      </c>
      <c r="D300" s="120">
        <f t="shared" si="6"/>
        <v>175000</v>
      </c>
      <c r="E300" s="110">
        <v>5</v>
      </c>
      <c r="F300" s="119">
        <f t="shared" si="7"/>
        <v>35000</v>
      </c>
      <c r="G300" s="63"/>
    </row>
    <row r="301" spans="1:7" ht="12.75" customHeight="1">
      <c r="A301" s="110"/>
      <c r="B301" s="100"/>
      <c r="C301" s="110"/>
      <c r="D301" s="100"/>
      <c r="E301" s="110"/>
      <c r="F301" s="101"/>
      <c r="G301" s="63"/>
    </row>
    <row r="302" spans="1:7" ht="12.75" customHeight="1">
      <c r="A302" s="63"/>
      <c r="B302" s="1"/>
      <c r="C302" s="63"/>
      <c r="D302" s="1"/>
      <c r="E302" s="63"/>
      <c r="F302" s="101"/>
      <c r="G302" s="63"/>
    </row>
    <row r="303" spans="1:7" ht="12.75" customHeight="1">
      <c r="A303" s="110"/>
      <c r="B303" s="100"/>
      <c r="C303" s="110"/>
      <c r="D303" s="100"/>
      <c r="E303" s="110"/>
      <c r="F303" s="101"/>
      <c r="G303" s="63"/>
    </row>
    <row r="304" spans="1:7" ht="12.75" customHeight="1">
      <c r="A304" s="116"/>
      <c r="B304" s="103"/>
      <c r="C304" s="116"/>
      <c r="D304" s="103"/>
      <c r="E304" s="116"/>
      <c r="F304" s="101"/>
      <c r="G304" s="116"/>
    </row>
    <row r="305" spans="1:9" ht="12.75" customHeight="1">
      <c r="A305" s="1"/>
      <c r="B305" s="1"/>
      <c r="C305" s="1"/>
      <c r="D305" s="1"/>
      <c r="E305" s="1"/>
      <c r="F305" s="1" t="s">
        <v>189</v>
      </c>
      <c r="G305" s="121">
        <f t="shared" si="8"/>
        <v>87500</v>
      </c>
    </row>
    <row r="306" spans="1:9" ht="12.75" customHeight="1">
      <c r="A306" s="1"/>
      <c r="B306" s="1"/>
      <c r="C306" s="1"/>
      <c r="D306" s="1"/>
      <c r="E306" s="1"/>
      <c r="F306" s="1"/>
      <c r="G306" s="1"/>
    </row>
    <row r="307" spans="1:9" ht="12.75" customHeight="1">
      <c r="A307" s="103" t="s">
        <v>209</v>
      </c>
      <c r="B307" s="1"/>
      <c r="C307" s="1" t="s">
        <v>210</v>
      </c>
      <c r="D307" s="1" t="s">
        <v>211</v>
      </c>
      <c r="E307" s="1"/>
      <c r="F307" s="1"/>
      <c r="G307" s="121">
        <f t="shared" si="9"/>
        <v>296740.84999999998</v>
      </c>
    </row>
    <row r="308" spans="1:9" ht="12.75" customHeight="1">
      <c r="A308" s="1"/>
      <c r="B308" s="1"/>
      <c r="C308" s="1"/>
      <c r="D308" s="1"/>
      <c r="E308" s="1"/>
      <c r="F308" s="1"/>
      <c r="G308" s="1"/>
    </row>
    <row r="309" spans="1:9" ht="12.75" customHeight="1">
      <c r="A309" s="1"/>
      <c r="B309" s="1"/>
      <c r="C309" s="1"/>
      <c r="D309" s="1"/>
      <c r="E309" s="1" t="s">
        <v>212</v>
      </c>
      <c r="F309" s="1"/>
      <c r="G309" s="121">
        <f t="shared" si="10"/>
        <v>89022.25499999999</v>
      </c>
    </row>
    <row r="310" spans="1:9" ht="12.75" customHeight="1">
      <c r="A310" s="1"/>
      <c r="B310" s="1"/>
      <c r="C310" s="1"/>
      <c r="D310" s="1"/>
      <c r="E310" s="1"/>
      <c r="F310" s="1"/>
      <c r="G310" s="1"/>
    </row>
    <row r="311" spans="1:9" ht="12.75" customHeight="1">
      <c r="A311" s="103" t="s">
        <v>213</v>
      </c>
      <c r="B311" s="1"/>
      <c r="C311" s="1"/>
      <c r="D311" s="1" t="s">
        <v>214</v>
      </c>
      <c r="E311" s="1"/>
      <c r="F311" s="1"/>
      <c r="G311" s="121">
        <f t="shared" si="11"/>
        <v>385763.10499999998</v>
      </c>
    </row>
    <row r="312" spans="1:9" ht="15" customHeight="1">
      <c r="A312" s="468" t="s">
        <v>174</v>
      </c>
      <c r="B312" s="457"/>
      <c r="C312" s="457"/>
      <c r="D312" s="457"/>
      <c r="E312" s="457"/>
      <c r="F312" s="457"/>
      <c r="G312" s="457"/>
    </row>
    <row r="313" spans="1:9" ht="12.75" customHeight="1"/>
    <row r="314" spans="1:9" ht="12.75" customHeight="1">
      <c r="A314" s="1" t="s">
        <v>175</v>
      </c>
      <c r="B314" s="1"/>
      <c r="C314" s="1"/>
      <c r="D314" s="94"/>
      <c r="E314" s="94"/>
      <c r="F314" s="94"/>
      <c r="G314" s="94"/>
    </row>
    <row r="315" spans="1:9" ht="12.75" customHeight="1">
      <c r="A315" s="1" t="str">
        <f t="shared" ref="A315:B435" si="15">+A4</f>
        <v xml:space="preserve">OBRA N°      Desarenador - Acueducto </v>
      </c>
      <c r="B315" s="1"/>
      <c r="C315" s="1"/>
      <c r="D315" s="1"/>
      <c r="F315" s="95" t="s">
        <v>177</v>
      </c>
      <c r="G315" s="96">
        <f t="shared" ca="1" si="0"/>
        <v>46289</v>
      </c>
      <c r="H315" s="94"/>
      <c r="I315" s="97"/>
    </row>
    <row r="316" spans="1:9" ht="12.75" customHeight="1">
      <c r="A316" s="99" t="s">
        <v>331</v>
      </c>
      <c r="B316" s="100" t="s">
        <v>332</v>
      </c>
      <c r="C316" s="100"/>
      <c r="D316" s="100"/>
      <c r="E316" s="100"/>
      <c r="F316" s="100"/>
      <c r="G316" s="101"/>
    </row>
    <row r="317" spans="1:9" ht="12.75" customHeight="1">
      <c r="A317" s="102"/>
      <c r="B317" s="103"/>
      <c r="C317" s="103" t="s">
        <v>179</v>
      </c>
      <c r="D317" s="126">
        <v>1</v>
      </c>
      <c r="E317" s="103" t="s">
        <v>180</v>
      </c>
      <c r="F317" s="103" t="s">
        <v>262</v>
      </c>
      <c r="G317" s="105"/>
    </row>
    <row r="318" spans="1:9" ht="12.75" customHeight="1">
      <c r="A318" s="1" t="s">
        <v>182</v>
      </c>
      <c r="B318" s="1"/>
      <c r="C318" s="1"/>
      <c r="D318" s="1"/>
      <c r="E318" s="1"/>
      <c r="F318" s="1"/>
      <c r="G318" s="1"/>
    </row>
    <row r="319" spans="1:9" ht="12.75" customHeight="1">
      <c r="A319" s="106" t="s">
        <v>111</v>
      </c>
      <c r="B319" s="107" t="s">
        <v>183</v>
      </c>
      <c r="C319" s="106" t="s">
        <v>184</v>
      </c>
      <c r="D319" s="107" t="s">
        <v>185</v>
      </c>
      <c r="E319" s="106" t="s">
        <v>186</v>
      </c>
      <c r="F319" s="108"/>
      <c r="G319" s="109"/>
    </row>
    <row r="320" spans="1:9" ht="12.75" customHeight="1">
      <c r="A320" s="110" t="s">
        <v>187</v>
      </c>
      <c r="B320" s="100"/>
      <c r="C320" s="110"/>
      <c r="D320" s="100"/>
      <c r="E320" s="111">
        <f t="shared" si="1"/>
        <v>4375</v>
      </c>
      <c r="F320" s="112"/>
      <c r="G320" s="113"/>
    </row>
    <row r="321" spans="1:7" ht="12.75" customHeight="1">
      <c r="A321" s="110"/>
      <c r="B321" s="110"/>
      <c r="C321" s="110"/>
      <c r="D321" s="110"/>
      <c r="E321" s="101"/>
      <c r="F321" s="112"/>
      <c r="G321" s="113"/>
    </row>
    <row r="322" spans="1:7" ht="12.75" customHeight="1">
      <c r="A322" s="110"/>
      <c r="B322" s="110"/>
      <c r="C322" s="110"/>
      <c r="D322" s="110"/>
      <c r="E322" s="101"/>
      <c r="F322" s="112"/>
      <c r="G322" s="113"/>
    </row>
    <row r="323" spans="1:7" ht="12.75" customHeight="1">
      <c r="A323" s="110"/>
      <c r="B323" s="110"/>
      <c r="C323" s="110"/>
      <c r="D323" s="110"/>
      <c r="E323" s="101"/>
      <c r="F323" s="102" t="s">
        <v>189</v>
      </c>
      <c r="G323" s="114">
        <f t="shared" si="2"/>
        <v>4375</v>
      </c>
    </row>
    <row r="324" spans="1:7" ht="12.75" customHeight="1">
      <c r="A324" s="1" t="s">
        <v>191</v>
      </c>
      <c r="B324" s="1"/>
      <c r="C324" s="1"/>
      <c r="D324" s="1"/>
      <c r="E324" s="1"/>
      <c r="F324" s="1"/>
      <c r="G324" s="1"/>
    </row>
    <row r="325" spans="1:7" ht="12.75" customHeight="1">
      <c r="A325" s="115" t="s">
        <v>111</v>
      </c>
      <c r="B325" s="106" t="s">
        <v>193</v>
      </c>
      <c r="C325" s="80" t="s">
        <v>194</v>
      </c>
      <c r="D325" s="106" t="s">
        <v>195</v>
      </c>
      <c r="E325" s="81" t="s">
        <v>186</v>
      </c>
      <c r="F325" s="108"/>
      <c r="G325" s="109"/>
    </row>
    <row r="326" spans="1:7" ht="12.75" customHeight="1">
      <c r="A326" s="110" t="s">
        <v>333</v>
      </c>
      <c r="B326" s="106" t="s">
        <v>193</v>
      </c>
      <c r="C326" s="133">
        <v>294350</v>
      </c>
      <c r="D326" s="110">
        <v>1</v>
      </c>
      <c r="E326" s="119">
        <f t="shared" si="12"/>
        <v>294350</v>
      </c>
      <c r="F326" s="112"/>
      <c r="G326" s="113"/>
    </row>
    <row r="327" spans="1:7" ht="12.75" customHeight="1">
      <c r="A327" s="110" t="s">
        <v>334</v>
      </c>
      <c r="B327" s="123" t="s">
        <v>193</v>
      </c>
      <c r="C327" s="133">
        <v>6805</v>
      </c>
      <c r="D327" s="63">
        <v>2</v>
      </c>
      <c r="E327" s="101">
        <f t="shared" si="12"/>
        <v>13610</v>
      </c>
      <c r="F327" s="112"/>
      <c r="G327" s="113"/>
    </row>
    <row r="328" spans="1:7" ht="12.75" customHeight="1">
      <c r="A328" s="110" t="s">
        <v>330</v>
      </c>
      <c r="B328" s="106" t="s">
        <v>220</v>
      </c>
      <c r="C328" s="110">
        <v>600</v>
      </c>
      <c r="D328" s="110">
        <v>1</v>
      </c>
      <c r="E328" s="119">
        <f t="shared" si="12"/>
        <v>600</v>
      </c>
      <c r="F328" s="112"/>
      <c r="G328" s="113"/>
    </row>
    <row r="329" spans="1:7" ht="12.75" customHeight="1">
      <c r="A329" s="63"/>
      <c r="B329" s="63"/>
      <c r="C329" s="63"/>
      <c r="D329" s="63"/>
      <c r="E329" s="101"/>
      <c r="F329" s="112"/>
      <c r="G329" s="113"/>
    </row>
    <row r="330" spans="1:7" ht="12.75" customHeight="1">
      <c r="A330" s="110"/>
      <c r="B330" s="110"/>
      <c r="C330" s="110"/>
      <c r="D330" s="110"/>
      <c r="E330" s="101"/>
      <c r="F330" s="112"/>
      <c r="G330" s="113"/>
    </row>
    <row r="331" spans="1:7" ht="12.75" customHeight="1">
      <c r="A331" s="110"/>
      <c r="B331" s="110"/>
      <c r="C331" s="110"/>
      <c r="D331" s="110"/>
      <c r="E331" s="101"/>
      <c r="F331" s="112"/>
      <c r="G331" s="113"/>
    </row>
    <row r="332" spans="1:7" ht="12.75" customHeight="1">
      <c r="A332" s="116"/>
      <c r="B332" s="116"/>
      <c r="C332" s="116"/>
      <c r="D332" s="116"/>
      <c r="E332" s="101"/>
      <c r="F332" s="102" t="s">
        <v>189</v>
      </c>
      <c r="G332" s="114">
        <f t="shared" si="3"/>
        <v>308560</v>
      </c>
    </row>
    <row r="333" spans="1:7" ht="12.75" customHeight="1">
      <c r="A333" s="1" t="s">
        <v>197</v>
      </c>
      <c r="B333" s="1"/>
      <c r="C333" s="1"/>
      <c r="D333" s="1"/>
      <c r="E333" s="1"/>
      <c r="F333" s="1"/>
      <c r="G333" s="1"/>
    </row>
    <row r="334" spans="1:7" ht="12.75" customHeight="1">
      <c r="A334" s="117" t="s">
        <v>198</v>
      </c>
      <c r="B334" s="117" t="s">
        <v>199</v>
      </c>
      <c r="C334" s="117" t="s">
        <v>200</v>
      </c>
      <c r="D334" s="117" t="s">
        <v>201</v>
      </c>
      <c r="E334" s="81" t="s">
        <v>186</v>
      </c>
      <c r="F334" s="108"/>
      <c r="G334" s="109"/>
    </row>
    <row r="335" spans="1:7" ht="12.75" customHeight="1">
      <c r="A335" s="110" t="s">
        <v>243</v>
      </c>
      <c r="B335" s="110"/>
      <c r="C335" s="110"/>
      <c r="D335" s="110"/>
      <c r="E335" s="101">
        <v>20000</v>
      </c>
      <c r="F335" s="112"/>
      <c r="G335" s="113"/>
    </row>
    <row r="336" spans="1:7" ht="12.75" customHeight="1">
      <c r="A336" s="63"/>
      <c r="B336" s="63"/>
      <c r="C336" s="63"/>
      <c r="D336" s="63"/>
      <c r="E336" s="113"/>
      <c r="F336" s="112"/>
      <c r="G336" s="113"/>
    </row>
    <row r="337" spans="1:7" ht="12.75" customHeight="1">
      <c r="A337" s="110"/>
      <c r="B337" s="110"/>
      <c r="C337" s="110"/>
      <c r="D337" s="110"/>
      <c r="E337" s="101"/>
      <c r="F337" s="112"/>
      <c r="G337" s="113"/>
    </row>
    <row r="338" spans="1:7" ht="12.75" customHeight="1">
      <c r="A338" s="110"/>
      <c r="B338" s="110"/>
      <c r="C338" s="110"/>
      <c r="D338" s="110"/>
      <c r="E338" s="101"/>
      <c r="F338" s="112"/>
      <c r="G338" s="113"/>
    </row>
    <row r="339" spans="1:7" ht="12.75" customHeight="1">
      <c r="A339" s="116"/>
      <c r="B339" s="116"/>
      <c r="C339" s="116"/>
      <c r="D339" s="116"/>
      <c r="E339" s="105"/>
      <c r="F339" s="102" t="s">
        <v>189</v>
      </c>
      <c r="G339" s="105">
        <f t="shared" si="4"/>
        <v>20000</v>
      </c>
    </row>
    <row r="340" spans="1:7" ht="12.75" customHeight="1">
      <c r="A340" s="1" t="s">
        <v>202</v>
      </c>
      <c r="B340" s="1"/>
      <c r="C340" s="1"/>
      <c r="D340" s="1"/>
      <c r="E340" s="1"/>
      <c r="F340" s="1"/>
      <c r="G340" s="1"/>
    </row>
    <row r="341" spans="1:7" ht="12.75" customHeight="1">
      <c r="A341" s="117" t="s">
        <v>203</v>
      </c>
      <c r="B341" s="80" t="s">
        <v>204</v>
      </c>
      <c r="C341" s="117" t="s">
        <v>205</v>
      </c>
      <c r="D341" s="80" t="s">
        <v>206</v>
      </c>
      <c r="E341" s="117" t="s">
        <v>207</v>
      </c>
      <c r="F341" s="80" t="s">
        <v>208</v>
      </c>
      <c r="G341" s="118"/>
    </row>
    <row r="342" spans="1:7" ht="12.75" customHeight="1">
      <c r="A342" s="110" t="s">
        <v>188</v>
      </c>
      <c r="B342" s="100">
        <f t="shared" ref="B342:B343" si="16">+B123</f>
        <v>150000</v>
      </c>
      <c r="C342" s="110">
        <f t="shared" si="5"/>
        <v>112500</v>
      </c>
      <c r="D342" s="100">
        <f t="shared" si="6"/>
        <v>262500</v>
      </c>
      <c r="E342" s="110">
        <v>5</v>
      </c>
      <c r="F342" s="119">
        <f t="shared" si="7"/>
        <v>52500</v>
      </c>
      <c r="G342" s="63"/>
    </row>
    <row r="343" spans="1:7" ht="12.75" customHeight="1">
      <c r="A343" s="63" t="s">
        <v>190</v>
      </c>
      <c r="B343" s="100">
        <f t="shared" si="16"/>
        <v>100000</v>
      </c>
      <c r="C343" s="111">
        <f t="shared" si="5"/>
        <v>75000</v>
      </c>
      <c r="D343" s="120">
        <f t="shared" si="6"/>
        <v>175000</v>
      </c>
      <c r="E343" s="110">
        <v>5</v>
      </c>
      <c r="F343" s="119">
        <f t="shared" si="7"/>
        <v>35000</v>
      </c>
      <c r="G343" s="63"/>
    </row>
    <row r="344" spans="1:7" ht="12.75" customHeight="1">
      <c r="A344" s="110"/>
      <c r="B344" s="100"/>
      <c r="C344" s="110"/>
      <c r="D344" s="100"/>
      <c r="E344" s="110"/>
      <c r="F344" s="101"/>
      <c r="G344" s="63"/>
    </row>
    <row r="345" spans="1:7" ht="12.75" customHeight="1">
      <c r="A345" s="63"/>
      <c r="B345" s="1"/>
      <c r="C345" s="63"/>
      <c r="D345" s="1"/>
      <c r="E345" s="63"/>
      <c r="F345" s="101"/>
      <c r="G345" s="63"/>
    </row>
    <row r="346" spans="1:7" ht="12.75" customHeight="1">
      <c r="A346" s="110"/>
      <c r="B346" s="100"/>
      <c r="C346" s="110"/>
      <c r="D346" s="100"/>
      <c r="E346" s="110"/>
      <c r="F346" s="101"/>
      <c r="G346" s="63"/>
    </row>
    <row r="347" spans="1:7" ht="12.75" customHeight="1">
      <c r="A347" s="116"/>
      <c r="B347" s="103"/>
      <c r="C347" s="116"/>
      <c r="D347" s="103"/>
      <c r="E347" s="116"/>
      <c r="F347" s="101"/>
      <c r="G347" s="116"/>
    </row>
    <row r="348" spans="1:7" ht="12.75" customHeight="1">
      <c r="A348" s="1"/>
      <c r="B348" s="1"/>
      <c r="C348" s="1"/>
      <c r="D348" s="1"/>
      <c r="E348" s="1"/>
      <c r="F348" s="1" t="s">
        <v>189</v>
      </c>
      <c r="G348" s="121">
        <f t="shared" si="8"/>
        <v>87500</v>
      </c>
    </row>
    <row r="349" spans="1:7" ht="12.75" customHeight="1">
      <c r="A349" s="1"/>
      <c r="B349" s="1"/>
      <c r="C349" s="1"/>
      <c r="D349" s="1"/>
      <c r="E349" s="1"/>
      <c r="F349" s="1"/>
      <c r="G349" s="1"/>
    </row>
    <row r="350" spans="1:7" ht="12.75" customHeight="1">
      <c r="A350" s="103" t="s">
        <v>209</v>
      </c>
      <c r="B350" s="1"/>
      <c r="C350" s="1" t="s">
        <v>210</v>
      </c>
      <c r="D350" s="1" t="s">
        <v>211</v>
      </c>
      <c r="E350" s="1"/>
      <c r="F350" s="1"/>
      <c r="G350" s="121">
        <f t="shared" si="9"/>
        <v>420435</v>
      </c>
    </row>
    <row r="351" spans="1:7" ht="12.75" customHeight="1">
      <c r="A351" s="1"/>
      <c r="B351" s="1"/>
      <c r="C351" s="1"/>
      <c r="D351" s="1"/>
      <c r="E351" s="1"/>
      <c r="F351" s="1"/>
      <c r="G351" s="1"/>
    </row>
    <row r="352" spans="1:7" ht="12.75" customHeight="1">
      <c r="A352" s="1"/>
      <c r="B352" s="1"/>
      <c r="C352" s="1"/>
      <c r="D352" s="1"/>
      <c r="E352" s="1" t="s">
        <v>212</v>
      </c>
      <c r="F352" s="1"/>
      <c r="G352" s="121">
        <f t="shared" si="10"/>
        <v>126130.5</v>
      </c>
    </row>
    <row r="353" spans="1:9" ht="12.75" customHeight="1">
      <c r="A353" s="1"/>
      <c r="B353" s="1"/>
      <c r="C353" s="1"/>
      <c r="D353" s="1"/>
      <c r="E353" s="1"/>
      <c r="F353" s="1"/>
      <c r="G353" s="1"/>
    </row>
    <row r="354" spans="1:9" ht="12.75" customHeight="1">
      <c r="A354" s="103" t="s">
        <v>213</v>
      </c>
      <c r="B354" s="1"/>
      <c r="C354" s="1"/>
      <c r="D354" s="1" t="s">
        <v>214</v>
      </c>
      <c r="E354" s="1"/>
      <c r="F354" s="1"/>
      <c r="G354" s="121">
        <f t="shared" si="11"/>
        <v>546565.5</v>
      </c>
    </row>
    <row r="355" spans="1:9" ht="15" customHeight="1">
      <c r="A355" s="468" t="s">
        <v>174</v>
      </c>
      <c r="B355" s="457"/>
      <c r="C355" s="457"/>
      <c r="D355" s="457"/>
      <c r="E355" s="457"/>
      <c r="F355" s="457"/>
      <c r="G355" s="457"/>
    </row>
    <row r="356" spans="1:9" ht="12.75" customHeight="1">
      <c r="A356" s="77"/>
      <c r="B356" s="77"/>
      <c r="C356" s="77"/>
      <c r="D356" s="77"/>
      <c r="E356" s="77"/>
      <c r="F356" s="77"/>
    </row>
    <row r="357" spans="1:9" ht="12.75" customHeight="1"/>
    <row r="358" spans="1:9" ht="12.75" customHeight="1">
      <c r="A358" s="1" t="s">
        <v>175</v>
      </c>
      <c r="B358" s="1"/>
      <c r="C358" s="1"/>
      <c r="D358" s="94"/>
      <c r="E358" s="94"/>
      <c r="F358" s="94"/>
      <c r="G358" s="94"/>
    </row>
    <row r="359" spans="1:9" ht="12.75" customHeight="1">
      <c r="A359" s="1" t="str">
        <f>+A4</f>
        <v xml:space="preserve">OBRA N°      Desarenador - Acueducto </v>
      </c>
      <c r="B359" s="1"/>
      <c r="C359" s="1"/>
      <c r="D359" s="1"/>
      <c r="F359" s="95" t="s">
        <v>177</v>
      </c>
      <c r="G359" s="96">
        <f t="shared" ca="1" si="0"/>
        <v>46289</v>
      </c>
      <c r="H359" s="94"/>
      <c r="I359" s="97"/>
    </row>
    <row r="360" spans="1:9" ht="12.75" customHeight="1">
      <c r="A360" s="1"/>
      <c r="B360" s="94"/>
      <c r="C360" s="94"/>
      <c r="D360" s="94"/>
      <c r="E360" s="94"/>
      <c r="F360" s="94"/>
      <c r="G360" s="94"/>
    </row>
    <row r="361" spans="1:9" ht="12.75" customHeight="1">
      <c r="A361" s="1"/>
      <c r="B361" s="1"/>
      <c r="C361" s="1"/>
      <c r="D361" s="1"/>
      <c r="E361" s="1"/>
      <c r="F361" s="1"/>
      <c r="G361" s="1"/>
    </row>
    <row r="362" spans="1:9" ht="13.5" customHeight="1">
      <c r="A362" s="99" t="s">
        <v>335</v>
      </c>
      <c r="B362" s="100" t="s">
        <v>336</v>
      </c>
      <c r="C362" s="100"/>
      <c r="D362" s="100"/>
      <c r="E362" s="100"/>
      <c r="F362" s="100"/>
      <c r="G362" s="101"/>
    </row>
    <row r="363" spans="1:9" ht="12.75" customHeight="1">
      <c r="A363" s="102"/>
      <c r="B363" s="103"/>
      <c r="C363" s="103" t="s">
        <v>179</v>
      </c>
      <c r="D363" s="126">
        <v>12</v>
      </c>
      <c r="E363" s="103" t="s">
        <v>180</v>
      </c>
      <c r="F363" s="103" t="s">
        <v>337</v>
      </c>
      <c r="G363" s="105"/>
    </row>
    <row r="364" spans="1:9" ht="12.75" customHeight="1">
      <c r="A364" s="1" t="s">
        <v>182</v>
      </c>
      <c r="B364" s="1"/>
      <c r="C364" s="1"/>
      <c r="D364" s="1"/>
      <c r="E364" s="1"/>
      <c r="F364" s="1"/>
      <c r="G364" s="1"/>
    </row>
    <row r="365" spans="1:9" ht="12.75" customHeight="1">
      <c r="A365" s="106" t="s">
        <v>111</v>
      </c>
      <c r="B365" s="107" t="s">
        <v>183</v>
      </c>
      <c r="C365" s="106" t="s">
        <v>184</v>
      </c>
      <c r="D365" s="107" t="s">
        <v>185</v>
      </c>
      <c r="E365" s="106" t="s">
        <v>186</v>
      </c>
      <c r="F365" s="108"/>
      <c r="G365" s="109"/>
    </row>
    <row r="366" spans="1:9" ht="12.75" customHeight="1">
      <c r="A366" s="110" t="s">
        <v>187</v>
      </c>
      <c r="B366" s="100"/>
      <c r="C366" s="110"/>
      <c r="D366" s="100"/>
      <c r="E366" s="111">
        <f t="shared" si="1"/>
        <v>729.16666666666663</v>
      </c>
      <c r="F366" s="112"/>
      <c r="G366" s="113"/>
    </row>
    <row r="367" spans="1:9" ht="12.75" customHeight="1">
      <c r="A367" s="110"/>
      <c r="B367" s="110"/>
      <c r="C367" s="110"/>
      <c r="D367" s="110"/>
      <c r="E367" s="101"/>
      <c r="F367" s="112"/>
      <c r="G367" s="113"/>
    </row>
    <row r="368" spans="1:9" ht="12.75" customHeight="1">
      <c r="A368" s="110"/>
      <c r="B368" s="110"/>
      <c r="C368" s="110"/>
      <c r="D368" s="110"/>
      <c r="E368" s="101"/>
      <c r="F368" s="112"/>
      <c r="G368" s="113"/>
    </row>
    <row r="369" spans="1:7" ht="12.75" customHeight="1">
      <c r="A369" s="110"/>
      <c r="B369" s="110"/>
      <c r="C369" s="110"/>
      <c r="D369" s="110"/>
      <c r="E369" s="101"/>
      <c r="F369" s="102" t="s">
        <v>189</v>
      </c>
      <c r="G369" s="114">
        <f t="shared" si="2"/>
        <v>729.16666666666663</v>
      </c>
    </row>
    <row r="370" spans="1:7" ht="12.75" customHeight="1">
      <c r="A370" s="1" t="s">
        <v>191</v>
      </c>
      <c r="B370" s="1"/>
      <c r="C370" s="1"/>
      <c r="D370" s="1"/>
      <c r="E370" s="1"/>
      <c r="F370" s="1"/>
      <c r="G370" s="1"/>
    </row>
    <row r="371" spans="1:7" ht="12.75" customHeight="1">
      <c r="A371" s="115" t="s">
        <v>111</v>
      </c>
      <c r="B371" s="106" t="s">
        <v>193</v>
      </c>
      <c r="C371" s="80" t="s">
        <v>194</v>
      </c>
      <c r="D371" s="106" t="s">
        <v>195</v>
      </c>
      <c r="E371" s="81" t="s">
        <v>186</v>
      </c>
      <c r="F371" s="108"/>
      <c r="G371" s="109"/>
    </row>
    <row r="372" spans="1:7" ht="13.5" customHeight="1">
      <c r="A372" s="110" t="s">
        <v>338</v>
      </c>
      <c r="B372" s="106" t="s">
        <v>35</v>
      </c>
      <c r="C372" s="111">
        <v>17428</v>
      </c>
      <c r="D372" s="110">
        <v>1.05</v>
      </c>
      <c r="E372" s="119">
        <f t="shared" si="12"/>
        <v>18299.400000000001</v>
      </c>
      <c r="F372" s="112"/>
      <c r="G372" s="113"/>
    </row>
    <row r="373" spans="1:7" ht="12.75" customHeight="1">
      <c r="A373" s="63" t="s">
        <v>296</v>
      </c>
      <c r="B373" s="123" t="s">
        <v>220</v>
      </c>
      <c r="C373" s="63">
        <v>750</v>
      </c>
      <c r="D373" s="63">
        <v>1</v>
      </c>
      <c r="E373" s="101">
        <f t="shared" si="12"/>
        <v>750</v>
      </c>
      <c r="F373" s="112"/>
      <c r="G373" s="113"/>
    </row>
    <row r="374" spans="1:7" ht="12.75" customHeight="1">
      <c r="A374" s="110"/>
      <c r="B374" s="106"/>
      <c r="C374" s="110"/>
      <c r="D374" s="110"/>
      <c r="E374" s="101"/>
      <c r="F374" s="112"/>
      <c r="G374" s="113"/>
    </row>
    <row r="375" spans="1:7" ht="12.75" customHeight="1">
      <c r="A375" s="63"/>
      <c r="B375" s="63"/>
      <c r="C375" s="63"/>
      <c r="D375" s="63"/>
      <c r="E375" s="101"/>
      <c r="F375" s="112"/>
      <c r="G375" s="113"/>
    </row>
    <row r="376" spans="1:7" ht="12.75" customHeight="1">
      <c r="A376" s="110"/>
      <c r="B376" s="110"/>
      <c r="C376" s="110"/>
      <c r="D376" s="110"/>
      <c r="E376" s="101"/>
      <c r="F376" s="112"/>
      <c r="G376" s="113"/>
    </row>
    <row r="377" spans="1:7" ht="12.75" customHeight="1">
      <c r="A377" s="110"/>
      <c r="B377" s="110"/>
      <c r="C377" s="110"/>
      <c r="D377" s="110"/>
      <c r="E377" s="101"/>
      <c r="F377" s="112"/>
      <c r="G377" s="113"/>
    </row>
    <row r="378" spans="1:7" ht="12.75" customHeight="1">
      <c r="A378" s="116"/>
      <c r="B378" s="116"/>
      <c r="C378" s="116"/>
      <c r="D378" s="116"/>
      <c r="E378" s="101"/>
      <c r="F378" s="102" t="s">
        <v>189</v>
      </c>
      <c r="G378" s="114">
        <f t="shared" si="3"/>
        <v>19049.400000000001</v>
      </c>
    </row>
    <row r="379" spans="1:7" ht="12.75" customHeight="1">
      <c r="A379" s="1" t="s">
        <v>197</v>
      </c>
      <c r="B379" s="1"/>
      <c r="C379" s="1"/>
      <c r="D379" s="1"/>
      <c r="E379" s="1"/>
      <c r="F379" s="1"/>
      <c r="G379" s="1"/>
    </row>
    <row r="380" spans="1:7" ht="12.75" customHeight="1">
      <c r="A380" s="117" t="s">
        <v>198</v>
      </c>
      <c r="B380" s="117" t="s">
        <v>199</v>
      </c>
      <c r="C380" s="117" t="s">
        <v>200</v>
      </c>
      <c r="D380" s="117" t="s">
        <v>201</v>
      </c>
      <c r="E380" s="81" t="s">
        <v>186</v>
      </c>
      <c r="F380" s="108"/>
      <c r="G380" s="109"/>
    </row>
    <row r="381" spans="1:7" ht="12.75" customHeight="1">
      <c r="A381" s="110" t="s">
        <v>243</v>
      </c>
      <c r="B381" s="110"/>
      <c r="C381" s="110"/>
      <c r="D381" s="110"/>
      <c r="E381" s="101">
        <v>10000</v>
      </c>
      <c r="F381" s="112"/>
      <c r="G381" s="113"/>
    </row>
    <row r="382" spans="1:7" ht="12.75" customHeight="1">
      <c r="A382" s="63"/>
      <c r="B382" s="63"/>
      <c r="C382" s="63"/>
      <c r="D382" s="63"/>
      <c r="E382" s="113"/>
      <c r="F382" s="112"/>
      <c r="G382" s="113"/>
    </row>
    <row r="383" spans="1:7" ht="12.75" customHeight="1">
      <c r="A383" s="110"/>
      <c r="B383" s="110"/>
      <c r="C383" s="110"/>
      <c r="D383" s="110"/>
      <c r="E383" s="101"/>
      <c r="F383" s="112"/>
      <c r="G383" s="113"/>
    </row>
    <row r="384" spans="1:7" ht="12.75" customHeight="1">
      <c r="A384" s="110"/>
      <c r="B384" s="110"/>
      <c r="C384" s="110"/>
      <c r="D384" s="110"/>
      <c r="E384" s="101"/>
      <c r="F384" s="112"/>
      <c r="G384" s="113"/>
    </row>
    <row r="385" spans="1:7" ht="12.75" customHeight="1">
      <c r="A385" s="116"/>
      <c r="B385" s="116"/>
      <c r="C385" s="116"/>
      <c r="D385" s="116"/>
      <c r="E385" s="105"/>
      <c r="F385" s="102" t="s">
        <v>189</v>
      </c>
      <c r="G385" s="105">
        <f t="shared" si="4"/>
        <v>10000</v>
      </c>
    </row>
    <row r="386" spans="1:7" ht="12.75" customHeight="1">
      <c r="A386" s="1" t="s">
        <v>202</v>
      </c>
      <c r="B386" s="1"/>
      <c r="C386" s="1"/>
      <c r="D386" s="1"/>
      <c r="E386" s="1"/>
      <c r="F386" s="1"/>
      <c r="G386" s="1"/>
    </row>
    <row r="387" spans="1:7" ht="12.75" customHeight="1">
      <c r="A387" s="117" t="s">
        <v>203</v>
      </c>
      <c r="B387" s="80" t="s">
        <v>204</v>
      </c>
      <c r="C387" s="117" t="s">
        <v>205</v>
      </c>
      <c r="D387" s="80" t="s">
        <v>206</v>
      </c>
      <c r="E387" s="117" t="s">
        <v>207</v>
      </c>
      <c r="F387" s="80" t="s">
        <v>208</v>
      </c>
      <c r="G387" s="118"/>
    </row>
    <row r="388" spans="1:7" ht="12.75" customHeight="1">
      <c r="A388" s="110" t="s">
        <v>188</v>
      </c>
      <c r="B388" s="100">
        <f t="shared" ref="B388:B389" si="17">+B123</f>
        <v>150000</v>
      </c>
      <c r="C388" s="110">
        <f t="shared" si="5"/>
        <v>112500</v>
      </c>
      <c r="D388" s="100">
        <f t="shared" si="6"/>
        <v>262500</v>
      </c>
      <c r="E388" s="110">
        <v>30</v>
      </c>
      <c r="F388" s="119">
        <f t="shared" si="7"/>
        <v>8750</v>
      </c>
      <c r="G388" s="63"/>
    </row>
    <row r="389" spans="1:7" ht="12.75" customHeight="1">
      <c r="A389" s="63" t="s">
        <v>307</v>
      </c>
      <c r="B389" s="100">
        <f t="shared" si="17"/>
        <v>100000</v>
      </c>
      <c r="C389" s="111">
        <f t="shared" si="5"/>
        <v>75000</v>
      </c>
      <c r="D389" s="120">
        <f t="shared" si="6"/>
        <v>175000</v>
      </c>
      <c r="E389" s="110">
        <v>30</v>
      </c>
      <c r="F389" s="119">
        <f t="shared" si="7"/>
        <v>5833.333333333333</v>
      </c>
      <c r="G389" s="63"/>
    </row>
    <row r="390" spans="1:7" ht="12.75" customHeight="1">
      <c r="A390" s="110"/>
      <c r="B390" s="100"/>
      <c r="C390" s="110"/>
      <c r="D390" s="100"/>
      <c r="E390" s="110"/>
      <c r="F390" s="101"/>
      <c r="G390" s="63"/>
    </row>
    <row r="391" spans="1:7" ht="12.75" customHeight="1">
      <c r="A391" s="63"/>
      <c r="B391" s="1"/>
      <c r="C391" s="63"/>
      <c r="D391" s="1"/>
      <c r="E391" s="63"/>
      <c r="F391" s="101"/>
      <c r="G391" s="63"/>
    </row>
    <row r="392" spans="1:7" ht="12.75" customHeight="1">
      <c r="A392" s="110"/>
      <c r="B392" s="100"/>
      <c r="C392" s="110"/>
      <c r="D392" s="100"/>
      <c r="E392" s="110"/>
      <c r="F392" s="101"/>
      <c r="G392" s="63"/>
    </row>
    <row r="393" spans="1:7" ht="12.75" customHeight="1">
      <c r="A393" s="116"/>
      <c r="B393" s="103"/>
      <c r="C393" s="116"/>
      <c r="D393" s="103"/>
      <c r="E393" s="116"/>
      <c r="F393" s="101"/>
      <c r="G393" s="116"/>
    </row>
    <row r="394" spans="1:7" ht="12.75" customHeight="1">
      <c r="A394" s="1"/>
      <c r="B394" s="1"/>
      <c r="C394" s="1"/>
      <c r="D394" s="1"/>
      <c r="E394" s="1"/>
      <c r="F394" s="1" t="s">
        <v>189</v>
      </c>
      <c r="G394" s="121">
        <f t="shared" si="8"/>
        <v>14583.333333333332</v>
      </c>
    </row>
    <row r="395" spans="1:7" ht="12.75" customHeight="1">
      <c r="A395" s="1"/>
      <c r="B395" s="1"/>
      <c r="C395" s="1"/>
      <c r="D395" s="1"/>
      <c r="E395" s="1"/>
      <c r="F395" s="1"/>
      <c r="G395" s="1"/>
    </row>
    <row r="396" spans="1:7" ht="12.75" customHeight="1">
      <c r="A396" s="103" t="s">
        <v>209</v>
      </c>
      <c r="B396" s="1"/>
      <c r="C396" s="1" t="s">
        <v>210</v>
      </c>
      <c r="D396" s="473" t="s">
        <v>211</v>
      </c>
      <c r="E396" s="457"/>
      <c r="F396" s="457"/>
      <c r="G396" s="121">
        <f t="shared" si="9"/>
        <v>44361.9</v>
      </c>
    </row>
    <row r="397" spans="1:7" ht="12.75" customHeight="1">
      <c r="A397" s="1"/>
      <c r="B397" s="1"/>
      <c r="C397" s="1"/>
      <c r="D397" s="1"/>
      <c r="E397" s="1"/>
      <c r="F397" s="1"/>
      <c r="G397" s="1"/>
    </row>
    <row r="398" spans="1:7" ht="12.75" customHeight="1">
      <c r="A398" s="1"/>
      <c r="B398" s="1"/>
      <c r="C398" s="1"/>
      <c r="D398" s="1"/>
      <c r="E398" s="1" t="s">
        <v>212</v>
      </c>
      <c r="F398" s="1"/>
      <c r="G398" s="121">
        <f t="shared" si="10"/>
        <v>13308.57</v>
      </c>
    </row>
    <row r="399" spans="1:7" ht="12.75" customHeight="1">
      <c r="A399" s="1"/>
      <c r="B399" s="1"/>
      <c r="C399" s="1"/>
      <c r="D399" s="1"/>
      <c r="E399" s="1"/>
      <c r="F399" s="1"/>
      <c r="G399" s="1"/>
    </row>
    <row r="400" spans="1:7" ht="12.75" customHeight="1">
      <c r="A400" s="103" t="s">
        <v>213</v>
      </c>
      <c r="B400" s="1"/>
      <c r="C400" s="1"/>
      <c r="D400" s="473" t="s">
        <v>214</v>
      </c>
      <c r="E400" s="457"/>
      <c r="F400" s="457"/>
      <c r="G400" s="121">
        <f t="shared" si="11"/>
        <v>57670.47</v>
      </c>
    </row>
    <row r="401" spans="1:9" ht="15" customHeight="1">
      <c r="A401" s="468" t="s">
        <v>174</v>
      </c>
      <c r="B401" s="457"/>
      <c r="C401" s="457"/>
      <c r="D401" s="457"/>
      <c r="E401" s="457"/>
      <c r="F401" s="457"/>
      <c r="G401" s="457"/>
    </row>
    <row r="402" spans="1:9" ht="12.75" customHeight="1">
      <c r="A402" s="77"/>
      <c r="B402" s="77"/>
      <c r="C402" s="77"/>
      <c r="D402" s="77"/>
      <c r="E402" s="77"/>
      <c r="F402" s="77"/>
    </row>
    <row r="403" spans="1:9" ht="12.75" customHeight="1"/>
    <row r="404" spans="1:9" ht="12.75" customHeight="1">
      <c r="A404" s="1" t="s">
        <v>175</v>
      </c>
      <c r="B404" s="1"/>
      <c r="C404" s="1"/>
      <c r="D404" s="94"/>
      <c r="E404" s="94"/>
      <c r="F404" s="94"/>
      <c r="G404" s="94"/>
    </row>
    <row r="405" spans="1:9" ht="12.75" customHeight="1">
      <c r="A405" s="1" t="str">
        <f>+A4</f>
        <v xml:space="preserve">OBRA N°      Desarenador - Acueducto </v>
      </c>
      <c r="B405" s="1"/>
      <c r="C405" s="1"/>
      <c r="D405" s="1"/>
      <c r="F405" s="95" t="s">
        <v>177</v>
      </c>
      <c r="G405" s="96">
        <f t="shared" ca="1" si="0"/>
        <v>46289</v>
      </c>
      <c r="H405" s="94"/>
      <c r="I405" s="97"/>
    </row>
    <row r="406" spans="1:9" ht="12.75" customHeight="1">
      <c r="A406" s="1"/>
      <c r="B406" s="94"/>
      <c r="C406" s="94"/>
      <c r="D406" s="94"/>
      <c r="E406" s="94"/>
      <c r="F406" s="94"/>
      <c r="G406" s="94"/>
    </row>
    <row r="407" spans="1:9" ht="12.75" customHeight="1">
      <c r="A407" s="1"/>
      <c r="B407" s="1"/>
      <c r="C407" s="1"/>
      <c r="D407" s="1"/>
      <c r="E407" s="1"/>
      <c r="F407" s="1"/>
      <c r="G407" s="1"/>
    </row>
    <row r="408" spans="1:9" ht="12.75" customHeight="1">
      <c r="A408" s="99" t="s">
        <v>339</v>
      </c>
      <c r="B408" s="100" t="s">
        <v>340</v>
      </c>
      <c r="C408" s="100"/>
      <c r="D408" s="100"/>
      <c r="E408" s="100"/>
      <c r="F408" s="100"/>
      <c r="G408" s="101"/>
    </row>
    <row r="409" spans="1:9" ht="12.75" customHeight="1">
      <c r="A409" s="102"/>
      <c r="B409" s="103"/>
      <c r="C409" s="103" t="s">
        <v>179</v>
      </c>
      <c r="D409" s="126">
        <v>12</v>
      </c>
      <c r="E409" s="103" t="s">
        <v>180</v>
      </c>
      <c r="F409" s="103" t="s">
        <v>337</v>
      </c>
      <c r="G409" s="105"/>
    </row>
    <row r="410" spans="1:9" ht="12.75" customHeight="1">
      <c r="A410" s="1" t="s">
        <v>182</v>
      </c>
      <c r="B410" s="1"/>
      <c r="C410" s="1"/>
      <c r="D410" s="1"/>
      <c r="E410" s="1"/>
      <c r="F410" s="1"/>
      <c r="G410" s="1"/>
    </row>
    <row r="411" spans="1:9" ht="12.75" customHeight="1">
      <c r="A411" s="106" t="s">
        <v>111</v>
      </c>
      <c r="B411" s="107" t="s">
        <v>183</v>
      </c>
      <c r="C411" s="106" t="s">
        <v>184</v>
      </c>
      <c r="D411" s="107" t="s">
        <v>185</v>
      </c>
      <c r="E411" s="106" t="s">
        <v>186</v>
      </c>
      <c r="F411" s="108"/>
      <c r="G411" s="109"/>
    </row>
    <row r="412" spans="1:9" ht="12.75" customHeight="1">
      <c r="A412" s="110" t="s">
        <v>187</v>
      </c>
      <c r="B412" s="100"/>
      <c r="C412" s="110"/>
      <c r="D412" s="100"/>
      <c r="E412" s="111">
        <f t="shared" si="1"/>
        <v>1050</v>
      </c>
      <c r="F412" s="112"/>
      <c r="G412" s="113"/>
    </row>
    <row r="413" spans="1:9" ht="12.75" customHeight="1">
      <c r="A413" s="110"/>
      <c r="B413" s="110"/>
      <c r="C413" s="110"/>
      <c r="D413" s="110"/>
      <c r="E413" s="101"/>
      <c r="F413" s="112"/>
      <c r="G413" s="113"/>
    </row>
    <row r="414" spans="1:9" ht="12.75" customHeight="1">
      <c r="A414" s="110"/>
      <c r="B414" s="110"/>
      <c r="C414" s="110"/>
      <c r="D414" s="110"/>
      <c r="E414" s="101"/>
      <c r="F414" s="112"/>
      <c r="G414" s="113"/>
    </row>
    <row r="415" spans="1:9" ht="12.75" customHeight="1">
      <c r="A415" s="110"/>
      <c r="B415" s="110"/>
      <c r="C415" s="110"/>
      <c r="D415" s="110"/>
      <c r="E415" s="101"/>
      <c r="F415" s="102" t="s">
        <v>189</v>
      </c>
      <c r="G415" s="114">
        <f t="shared" si="2"/>
        <v>1050</v>
      </c>
    </row>
    <row r="416" spans="1:9" ht="12.75" customHeight="1">
      <c r="A416" s="1" t="s">
        <v>191</v>
      </c>
      <c r="B416" s="1"/>
      <c r="C416" s="1"/>
      <c r="D416" s="1"/>
      <c r="E416" s="1"/>
      <c r="F416" s="1"/>
      <c r="G416" s="1"/>
    </row>
    <row r="417" spans="1:7" ht="12.75" customHeight="1">
      <c r="A417" s="115" t="s">
        <v>111</v>
      </c>
      <c r="B417" s="106" t="s">
        <v>193</v>
      </c>
      <c r="C417" s="80" t="s">
        <v>194</v>
      </c>
      <c r="D417" s="106" t="s">
        <v>195</v>
      </c>
      <c r="E417" s="81" t="s">
        <v>186</v>
      </c>
      <c r="F417" s="108"/>
      <c r="G417" s="109"/>
    </row>
    <row r="418" spans="1:7" ht="12.75" customHeight="1">
      <c r="A418" s="110" t="s">
        <v>341</v>
      </c>
      <c r="B418" s="106" t="s">
        <v>35</v>
      </c>
      <c r="C418" s="111">
        <f>1.19*21500</f>
        <v>25585</v>
      </c>
      <c r="D418" s="110">
        <v>1.03</v>
      </c>
      <c r="E418" s="119">
        <f t="shared" si="12"/>
        <v>26352.55</v>
      </c>
      <c r="F418" s="112"/>
      <c r="G418" s="113"/>
    </row>
    <row r="419" spans="1:7" ht="12.75" customHeight="1">
      <c r="A419" s="63" t="s">
        <v>296</v>
      </c>
      <c r="B419" s="123" t="s">
        <v>342</v>
      </c>
      <c r="C419" s="63">
        <v>75000</v>
      </c>
      <c r="D419" s="63">
        <v>0.04</v>
      </c>
      <c r="E419" s="101">
        <f t="shared" si="12"/>
        <v>3000</v>
      </c>
      <c r="F419" s="112"/>
      <c r="G419" s="113"/>
    </row>
    <row r="420" spans="1:7" ht="12.75" customHeight="1">
      <c r="A420" s="110" t="s">
        <v>343</v>
      </c>
      <c r="B420" s="106" t="s">
        <v>220</v>
      </c>
      <c r="C420" s="110">
        <v>3500</v>
      </c>
      <c r="D420" s="110">
        <v>1</v>
      </c>
      <c r="E420" s="101">
        <f t="shared" si="12"/>
        <v>3500</v>
      </c>
      <c r="F420" s="112"/>
      <c r="G420" s="113"/>
    </row>
    <row r="421" spans="1:7" ht="12.75" customHeight="1">
      <c r="A421" s="63" t="s">
        <v>344</v>
      </c>
      <c r="B421" s="123" t="s">
        <v>342</v>
      </c>
      <c r="C421" s="63">
        <v>36000</v>
      </c>
      <c r="D421" s="63">
        <v>0.04</v>
      </c>
      <c r="E421" s="101">
        <f t="shared" si="12"/>
        <v>1440</v>
      </c>
      <c r="F421" s="112"/>
      <c r="G421" s="113"/>
    </row>
    <row r="422" spans="1:7" ht="15" customHeight="1">
      <c r="A422" s="110"/>
      <c r="B422" s="110"/>
      <c r="C422" s="110"/>
      <c r="D422" s="110"/>
      <c r="E422" s="101"/>
      <c r="F422" s="112"/>
      <c r="G422" s="113"/>
    </row>
    <row r="423" spans="1:7" ht="12.75" customHeight="1">
      <c r="A423" s="110"/>
      <c r="B423" s="110"/>
      <c r="C423" s="110"/>
      <c r="D423" s="110"/>
      <c r="E423" s="101"/>
      <c r="F423" s="112"/>
      <c r="G423" s="113"/>
    </row>
    <row r="424" spans="1:7" ht="12.75" customHeight="1">
      <c r="A424" s="116"/>
      <c r="B424" s="116"/>
      <c r="C424" s="116"/>
      <c r="D424" s="116"/>
      <c r="E424" s="101"/>
      <c r="F424" s="102" t="s">
        <v>189</v>
      </c>
      <c r="G424" s="114">
        <f t="shared" si="3"/>
        <v>34292.550000000003</v>
      </c>
    </row>
    <row r="425" spans="1:7" ht="12.75" customHeight="1">
      <c r="A425" s="1" t="s">
        <v>197</v>
      </c>
      <c r="B425" s="1"/>
      <c r="C425" s="1"/>
      <c r="D425" s="1"/>
      <c r="E425" s="1"/>
      <c r="F425" s="1"/>
      <c r="G425" s="1"/>
    </row>
    <row r="426" spans="1:7" ht="12.75" customHeight="1">
      <c r="A426" s="117" t="s">
        <v>198</v>
      </c>
      <c r="B426" s="117" t="s">
        <v>199</v>
      </c>
      <c r="C426" s="117" t="s">
        <v>200</v>
      </c>
      <c r="D426" s="117" t="s">
        <v>201</v>
      </c>
      <c r="E426" s="81" t="s">
        <v>186</v>
      </c>
      <c r="F426" s="108"/>
      <c r="G426" s="109"/>
    </row>
    <row r="427" spans="1:7" ht="12.75" customHeight="1">
      <c r="A427" s="110" t="s">
        <v>243</v>
      </c>
      <c r="B427" s="110"/>
      <c r="C427" s="110"/>
      <c r="D427" s="110"/>
      <c r="E427" s="101">
        <v>4635</v>
      </c>
      <c r="F427" s="112"/>
      <c r="G427" s="113"/>
    </row>
    <row r="428" spans="1:7" ht="12.75" customHeight="1">
      <c r="A428" s="63"/>
      <c r="B428" s="63"/>
      <c r="C428" s="63"/>
      <c r="D428" s="63"/>
      <c r="E428" s="113"/>
      <c r="F428" s="112"/>
      <c r="G428" s="113"/>
    </row>
    <row r="429" spans="1:7" ht="12.75" customHeight="1">
      <c r="A429" s="110"/>
      <c r="B429" s="110"/>
      <c r="C429" s="110"/>
      <c r="D429" s="110"/>
      <c r="E429" s="101"/>
      <c r="F429" s="112"/>
      <c r="G429" s="113"/>
    </row>
    <row r="430" spans="1:7" ht="12.75" customHeight="1">
      <c r="A430" s="110"/>
      <c r="B430" s="110"/>
      <c r="C430" s="110"/>
      <c r="D430" s="110"/>
      <c r="E430" s="101"/>
      <c r="F430" s="112"/>
      <c r="G430" s="113"/>
    </row>
    <row r="431" spans="1:7" ht="12.75" customHeight="1">
      <c r="A431" s="116"/>
      <c r="B431" s="116"/>
      <c r="C431" s="116"/>
      <c r="D431" s="116"/>
      <c r="E431" s="105"/>
      <c r="F431" s="102" t="s">
        <v>189</v>
      </c>
      <c r="G431" s="105">
        <f t="shared" si="4"/>
        <v>4635</v>
      </c>
    </row>
    <row r="432" spans="1:7" ht="12.75" customHeight="1">
      <c r="A432" s="1" t="s">
        <v>202</v>
      </c>
      <c r="B432" s="1"/>
      <c r="C432" s="1"/>
      <c r="D432" s="1"/>
      <c r="E432" s="1"/>
      <c r="F432" s="1"/>
      <c r="G432" s="1"/>
    </row>
    <row r="433" spans="1:7" ht="12.75" customHeight="1">
      <c r="A433" s="117" t="s">
        <v>203</v>
      </c>
      <c r="B433" s="80" t="s">
        <v>204</v>
      </c>
      <c r="C433" s="117" t="s">
        <v>205</v>
      </c>
      <c r="D433" s="80" t="s">
        <v>206</v>
      </c>
      <c r="E433" s="117" t="s">
        <v>207</v>
      </c>
      <c r="F433" s="80" t="s">
        <v>208</v>
      </c>
      <c r="G433" s="118"/>
    </row>
    <row r="434" spans="1:7" ht="12.75" customHeight="1">
      <c r="A434" s="110" t="s">
        <v>188</v>
      </c>
      <c r="B434" s="100">
        <f t="shared" si="15"/>
        <v>150000</v>
      </c>
      <c r="C434" s="110">
        <f t="shared" ref="C434:C435" si="18">+B434*0.68</f>
        <v>102000.00000000001</v>
      </c>
      <c r="D434" s="100">
        <f t="shared" si="6"/>
        <v>252000</v>
      </c>
      <c r="E434" s="110">
        <v>20</v>
      </c>
      <c r="F434" s="119">
        <f t="shared" si="7"/>
        <v>12600</v>
      </c>
      <c r="G434" s="63"/>
    </row>
    <row r="435" spans="1:7" ht="12.75" customHeight="1">
      <c r="A435" s="63" t="s">
        <v>307</v>
      </c>
      <c r="B435" s="100">
        <f t="shared" si="15"/>
        <v>100000</v>
      </c>
      <c r="C435" s="110">
        <f t="shared" si="18"/>
        <v>68000</v>
      </c>
      <c r="D435" s="120">
        <f t="shared" si="6"/>
        <v>168000</v>
      </c>
      <c r="E435" s="110">
        <v>20</v>
      </c>
      <c r="F435" s="119">
        <f t="shared" si="7"/>
        <v>8400</v>
      </c>
      <c r="G435" s="63"/>
    </row>
    <row r="436" spans="1:7" ht="12.75" customHeight="1">
      <c r="A436" s="110"/>
      <c r="B436" s="100"/>
      <c r="C436" s="110"/>
      <c r="D436" s="100"/>
      <c r="E436" s="110"/>
      <c r="F436" s="101"/>
      <c r="G436" s="63"/>
    </row>
    <row r="437" spans="1:7" ht="12.75" customHeight="1">
      <c r="A437" s="63"/>
      <c r="B437" s="1"/>
      <c r="C437" s="63"/>
      <c r="D437" s="1"/>
      <c r="E437" s="63"/>
      <c r="F437" s="101"/>
      <c r="G437" s="63"/>
    </row>
    <row r="438" spans="1:7" ht="12.75" customHeight="1">
      <c r="A438" s="110"/>
      <c r="B438" s="100"/>
      <c r="C438" s="110"/>
      <c r="D438" s="100"/>
      <c r="E438" s="110"/>
      <c r="F438" s="101"/>
      <c r="G438" s="63"/>
    </row>
    <row r="439" spans="1:7" ht="12.75" customHeight="1">
      <c r="A439" s="116"/>
      <c r="B439" s="103"/>
      <c r="C439" s="116"/>
      <c r="D439" s="103"/>
      <c r="E439" s="116"/>
      <c r="F439" s="101"/>
      <c r="G439" s="116"/>
    </row>
    <row r="440" spans="1:7" ht="12.75" customHeight="1">
      <c r="A440" s="1"/>
      <c r="B440" s="1"/>
      <c r="C440" s="1"/>
      <c r="D440" s="1"/>
      <c r="E440" s="1"/>
      <c r="F440" s="1" t="s">
        <v>189</v>
      </c>
      <c r="G440" s="121">
        <f t="shared" si="8"/>
        <v>21000</v>
      </c>
    </row>
    <row r="441" spans="1:7" ht="12.75" customHeight="1">
      <c r="A441" s="1"/>
      <c r="B441" s="1"/>
      <c r="C441" s="1"/>
      <c r="D441" s="1"/>
      <c r="E441" s="1"/>
      <c r="F441" s="1"/>
      <c r="G441" s="1"/>
    </row>
    <row r="442" spans="1:7" ht="12.75" customHeight="1">
      <c r="A442" s="103" t="s">
        <v>209</v>
      </c>
      <c r="B442" s="1"/>
      <c r="C442" s="1" t="s">
        <v>210</v>
      </c>
      <c r="D442" s="473" t="s">
        <v>211</v>
      </c>
      <c r="E442" s="457"/>
      <c r="F442" s="457"/>
      <c r="G442" s="121">
        <f t="shared" si="9"/>
        <v>60977.55</v>
      </c>
    </row>
    <row r="443" spans="1:7" ht="12.75" customHeight="1">
      <c r="A443" s="1"/>
      <c r="B443" s="1"/>
      <c r="C443" s="1"/>
      <c r="D443" s="1"/>
      <c r="E443" s="1"/>
      <c r="F443" s="1"/>
      <c r="G443" s="1"/>
    </row>
    <row r="444" spans="1:7" ht="12.75" customHeight="1">
      <c r="A444" s="1"/>
      <c r="B444" s="1"/>
      <c r="C444" s="1"/>
      <c r="D444" s="1"/>
      <c r="E444" s="1" t="s">
        <v>212</v>
      </c>
      <c r="F444" s="1"/>
      <c r="G444" s="121">
        <f t="shared" si="10"/>
        <v>18293.264999999999</v>
      </c>
    </row>
    <row r="445" spans="1:7" ht="12.75" customHeight="1">
      <c r="A445" s="1"/>
      <c r="B445" s="1"/>
      <c r="C445" s="1"/>
      <c r="D445" s="1"/>
      <c r="E445" s="1"/>
      <c r="F445" s="1"/>
      <c r="G445" s="1"/>
    </row>
    <row r="446" spans="1:7" ht="12.75" customHeight="1">
      <c r="A446" s="103" t="s">
        <v>213</v>
      </c>
      <c r="B446" s="1"/>
      <c r="C446" s="1"/>
      <c r="D446" s="473" t="s">
        <v>214</v>
      </c>
      <c r="E446" s="457"/>
      <c r="F446" s="457"/>
      <c r="G446" s="121">
        <f t="shared" si="11"/>
        <v>79270.815000000002</v>
      </c>
    </row>
    <row r="447" spans="1:7" ht="15" customHeight="1">
      <c r="A447" s="468" t="s">
        <v>174</v>
      </c>
      <c r="B447" s="457"/>
      <c r="C447" s="457"/>
      <c r="D447" s="457"/>
      <c r="E447" s="457"/>
      <c r="F447" s="457"/>
      <c r="G447" s="457"/>
    </row>
    <row r="448" spans="1:7" ht="12.75" customHeight="1">
      <c r="A448" s="77"/>
      <c r="B448" s="77"/>
      <c r="C448" s="77"/>
      <c r="D448" s="77"/>
      <c r="E448" s="77"/>
      <c r="F448" s="77"/>
    </row>
    <row r="449" spans="1:9" ht="12.75" customHeight="1"/>
    <row r="450" spans="1:9" ht="12.75" customHeight="1">
      <c r="A450" s="1" t="s">
        <v>175</v>
      </c>
      <c r="B450" s="1"/>
      <c r="C450" s="1"/>
      <c r="D450" s="94"/>
      <c r="E450" s="94"/>
      <c r="F450" s="94"/>
      <c r="G450" s="94"/>
    </row>
    <row r="451" spans="1:9" ht="12.75" customHeight="1">
      <c r="A451" s="1" t="str">
        <f>+A4</f>
        <v xml:space="preserve">OBRA N°      Desarenador - Acueducto </v>
      </c>
      <c r="B451" s="1"/>
      <c r="C451" s="1"/>
      <c r="D451" s="1"/>
      <c r="F451" s="95" t="s">
        <v>177</v>
      </c>
      <c r="G451" s="96">
        <f t="shared" ca="1" si="0"/>
        <v>46289</v>
      </c>
      <c r="H451" s="94"/>
      <c r="I451" s="97"/>
    </row>
    <row r="452" spans="1:9" ht="12.75" customHeight="1">
      <c r="A452" s="1"/>
      <c r="B452" s="94"/>
      <c r="C452" s="94"/>
      <c r="D452" s="94"/>
      <c r="E452" s="94"/>
      <c r="F452" s="94"/>
      <c r="G452" s="94"/>
    </row>
    <row r="453" spans="1:9" ht="12.75" customHeight="1">
      <c r="A453" s="1"/>
      <c r="B453" s="1"/>
      <c r="C453" s="1"/>
      <c r="D453" s="1"/>
      <c r="E453" s="1"/>
      <c r="F453" s="1"/>
      <c r="G453" s="1"/>
    </row>
    <row r="454" spans="1:9" ht="12.75" customHeight="1">
      <c r="A454" s="99" t="s">
        <v>345</v>
      </c>
      <c r="B454" s="100" t="s">
        <v>346</v>
      </c>
      <c r="C454" s="100"/>
      <c r="D454" s="100"/>
      <c r="E454" s="100"/>
      <c r="F454" s="100"/>
      <c r="G454" s="101"/>
    </row>
    <row r="455" spans="1:9" ht="12.75" customHeight="1">
      <c r="A455" s="102"/>
      <c r="B455" s="103"/>
      <c r="C455" s="103" t="s">
        <v>179</v>
      </c>
      <c r="D455" s="126">
        <v>6</v>
      </c>
      <c r="E455" s="103" t="s">
        <v>180</v>
      </c>
      <c r="F455" s="103" t="s">
        <v>337</v>
      </c>
      <c r="G455" s="105"/>
    </row>
    <row r="456" spans="1:9" ht="12.75" customHeight="1">
      <c r="A456" s="1" t="s">
        <v>182</v>
      </c>
      <c r="B456" s="1"/>
      <c r="C456" s="1"/>
      <c r="D456" s="1"/>
      <c r="E456" s="1"/>
      <c r="F456" s="1"/>
      <c r="G456" s="1"/>
    </row>
    <row r="457" spans="1:9" ht="12.75" customHeight="1">
      <c r="A457" s="106" t="s">
        <v>111</v>
      </c>
      <c r="B457" s="107" t="s">
        <v>183</v>
      </c>
      <c r="C457" s="106" t="s">
        <v>184</v>
      </c>
      <c r="D457" s="107" t="s">
        <v>185</v>
      </c>
      <c r="E457" s="106" t="s">
        <v>186</v>
      </c>
      <c r="F457" s="108"/>
      <c r="G457" s="109"/>
    </row>
    <row r="458" spans="1:9" ht="12.75" customHeight="1">
      <c r="A458" s="110" t="s">
        <v>187</v>
      </c>
      <c r="B458" s="100"/>
      <c r="C458" s="110"/>
      <c r="D458" s="100"/>
      <c r="E458" s="111">
        <f t="shared" si="1"/>
        <v>875</v>
      </c>
      <c r="F458" s="112"/>
      <c r="G458" s="113"/>
    </row>
    <row r="459" spans="1:9" ht="12.75" customHeight="1">
      <c r="A459" s="110"/>
      <c r="B459" s="110"/>
      <c r="C459" s="110"/>
      <c r="D459" s="110"/>
      <c r="E459" s="101"/>
      <c r="F459" s="112"/>
      <c r="G459" s="113"/>
    </row>
    <row r="460" spans="1:9" ht="12.75" customHeight="1">
      <c r="A460" s="110"/>
      <c r="B460" s="110"/>
      <c r="C460" s="110"/>
      <c r="D460" s="110"/>
      <c r="E460" s="101"/>
      <c r="F460" s="112"/>
      <c r="G460" s="113"/>
    </row>
    <row r="461" spans="1:9" ht="12.75" customHeight="1">
      <c r="A461" s="110"/>
      <c r="B461" s="110"/>
      <c r="C461" s="110"/>
      <c r="D461" s="110"/>
      <c r="E461" s="101"/>
      <c r="F461" s="102" t="s">
        <v>189</v>
      </c>
      <c r="G461" s="114">
        <f t="shared" si="2"/>
        <v>875</v>
      </c>
    </row>
    <row r="462" spans="1:9" ht="12.75" customHeight="1">
      <c r="A462" s="1" t="s">
        <v>191</v>
      </c>
      <c r="B462" s="1"/>
      <c r="C462" s="1"/>
      <c r="D462" s="1"/>
      <c r="E462" s="1"/>
      <c r="F462" s="1"/>
      <c r="G462" s="1"/>
    </row>
    <row r="463" spans="1:9" ht="12.75" customHeight="1">
      <c r="A463" s="115" t="s">
        <v>111</v>
      </c>
      <c r="B463" s="106" t="s">
        <v>193</v>
      </c>
      <c r="C463" s="80" t="s">
        <v>194</v>
      </c>
      <c r="D463" s="106" t="s">
        <v>195</v>
      </c>
      <c r="E463" s="81" t="s">
        <v>186</v>
      </c>
      <c r="F463" s="108"/>
      <c r="G463" s="109"/>
    </row>
    <row r="464" spans="1:9" ht="12.75" customHeight="1">
      <c r="A464" s="110" t="s">
        <v>347</v>
      </c>
      <c r="B464" s="106" t="s">
        <v>348</v>
      </c>
      <c r="C464" s="111">
        <f>(70616*1.19)</f>
        <v>84033.04</v>
      </c>
      <c r="D464" s="110">
        <v>1.05</v>
      </c>
      <c r="E464" s="119">
        <f t="shared" si="12"/>
        <v>88234.691999999995</v>
      </c>
      <c r="F464" s="112"/>
      <c r="G464" s="113"/>
    </row>
    <row r="465" spans="1:7" ht="12.75" customHeight="1">
      <c r="A465" s="63" t="s">
        <v>349</v>
      </c>
      <c r="B465" s="123" t="s">
        <v>273</v>
      </c>
      <c r="C465" s="63">
        <v>1000</v>
      </c>
      <c r="D465" s="63">
        <v>1</v>
      </c>
      <c r="E465" s="119">
        <f t="shared" si="12"/>
        <v>1000</v>
      </c>
      <c r="F465" s="112"/>
      <c r="G465" s="113"/>
    </row>
    <row r="466" spans="1:7" ht="12.75" customHeight="1">
      <c r="A466" s="110"/>
      <c r="B466" s="106"/>
      <c r="C466" s="110"/>
      <c r="D466" s="110"/>
      <c r="E466" s="101"/>
      <c r="F466" s="112"/>
      <c r="G466" s="113"/>
    </row>
    <row r="467" spans="1:7" ht="12.75" customHeight="1">
      <c r="A467" s="63"/>
      <c r="B467" s="63"/>
      <c r="C467" s="63"/>
      <c r="D467" s="63"/>
      <c r="E467" s="101"/>
      <c r="F467" s="112"/>
      <c r="G467" s="113"/>
    </row>
    <row r="468" spans="1:7" ht="12.75" customHeight="1">
      <c r="A468" s="110"/>
      <c r="B468" s="110"/>
      <c r="C468" s="110"/>
      <c r="D468" s="110"/>
      <c r="E468" s="101"/>
      <c r="F468" s="112"/>
      <c r="G468" s="113"/>
    </row>
    <row r="469" spans="1:7" ht="15" customHeight="1">
      <c r="A469" s="110"/>
      <c r="B469" s="110"/>
      <c r="C469" s="110"/>
      <c r="D469" s="110"/>
      <c r="E469" s="101"/>
      <c r="F469" s="112"/>
      <c r="G469" s="113"/>
    </row>
    <row r="470" spans="1:7" ht="12.75" customHeight="1">
      <c r="A470" s="116"/>
      <c r="B470" s="116"/>
      <c r="C470" s="116"/>
      <c r="D470" s="116"/>
      <c r="E470" s="101"/>
      <c r="F470" s="102" t="s">
        <v>189</v>
      </c>
      <c r="G470" s="114">
        <f t="shared" si="3"/>
        <v>89234.691999999995</v>
      </c>
    </row>
    <row r="471" spans="1:7" ht="12.75" customHeight="1">
      <c r="A471" s="1" t="s">
        <v>197</v>
      </c>
      <c r="B471" s="1"/>
      <c r="C471" s="1"/>
      <c r="D471" s="1"/>
      <c r="E471" s="1"/>
      <c r="F471" s="1"/>
      <c r="G471" s="1"/>
    </row>
    <row r="472" spans="1:7" ht="12.75" customHeight="1">
      <c r="A472" s="117" t="s">
        <v>198</v>
      </c>
      <c r="B472" s="117" t="s">
        <v>199</v>
      </c>
      <c r="C472" s="117" t="s">
        <v>200</v>
      </c>
      <c r="D472" s="117" t="s">
        <v>201</v>
      </c>
      <c r="E472" s="81" t="s">
        <v>186</v>
      </c>
      <c r="F472" s="108"/>
      <c r="G472" s="109"/>
    </row>
    <row r="473" spans="1:7" ht="12.75" customHeight="1">
      <c r="A473" s="110" t="s">
        <v>243</v>
      </c>
      <c r="B473" s="110"/>
      <c r="C473" s="110"/>
      <c r="D473" s="110"/>
      <c r="E473" s="101">
        <v>8000</v>
      </c>
      <c r="F473" s="112"/>
      <c r="G473" s="113"/>
    </row>
    <row r="474" spans="1:7" ht="12.75" customHeight="1">
      <c r="A474" s="63"/>
      <c r="B474" s="63"/>
      <c r="C474" s="63"/>
      <c r="D474" s="63"/>
      <c r="E474" s="113"/>
      <c r="F474" s="112"/>
      <c r="G474" s="113"/>
    </row>
    <row r="475" spans="1:7" ht="12.75" customHeight="1">
      <c r="A475" s="110"/>
      <c r="B475" s="110"/>
      <c r="C475" s="110"/>
      <c r="D475" s="110"/>
      <c r="E475" s="101"/>
      <c r="F475" s="112"/>
      <c r="G475" s="113"/>
    </row>
    <row r="476" spans="1:7" ht="12.75" customHeight="1">
      <c r="A476" s="110"/>
      <c r="B476" s="110"/>
      <c r="C476" s="110"/>
      <c r="D476" s="110"/>
      <c r="E476" s="101"/>
      <c r="F476" s="112"/>
      <c r="G476" s="113"/>
    </row>
    <row r="477" spans="1:7" ht="12.75" customHeight="1">
      <c r="A477" s="116"/>
      <c r="B477" s="116"/>
      <c r="C477" s="116"/>
      <c r="D477" s="116"/>
      <c r="E477" s="105"/>
      <c r="F477" s="102" t="s">
        <v>189</v>
      </c>
      <c r="G477" s="105">
        <f t="shared" si="4"/>
        <v>8000</v>
      </c>
    </row>
    <row r="478" spans="1:7" ht="12.75" customHeight="1">
      <c r="A478" s="1" t="s">
        <v>202</v>
      </c>
      <c r="B478" s="1"/>
      <c r="C478" s="1"/>
      <c r="D478" s="1"/>
      <c r="E478" s="1"/>
      <c r="F478" s="1"/>
      <c r="G478" s="1"/>
    </row>
    <row r="479" spans="1:7" ht="12.75" customHeight="1">
      <c r="A479" s="117" t="s">
        <v>203</v>
      </c>
      <c r="B479" s="80" t="s">
        <v>204</v>
      </c>
      <c r="C479" s="117" t="s">
        <v>205</v>
      </c>
      <c r="D479" s="80" t="s">
        <v>206</v>
      </c>
      <c r="E479" s="117" t="s">
        <v>207</v>
      </c>
      <c r="F479" s="80" t="s">
        <v>208</v>
      </c>
      <c r="G479" s="118"/>
    </row>
    <row r="480" spans="1:7" ht="12.75" customHeight="1">
      <c r="A480" s="110" t="s">
        <v>188</v>
      </c>
      <c r="B480" s="100">
        <f t="shared" ref="B480:B481" si="19">+B123</f>
        <v>150000</v>
      </c>
      <c r="C480" s="110">
        <f t="shared" si="5"/>
        <v>112500</v>
      </c>
      <c r="D480" s="100">
        <f t="shared" si="6"/>
        <v>262500</v>
      </c>
      <c r="E480" s="110">
        <v>25</v>
      </c>
      <c r="F480" s="119">
        <f t="shared" si="7"/>
        <v>10500</v>
      </c>
      <c r="G480" s="63"/>
    </row>
    <row r="481" spans="1:7" ht="12.75" customHeight="1">
      <c r="A481" s="63" t="s">
        <v>307</v>
      </c>
      <c r="B481" s="100">
        <f t="shared" si="19"/>
        <v>100000</v>
      </c>
      <c r="C481" s="111">
        <f t="shared" si="5"/>
        <v>75000</v>
      </c>
      <c r="D481" s="120">
        <f t="shared" si="6"/>
        <v>175000</v>
      </c>
      <c r="E481" s="110">
        <v>25</v>
      </c>
      <c r="F481" s="119">
        <f t="shared" si="7"/>
        <v>7000</v>
      </c>
      <c r="G481" s="63"/>
    </row>
    <row r="482" spans="1:7" ht="12.75" customHeight="1">
      <c r="A482" s="110"/>
      <c r="B482" s="100"/>
      <c r="C482" s="110"/>
      <c r="D482" s="100"/>
      <c r="E482" s="110"/>
      <c r="F482" s="101"/>
      <c r="G482" s="63"/>
    </row>
    <row r="483" spans="1:7" ht="12.75" customHeight="1">
      <c r="A483" s="63"/>
      <c r="B483" s="1"/>
      <c r="C483" s="63"/>
      <c r="D483" s="1"/>
      <c r="E483" s="63"/>
      <c r="F483" s="101"/>
      <c r="G483" s="63"/>
    </row>
    <row r="484" spans="1:7" ht="12.75" customHeight="1">
      <c r="A484" s="110"/>
      <c r="B484" s="100"/>
      <c r="C484" s="110"/>
      <c r="D484" s="100"/>
      <c r="E484" s="110"/>
      <c r="F484" s="101"/>
      <c r="G484" s="63"/>
    </row>
    <row r="485" spans="1:7" ht="12.75" customHeight="1">
      <c r="A485" s="116"/>
      <c r="B485" s="103"/>
      <c r="C485" s="116"/>
      <c r="D485" s="103"/>
      <c r="E485" s="116"/>
      <c r="F485" s="101"/>
      <c r="G485" s="116"/>
    </row>
    <row r="486" spans="1:7" ht="12.75" customHeight="1">
      <c r="A486" s="1"/>
      <c r="B486" s="1"/>
      <c r="C486" s="1"/>
      <c r="D486" s="1"/>
      <c r="E486" s="1"/>
      <c r="F486" s="1" t="s">
        <v>189</v>
      </c>
      <c r="G486" s="121">
        <f t="shared" si="8"/>
        <v>17500</v>
      </c>
    </row>
    <row r="487" spans="1:7" ht="12.75" customHeight="1">
      <c r="A487" s="1"/>
      <c r="B487" s="1"/>
      <c r="C487" s="1"/>
      <c r="D487" s="1"/>
      <c r="E487" s="1"/>
      <c r="F487" s="1"/>
      <c r="G487" s="1"/>
    </row>
    <row r="488" spans="1:7" ht="12.75" customHeight="1">
      <c r="A488" s="103" t="s">
        <v>209</v>
      </c>
      <c r="B488" s="1"/>
      <c r="C488" s="1" t="s">
        <v>210</v>
      </c>
      <c r="D488" s="473" t="s">
        <v>211</v>
      </c>
      <c r="E488" s="457"/>
      <c r="F488" s="457"/>
      <c r="G488" s="121">
        <f t="shared" si="9"/>
        <v>115609.692</v>
      </c>
    </row>
    <row r="489" spans="1:7" ht="12.75" customHeight="1">
      <c r="A489" s="1"/>
      <c r="B489" s="1"/>
      <c r="C489" s="1"/>
      <c r="D489" s="1"/>
      <c r="E489" s="1"/>
      <c r="F489" s="1"/>
      <c r="G489" s="1"/>
    </row>
    <row r="490" spans="1:7" ht="12.75" customHeight="1">
      <c r="A490" s="1"/>
      <c r="B490" s="1"/>
      <c r="C490" s="1"/>
      <c r="D490" s="1"/>
      <c r="E490" s="1" t="s">
        <v>212</v>
      </c>
      <c r="F490" s="1"/>
      <c r="G490" s="121">
        <f t="shared" si="10"/>
        <v>34682.907599999999</v>
      </c>
    </row>
    <row r="491" spans="1:7" ht="12.75" customHeight="1">
      <c r="A491" s="1"/>
      <c r="B491" s="1"/>
      <c r="C491" s="1"/>
      <c r="D491" s="1"/>
      <c r="E491" s="1"/>
      <c r="F491" s="1"/>
      <c r="G491" s="1"/>
    </row>
    <row r="492" spans="1:7" ht="12.75" customHeight="1">
      <c r="A492" s="103" t="s">
        <v>213</v>
      </c>
      <c r="B492" s="1"/>
      <c r="C492" s="1"/>
      <c r="D492" s="473" t="s">
        <v>214</v>
      </c>
      <c r="E492" s="457"/>
      <c r="F492" s="457"/>
      <c r="G492" s="121">
        <f t="shared" si="11"/>
        <v>150292.59959999999</v>
      </c>
    </row>
    <row r="493" spans="1:7" ht="15" customHeight="1">
      <c r="A493" s="468" t="s">
        <v>174</v>
      </c>
      <c r="B493" s="457"/>
      <c r="C493" s="457"/>
      <c r="D493" s="457"/>
      <c r="E493" s="457"/>
      <c r="F493" s="457"/>
      <c r="G493" s="457"/>
    </row>
    <row r="494" spans="1:7" ht="12.75" customHeight="1">
      <c r="A494" s="77"/>
      <c r="B494" s="77"/>
      <c r="C494" s="77"/>
      <c r="D494" s="77"/>
      <c r="E494" s="77"/>
      <c r="F494" s="77"/>
    </row>
    <row r="495" spans="1:7" ht="12.75" customHeight="1"/>
    <row r="496" spans="1:7" ht="12.75" customHeight="1">
      <c r="A496" s="1" t="s">
        <v>175</v>
      </c>
      <c r="B496" s="1"/>
      <c r="C496" s="1"/>
      <c r="D496" s="94"/>
      <c r="E496" s="94"/>
      <c r="F496" s="94"/>
      <c r="G496" s="94"/>
    </row>
    <row r="497" spans="1:7" ht="12.75" customHeight="1">
      <c r="A497" s="1" t="str">
        <f>+A4</f>
        <v xml:space="preserve">OBRA N°      Desarenador - Acueducto </v>
      </c>
      <c r="B497" s="1"/>
      <c r="C497" s="1"/>
      <c r="D497" s="1"/>
      <c r="F497" s="95" t="s">
        <v>177</v>
      </c>
      <c r="G497" s="96">
        <f t="shared" ca="1" si="0"/>
        <v>46289</v>
      </c>
    </row>
    <row r="498" spans="1:7" ht="12.75" customHeight="1">
      <c r="A498" s="1"/>
      <c r="B498" s="94"/>
      <c r="C498" s="94"/>
      <c r="D498" s="94"/>
      <c r="E498" s="94"/>
      <c r="F498" s="94"/>
      <c r="G498" s="94"/>
    </row>
    <row r="499" spans="1:7" ht="12.75" customHeight="1">
      <c r="A499" s="1"/>
      <c r="B499" s="1"/>
      <c r="C499" s="1"/>
      <c r="D499" s="1"/>
      <c r="E499" s="1"/>
      <c r="F499" s="1"/>
      <c r="G499" s="1"/>
    </row>
    <row r="500" spans="1:7" ht="12.75" customHeight="1">
      <c r="A500" s="99" t="s">
        <v>350</v>
      </c>
      <c r="B500" s="100" t="s">
        <v>351</v>
      </c>
      <c r="C500" s="100"/>
      <c r="D500" s="100"/>
      <c r="E500" s="100"/>
      <c r="F500" s="100"/>
      <c r="G500" s="101"/>
    </row>
    <row r="501" spans="1:7" ht="12.75" customHeight="1">
      <c r="A501" s="102"/>
      <c r="B501" s="103"/>
      <c r="C501" s="103" t="s">
        <v>179</v>
      </c>
      <c r="D501" s="134">
        <v>2</v>
      </c>
      <c r="E501" s="103" t="s">
        <v>180</v>
      </c>
      <c r="F501" s="103" t="s">
        <v>262</v>
      </c>
      <c r="G501" s="105"/>
    </row>
    <row r="502" spans="1:7" ht="12.75" customHeight="1">
      <c r="A502" s="1" t="s">
        <v>182</v>
      </c>
      <c r="B502" s="1"/>
      <c r="C502" s="1"/>
      <c r="D502" s="1"/>
      <c r="E502" s="1"/>
      <c r="F502" s="1"/>
      <c r="G502" s="1"/>
    </row>
    <row r="503" spans="1:7" ht="12.75" customHeight="1">
      <c r="A503" s="106" t="s">
        <v>111</v>
      </c>
      <c r="B503" s="107" t="s">
        <v>183</v>
      </c>
      <c r="C503" s="106" t="s">
        <v>184</v>
      </c>
      <c r="D503" s="107" t="s">
        <v>185</v>
      </c>
      <c r="E503" s="106" t="s">
        <v>186</v>
      </c>
      <c r="F503" s="108"/>
      <c r="G503" s="109"/>
    </row>
    <row r="504" spans="1:7" ht="12.75" customHeight="1">
      <c r="A504" s="110" t="s">
        <v>187</v>
      </c>
      <c r="B504" s="100"/>
      <c r="C504" s="110"/>
      <c r="D504" s="100"/>
      <c r="E504" s="111">
        <f t="shared" si="1"/>
        <v>2734.375</v>
      </c>
      <c r="F504" s="112"/>
      <c r="G504" s="113"/>
    </row>
    <row r="505" spans="1:7" ht="12.75" customHeight="1">
      <c r="A505" s="110"/>
      <c r="B505" s="110"/>
      <c r="C505" s="110"/>
      <c r="D505" s="110"/>
      <c r="E505" s="101"/>
      <c r="F505" s="112"/>
      <c r="G505" s="113"/>
    </row>
    <row r="506" spans="1:7" ht="12.75" customHeight="1">
      <c r="A506" s="110"/>
      <c r="B506" s="110"/>
      <c r="C506" s="110"/>
      <c r="D506" s="110"/>
      <c r="E506" s="101"/>
      <c r="F506" s="112"/>
      <c r="G506" s="113"/>
    </row>
    <row r="507" spans="1:7" ht="12.75" customHeight="1">
      <c r="A507" s="110"/>
      <c r="B507" s="110"/>
      <c r="C507" s="110"/>
      <c r="D507" s="110"/>
      <c r="E507" s="101"/>
      <c r="F507" s="102" t="s">
        <v>189</v>
      </c>
      <c r="G507" s="114">
        <f t="shared" si="2"/>
        <v>2734.375</v>
      </c>
    </row>
    <row r="508" spans="1:7" ht="12.75" customHeight="1">
      <c r="A508" s="1" t="s">
        <v>191</v>
      </c>
      <c r="B508" s="1"/>
      <c r="C508" s="1"/>
      <c r="D508" s="1"/>
      <c r="E508" s="1"/>
      <c r="F508" s="1"/>
      <c r="G508" s="1"/>
    </row>
    <row r="509" spans="1:7" ht="12.75" customHeight="1">
      <c r="A509" s="115" t="s">
        <v>111</v>
      </c>
      <c r="B509" s="106" t="s">
        <v>193</v>
      </c>
      <c r="C509" s="80" t="s">
        <v>194</v>
      </c>
      <c r="D509" s="106" t="s">
        <v>195</v>
      </c>
      <c r="E509" s="81" t="s">
        <v>186</v>
      </c>
      <c r="F509" s="108"/>
      <c r="G509" s="109"/>
    </row>
    <row r="510" spans="1:7" ht="12.75" customHeight="1">
      <c r="A510" s="110" t="s">
        <v>352</v>
      </c>
      <c r="B510" s="106" t="s">
        <v>193</v>
      </c>
      <c r="C510" s="111">
        <f>18900*1.19</f>
        <v>22491</v>
      </c>
      <c r="D510" s="110">
        <v>1.05</v>
      </c>
      <c r="E510" s="119">
        <f t="shared" si="12"/>
        <v>23615.55</v>
      </c>
      <c r="F510" s="112"/>
      <c r="G510" s="113"/>
    </row>
    <row r="511" spans="1:7" ht="12.75" customHeight="1">
      <c r="A511" s="63" t="s">
        <v>349</v>
      </c>
      <c r="B511" s="123" t="s">
        <v>220</v>
      </c>
      <c r="C511" s="63">
        <v>1200</v>
      </c>
      <c r="D511" s="63">
        <v>1</v>
      </c>
      <c r="E511" s="119">
        <f t="shared" si="12"/>
        <v>1200</v>
      </c>
      <c r="F511" s="112"/>
      <c r="G511" s="113"/>
    </row>
    <row r="512" spans="1:7" ht="12.75" customHeight="1">
      <c r="A512" s="110"/>
      <c r="B512" s="106"/>
      <c r="C512" s="110"/>
      <c r="D512" s="110"/>
      <c r="E512" s="101"/>
      <c r="F512" s="112"/>
      <c r="G512" s="113"/>
    </row>
    <row r="513" spans="1:7" ht="12.75" customHeight="1">
      <c r="A513" s="63"/>
      <c r="B513" s="63"/>
      <c r="C513" s="63"/>
      <c r="D513" s="63"/>
      <c r="E513" s="101"/>
      <c r="F513" s="112"/>
      <c r="G513" s="113"/>
    </row>
    <row r="514" spans="1:7" ht="12.75" customHeight="1">
      <c r="A514" s="110"/>
      <c r="B514" s="110"/>
      <c r="C514" s="110"/>
      <c r="D514" s="110"/>
      <c r="E514" s="101"/>
      <c r="F514" s="112"/>
      <c r="G514" s="113"/>
    </row>
    <row r="515" spans="1:7" ht="12.75" customHeight="1">
      <c r="A515" s="110"/>
      <c r="B515" s="110"/>
      <c r="C515" s="110"/>
      <c r="D515" s="110"/>
      <c r="E515" s="101"/>
      <c r="F515" s="112"/>
      <c r="G515" s="113"/>
    </row>
    <row r="516" spans="1:7" ht="15" customHeight="1">
      <c r="A516" s="116"/>
      <c r="B516" s="116"/>
      <c r="C516" s="116"/>
      <c r="D516" s="116"/>
      <c r="E516" s="101"/>
      <c r="F516" s="102" t="s">
        <v>189</v>
      </c>
      <c r="G516" s="114">
        <f t="shared" si="3"/>
        <v>24815.55</v>
      </c>
    </row>
    <row r="517" spans="1:7" ht="12.75" customHeight="1">
      <c r="A517" s="1" t="s">
        <v>197</v>
      </c>
      <c r="B517" s="1"/>
      <c r="C517" s="1"/>
      <c r="D517" s="1"/>
      <c r="E517" s="1"/>
      <c r="F517" s="1"/>
      <c r="G517" s="1"/>
    </row>
    <row r="518" spans="1:7" ht="12.75" customHeight="1">
      <c r="A518" s="117" t="s">
        <v>198</v>
      </c>
      <c r="B518" s="117" t="s">
        <v>199</v>
      </c>
      <c r="C518" s="117" t="s">
        <v>200</v>
      </c>
      <c r="D518" s="117" t="s">
        <v>201</v>
      </c>
      <c r="E518" s="81" t="s">
        <v>186</v>
      </c>
      <c r="F518" s="108"/>
      <c r="G518" s="109"/>
    </row>
    <row r="519" spans="1:7" ht="12.75" customHeight="1">
      <c r="A519" s="110" t="s">
        <v>243</v>
      </c>
      <c r="B519" s="110"/>
      <c r="C519" s="110"/>
      <c r="D519" s="110"/>
      <c r="E519" s="101">
        <v>8000</v>
      </c>
      <c r="F519" s="112"/>
      <c r="G519" s="113"/>
    </row>
    <row r="520" spans="1:7" ht="12.75" customHeight="1">
      <c r="A520" s="63"/>
      <c r="B520" s="63"/>
      <c r="C520" s="63"/>
      <c r="D520" s="63"/>
      <c r="E520" s="113"/>
      <c r="F520" s="112"/>
      <c r="G520" s="113"/>
    </row>
    <row r="521" spans="1:7" ht="12.75" customHeight="1">
      <c r="A521" s="110"/>
      <c r="B521" s="110"/>
      <c r="C521" s="110"/>
      <c r="D521" s="110"/>
      <c r="E521" s="101"/>
      <c r="F521" s="112"/>
      <c r="G521" s="113"/>
    </row>
    <row r="522" spans="1:7" ht="12.75" customHeight="1">
      <c r="A522" s="110"/>
      <c r="B522" s="110"/>
      <c r="C522" s="110"/>
      <c r="D522" s="110"/>
      <c r="E522" s="101"/>
      <c r="F522" s="112"/>
      <c r="G522" s="113"/>
    </row>
    <row r="523" spans="1:7" ht="12.75" customHeight="1">
      <c r="A523" s="116"/>
      <c r="B523" s="116"/>
      <c r="C523" s="116"/>
      <c r="D523" s="116"/>
      <c r="E523" s="105"/>
      <c r="F523" s="102" t="s">
        <v>189</v>
      </c>
      <c r="G523" s="105">
        <f t="shared" si="4"/>
        <v>8000</v>
      </c>
    </row>
    <row r="524" spans="1:7" ht="12.75" customHeight="1">
      <c r="A524" s="1" t="s">
        <v>202</v>
      </c>
      <c r="B524" s="1"/>
      <c r="C524" s="1"/>
      <c r="D524" s="1"/>
      <c r="E524" s="1"/>
      <c r="F524" s="1"/>
      <c r="G524" s="1"/>
    </row>
    <row r="525" spans="1:7" ht="12.75" customHeight="1">
      <c r="A525" s="117" t="s">
        <v>203</v>
      </c>
      <c r="B525" s="80" t="s">
        <v>204</v>
      </c>
      <c r="C525" s="117" t="s">
        <v>205</v>
      </c>
      <c r="D525" s="80" t="s">
        <v>206</v>
      </c>
      <c r="E525" s="117" t="s">
        <v>207</v>
      </c>
      <c r="F525" s="80" t="s">
        <v>208</v>
      </c>
      <c r="G525" s="118"/>
    </row>
    <row r="526" spans="1:7" ht="12.75" customHeight="1">
      <c r="A526" s="110" t="s">
        <v>188</v>
      </c>
      <c r="B526" s="100">
        <f t="shared" ref="B526:B527" si="20">+B123</f>
        <v>150000</v>
      </c>
      <c r="C526" s="110">
        <f t="shared" si="5"/>
        <v>112500</v>
      </c>
      <c r="D526" s="100">
        <f t="shared" si="6"/>
        <v>262500</v>
      </c>
      <c r="E526" s="110">
        <v>8</v>
      </c>
      <c r="F526" s="119">
        <f t="shared" si="7"/>
        <v>32812.5</v>
      </c>
      <c r="G526" s="63"/>
    </row>
    <row r="527" spans="1:7" ht="12.75" customHeight="1">
      <c r="A527" s="63" t="s">
        <v>190</v>
      </c>
      <c r="B527" s="100">
        <f t="shared" si="20"/>
        <v>100000</v>
      </c>
      <c r="C527" s="111">
        <f t="shared" si="5"/>
        <v>75000</v>
      </c>
      <c r="D527" s="120">
        <f t="shared" si="6"/>
        <v>175000</v>
      </c>
      <c r="E527" s="110">
        <v>8</v>
      </c>
      <c r="F527" s="119">
        <f t="shared" si="7"/>
        <v>21875</v>
      </c>
      <c r="G527" s="63"/>
    </row>
    <row r="528" spans="1:7" ht="12.75" customHeight="1">
      <c r="A528" s="110"/>
      <c r="B528" s="100"/>
      <c r="C528" s="110"/>
      <c r="D528" s="100"/>
      <c r="E528" s="110"/>
      <c r="F528" s="101"/>
      <c r="G528" s="63"/>
    </row>
    <row r="529" spans="1:7" ht="12.75" customHeight="1">
      <c r="A529" s="63"/>
      <c r="B529" s="1"/>
      <c r="C529" s="63"/>
      <c r="D529" s="1"/>
      <c r="E529" s="63"/>
      <c r="F529" s="101"/>
      <c r="G529" s="63"/>
    </row>
    <row r="530" spans="1:7" ht="12.75" customHeight="1">
      <c r="A530" s="110"/>
      <c r="B530" s="100"/>
      <c r="C530" s="110"/>
      <c r="D530" s="100"/>
      <c r="E530" s="110"/>
      <c r="F530" s="101"/>
      <c r="G530" s="63"/>
    </row>
    <row r="531" spans="1:7" ht="12.75" customHeight="1">
      <c r="A531" s="116"/>
      <c r="B531" s="103"/>
      <c r="C531" s="116"/>
      <c r="D531" s="103"/>
      <c r="E531" s="116"/>
      <c r="F531" s="101"/>
      <c r="G531" s="116"/>
    </row>
    <row r="532" spans="1:7" ht="12.75" customHeight="1">
      <c r="A532" s="1"/>
      <c r="B532" s="1"/>
      <c r="C532" s="1"/>
      <c r="D532" s="1"/>
      <c r="E532" s="1"/>
      <c r="F532" s="1" t="s">
        <v>189</v>
      </c>
      <c r="G532" s="121">
        <f t="shared" si="8"/>
        <v>54687.5</v>
      </c>
    </row>
    <row r="533" spans="1:7" ht="12.75" customHeight="1">
      <c r="A533" s="1"/>
      <c r="B533" s="1"/>
      <c r="C533" s="1"/>
      <c r="D533" s="1"/>
      <c r="E533" s="1"/>
      <c r="F533" s="1"/>
      <c r="G533" s="1"/>
    </row>
    <row r="534" spans="1:7" ht="12.75" customHeight="1">
      <c r="A534" s="103" t="s">
        <v>209</v>
      </c>
      <c r="B534" s="1"/>
      <c r="C534" s="1" t="s">
        <v>210</v>
      </c>
      <c r="D534" s="473" t="s">
        <v>211</v>
      </c>
      <c r="E534" s="457"/>
      <c r="F534" s="457"/>
      <c r="G534" s="121">
        <f t="shared" si="9"/>
        <v>90237.425000000003</v>
      </c>
    </row>
    <row r="535" spans="1:7" ht="12.75" customHeight="1">
      <c r="A535" s="1"/>
      <c r="B535" s="1"/>
      <c r="C535" s="1"/>
      <c r="D535" s="1"/>
      <c r="E535" s="1"/>
      <c r="F535" s="1"/>
      <c r="G535" s="1"/>
    </row>
    <row r="536" spans="1:7" ht="12.75" customHeight="1">
      <c r="A536" s="1"/>
      <c r="B536" s="1"/>
      <c r="C536" s="1"/>
      <c r="D536" s="1"/>
      <c r="E536" s="1" t="s">
        <v>212</v>
      </c>
      <c r="F536" s="1"/>
      <c r="G536" s="121">
        <f t="shared" si="10"/>
        <v>27071.227500000001</v>
      </c>
    </row>
    <row r="537" spans="1:7" ht="12.75" customHeight="1">
      <c r="A537" s="1"/>
      <c r="B537" s="1"/>
      <c r="C537" s="1"/>
      <c r="D537" s="1"/>
      <c r="E537" s="1"/>
      <c r="F537" s="1"/>
      <c r="G537" s="1"/>
    </row>
    <row r="538" spans="1:7" ht="12.75" customHeight="1">
      <c r="A538" s="103" t="s">
        <v>213</v>
      </c>
      <c r="B538" s="1"/>
      <c r="C538" s="1"/>
      <c r="D538" s="473" t="s">
        <v>214</v>
      </c>
      <c r="E538" s="457"/>
      <c r="F538" s="457"/>
      <c r="G538" s="121">
        <f t="shared" si="11"/>
        <v>117308.6525</v>
      </c>
    </row>
    <row r="539" spans="1:7" ht="15" customHeight="1">
      <c r="A539" s="468" t="s">
        <v>174</v>
      </c>
      <c r="B539" s="457"/>
      <c r="C539" s="457"/>
      <c r="D539" s="457"/>
      <c r="E539" s="457"/>
      <c r="F539" s="457"/>
      <c r="G539" s="457"/>
    </row>
    <row r="540" spans="1:7" ht="12.75" customHeight="1">
      <c r="A540" s="77"/>
      <c r="B540" s="77"/>
      <c r="C540" s="77"/>
      <c r="D540" s="77"/>
      <c r="E540" s="77"/>
      <c r="F540" s="77"/>
    </row>
    <row r="541" spans="1:7" ht="12.75" customHeight="1"/>
    <row r="542" spans="1:7" ht="12.75" customHeight="1">
      <c r="A542" s="1" t="s">
        <v>175</v>
      </c>
      <c r="B542" s="1"/>
      <c r="C542" s="1"/>
      <c r="D542" s="94"/>
      <c r="E542" s="94"/>
      <c r="F542" s="94"/>
      <c r="G542" s="94"/>
    </row>
    <row r="543" spans="1:7" ht="12.75" customHeight="1">
      <c r="A543" s="1" t="str">
        <f t="shared" ref="A543:B662" si="21">+A4</f>
        <v xml:space="preserve">OBRA N°      Desarenador - Acueducto </v>
      </c>
      <c r="B543" s="1"/>
      <c r="C543" s="1"/>
      <c r="D543" s="1"/>
      <c r="F543" s="95" t="s">
        <v>177</v>
      </c>
      <c r="G543" s="96">
        <f t="shared" ca="1" si="0"/>
        <v>46289</v>
      </c>
    </row>
    <row r="544" spans="1:7" ht="12.75" customHeight="1">
      <c r="A544" s="1"/>
      <c r="B544" s="94"/>
      <c r="C544" s="94"/>
      <c r="D544" s="94"/>
      <c r="E544" s="94"/>
      <c r="F544" s="94"/>
      <c r="G544" s="94"/>
    </row>
    <row r="545" spans="1:7" ht="12.75" customHeight="1">
      <c r="A545" s="1"/>
      <c r="B545" s="1"/>
      <c r="C545" s="1"/>
      <c r="D545" s="1"/>
      <c r="E545" s="1"/>
      <c r="F545" s="1"/>
      <c r="G545" s="1"/>
    </row>
    <row r="546" spans="1:7" ht="12.75" customHeight="1">
      <c r="A546" s="99" t="s">
        <v>353</v>
      </c>
      <c r="B546" s="100" t="s">
        <v>354</v>
      </c>
      <c r="C546" s="100"/>
      <c r="D546" s="100"/>
      <c r="E546" s="100"/>
      <c r="F546" s="100"/>
      <c r="G546" s="101"/>
    </row>
    <row r="547" spans="1:7" ht="12.75" customHeight="1">
      <c r="A547" s="102"/>
      <c r="B547" s="103"/>
      <c r="C547" s="103" t="s">
        <v>179</v>
      </c>
      <c r="D547" s="134">
        <v>1</v>
      </c>
      <c r="E547" s="103" t="s">
        <v>180</v>
      </c>
      <c r="F547" s="103" t="s">
        <v>262</v>
      </c>
      <c r="G547" s="105"/>
    </row>
    <row r="548" spans="1:7" ht="12.75" customHeight="1">
      <c r="A548" s="1" t="s">
        <v>182</v>
      </c>
      <c r="B548" s="1"/>
      <c r="C548" s="1"/>
      <c r="D548" s="1"/>
      <c r="E548" s="1"/>
      <c r="F548" s="1"/>
      <c r="G548" s="1"/>
    </row>
    <row r="549" spans="1:7" ht="12.75" customHeight="1">
      <c r="A549" s="106" t="s">
        <v>111</v>
      </c>
      <c r="B549" s="107" t="s">
        <v>183</v>
      </c>
      <c r="C549" s="106" t="s">
        <v>184</v>
      </c>
      <c r="D549" s="107" t="s">
        <v>185</v>
      </c>
      <c r="E549" s="106" t="s">
        <v>186</v>
      </c>
      <c r="F549" s="108"/>
      <c r="G549" s="109"/>
    </row>
    <row r="550" spans="1:7" ht="12.75" customHeight="1">
      <c r="A550" s="110" t="s">
        <v>187</v>
      </c>
      <c r="B550" s="100"/>
      <c r="C550" s="110"/>
      <c r="D550" s="100"/>
      <c r="E550" s="111">
        <f t="shared" si="1"/>
        <v>4375</v>
      </c>
      <c r="F550" s="112"/>
      <c r="G550" s="113"/>
    </row>
    <row r="551" spans="1:7" ht="12.75" customHeight="1">
      <c r="A551" s="110"/>
      <c r="B551" s="110"/>
      <c r="C551" s="110"/>
      <c r="D551" s="110"/>
      <c r="E551" s="101"/>
      <c r="F551" s="112"/>
      <c r="G551" s="113"/>
    </row>
    <row r="552" spans="1:7" ht="12.75" customHeight="1">
      <c r="A552" s="110"/>
      <c r="B552" s="110"/>
      <c r="C552" s="110"/>
      <c r="D552" s="110"/>
      <c r="E552" s="101"/>
      <c r="F552" s="112"/>
      <c r="G552" s="113"/>
    </row>
    <row r="553" spans="1:7" ht="12.75" customHeight="1">
      <c r="A553" s="110"/>
      <c r="B553" s="110"/>
      <c r="C553" s="110"/>
      <c r="D553" s="110"/>
      <c r="E553" s="101"/>
      <c r="F553" s="102" t="s">
        <v>189</v>
      </c>
      <c r="G553" s="114">
        <f t="shared" si="2"/>
        <v>4375</v>
      </c>
    </row>
    <row r="554" spans="1:7" ht="12.75" customHeight="1">
      <c r="A554" s="1" t="s">
        <v>191</v>
      </c>
      <c r="B554" s="1"/>
      <c r="C554" s="1"/>
      <c r="D554" s="1"/>
      <c r="E554" s="1"/>
      <c r="F554" s="1"/>
      <c r="G554" s="1"/>
    </row>
    <row r="555" spans="1:7" ht="12.75" customHeight="1">
      <c r="A555" s="115" t="s">
        <v>111</v>
      </c>
      <c r="B555" s="106" t="s">
        <v>193</v>
      </c>
      <c r="C555" s="80" t="s">
        <v>194</v>
      </c>
      <c r="D555" s="106" t="s">
        <v>195</v>
      </c>
      <c r="E555" s="81" t="s">
        <v>186</v>
      </c>
      <c r="F555" s="108"/>
      <c r="G555" s="109"/>
    </row>
    <row r="556" spans="1:7" ht="12.75" customHeight="1">
      <c r="A556" s="110" t="s">
        <v>355</v>
      </c>
      <c r="B556" s="106" t="s">
        <v>193</v>
      </c>
      <c r="C556" s="111">
        <f>(134619*1.19)</f>
        <v>160196.60999999999</v>
      </c>
      <c r="D556" s="110">
        <v>1</v>
      </c>
      <c r="E556" s="119">
        <f t="shared" si="12"/>
        <v>160196.60999999999</v>
      </c>
      <c r="F556" s="112"/>
      <c r="G556" s="113"/>
    </row>
    <row r="557" spans="1:7" ht="12.75" customHeight="1">
      <c r="A557" s="63" t="s">
        <v>349</v>
      </c>
      <c r="B557" s="123" t="s">
        <v>220</v>
      </c>
      <c r="C557" s="63">
        <v>1500</v>
      </c>
      <c r="D557" s="63">
        <v>1</v>
      </c>
      <c r="E557" s="119">
        <f t="shared" si="12"/>
        <v>1500</v>
      </c>
      <c r="F557" s="112"/>
      <c r="G557" s="113"/>
    </row>
    <row r="558" spans="1:7" ht="12.75" customHeight="1">
      <c r="A558" s="110"/>
      <c r="B558" s="106"/>
      <c r="C558" s="110"/>
      <c r="D558" s="110"/>
      <c r="E558" s="101"/>
      <c r="F558" s="112"/>
      <c r="G558" s="113"/>
    </row>
    <row r="559" spans="1:7" ht="12.75" customHeight="1">
      <c r="A559" s="63"/>
      <c r="B559" s="63"/>
      <c r="C559" s="63"/>
      <c r="D559" s="63"/>
      <c r="E559" s="101"/>
      <c r="F559" s="112"/>
      <c r="G559" s="113"/>
    </row>
    <row r="560" spans="1:7" ht="12.75" customHeight="1">
      <c r="A560" s="110"/>
      <c r="B560" s="110"/>
      <c r="C560" s="110"/>
      <c r="D560" s="110"/>
      <c r="E560" s="101"/>
      <c r="F560" s="112"/>
      <c r="G560" s="113"/>
    </row>
    <row r="561" spans="1:7" ht="12.75" customHeight="1">
      <c r="A561" s="110"/>
      <c r="B561" s="110"/>
      <c r="C561" s="110"/>
      <c r="D561" s="110"/>
      <c r="E561" s="101"/>
      <c r="F561" s="112"/>
      <c r="G561" s="113"/>
    </row>
    <row r="562" spans="1:7" ht="12.75" customHeight="1">
      <c r="A562" s="116"/>
      <c r="B562" s="116"/>
      <c r="C562" s="116"/>
      <c r="D562" s="116"/>
      <c r="E562" s="101"/>
      <c r="F562" s="102" t="s">
        <v>189</v>
      </c>
      <c r="G562" s="114">
        <f t="shared" si="3"/>
        <v>161696.60999999999</v>
      </c>
    </row>
    <row r="563" spans="1:7" ht="12.75" customHeight="1">
      <c r="A563" s="1" t="s">
        <v>197</v>
      </c>
      <c r="B563" s="1"/>
      <c r="C563" s="1"/>
      <c r="D563" s="1"/>
      <c r="E563" s="1"/>
      <c r="F563" s="1"/>
      <c r="G563" s="1"/>
    </row>
    <row r="564" spans="1:7" ht="12.75" customHeight="1">
      <c r="A564" s="117" t="s">
        <v>198</v>
      </c>
      <c r="B564" s="117" t="s">
        <v>199</v>
      </c>
      <c r="C564" s="117" t="s">
        <v>200</v>
      </c>
      <c r="D564" s="117" t="s">
        <v>201</v>
      </c>
      <c r="E564" s="81" t="s">
        <v>186</v>
      </c>
      <c r="F564" s="108"/>
      <c r="G564" s="109"/>
    </row>
    <row r="565" spans="1:7" ht="12.75" customHeight="1">
      <c r="A565" s="110" t="s">
        <v>243</v>
      </c>
      <c r="B565" s="110"/>
      <c r="C565" s="110"/>
      <c r="D565" s="110"/>
      <c r="E565" s="101">
        <v>9000</v>
      </c>
      <c r="F565" s="112"/>
      <c r="G565" s="113"/>
    </row>
    <row r="566" spans="1:7" ht="12.75" customHeight="1">
      <c r="A566" s="63"/>
      <c r="B566" s="63"/>
      <c r="C566" s="63"/>
      <c r="D566" s="63"/>
      <c r="E566" s="113"/>
      <c r="F566" s="112"/>
      <c r="G566" s="113"/>
    </row>
    <row r="567" spans="1:7" ht="12.75" customHeight="1">
      <c r="A567" s="110"/>
      <c r="B567" s="110"/>
      <c r="C567" s="110"/>
      <c r="D567" s="110"/>
      <c r="E567" s="101"/>
      <c r="F567" s="112"/>
      <c r="G567" s="113"/>
    </row>
    <row r="568" spans="1:7" ht="12.75" customHeight="1">
      <c r="A568" s="110"/>
      <c r="B568" s="110"/>
      <c r="C568" s="110"/>
      <c r="D568" s="110"/>
      <c r="E568" s="101"/>
      <c r="F568" s="112"/>
      <c r="G568" s="113"/>
    </row>
    <row r="569" spans="1:7" ht="12.75" customHeight="1">
      <c r="A569" s="116"/>
      <c r="B569" s="116"/>
      <c r="C569" s="116"/>
      <c r="D569" s="116"/>
      <c r="E569" s="105"/>
      <c r="F569" s="102" t="s">
        <v>189</v>
      </c>
      <c r="G569" s="105">
        <f t="shared" si="4"/>
        <v>9000</v>
      </c>
    </row>
    <row r="570" spans="1:7" ht="12.75" customHeight="1">
      <c r="A570" s="1" t="s">
        <v>202</v>
      </c>
      <c r="B570" s="1"/>
      <c r="C570" s="1"/>
      <c r="D570" s="1"/>
      <c r="E570" s="1"/>
      <c r="F570" s="1"/>
      <c r="G570" s="1"/>
    </row>
    <row r="571" spans="1:7" ht="12.75" customHeight="1">
      <c r="A571" s="117" t="s">
        <v>203</v>
      </c>
      <c r="B571" s="80" t="s">
        <v>204</v>
      </c>
      <c r="C571" s="117" t="s">
        <v>205</v>
      </c>
      <c r="D571" s="80" t="s">
        <v>206</v>
      </c>
      <c r="E571" s="117" t="s">
        <v>207</v>
      </c>
      <c r="F571" s="80" t="s">
        <v>208</v>
      </c>
      <c r="G571" s="118"/>
    </row>
    <row r="572" spans="1:7" ht="12.75" customHeight="1">
      <c r="A572" s="110" t="s">
        <v>188</v>
      </c>
      <c r="B572" s="100">
        <f t="shared" ref="B572:B573" si="22">+B123</f>
        <v>150000</v>
      </c>
      <c r="C572" s="110">
        <f t="shared" si="5"/>
        <v>112500</v>
      </c>
      <c r="D572" s="100">
        <f t="shared" si="6"/>
        <v>262500</v>
      </c>
      <c r="E572" s="110">
        <v>5</v>
      </c>
      <c r="F572" s="119">
        <f t="shared" si="7"/>
        <v>52500</v>
      </c>
      <c r="G572" s="63"/>
    </row>
    <row r="573" spans="1:7" ht="12.75" customHeight="1">
      <c r="A573" s="63" t="s">
        <v>190</v>
      </c>
      <c r="B573" s="100">
        <f t="shared" si="22"/>
        <v>100000</v>
      </c>
      <c r="C573" s="111">
        <f t="shared" si="5"/>
        <v>75000</v>
      </c>
      <c r="D573" s="120">
        <f t="shared" si="6"/>
        <v>175000</v>
      </c>
      <c r="E573" s="110">
        <v>5</v>
      </c>
      <c r="F573" s="119">
        <f t="shared" si="7"/>
        <v>35000</v>
      </c>
      <c r="G573" s="63"/>
    </row>
    <row r="574" spans="1:7" ht="12.75" customHeight="1">
      <c r="A574" s="110"/>
      <c r="B574" s="100"/>
      <c r="C574" s="110"/>
      <c r="D574" s="100"/>
      <c r="E574" s="110"/>
      <c r="F574" s="101"/>
      <c r="G574" s="63"/>
    </row>
    <row r="575" spans="1:7" ht="12.75" customHeight="1">
      <c r="A575" s="63"/>
      <c r="B575" s="1"/>
      <c r="C575" s="63"/>
      <c r="D575" s="1"/>
      <c r="E575" s="63"/>
      <c r="F575" s="101"/>
      <c r="G575" s="63"/>
    </row>
    <row r="576" spans="1:7" ht="12.75" customHeight="1">
      <c r="A576" s="110"/>
      <c r="B576" s="100"/>
      <c r="C576" s="110"/>
      <c r="D576" s="100"/>
      <c r="E576" s="110"/>
      <c r="F576" s="101"/>
      <c r="G576" s="63"/>
    </row>
    <row r="577" spans="1:7" ht="12.75" customHeight="1">
      <c r="A577" s="116"/>
      <c r="B577" s="103"/>
      <c r="C577" s="116"/>
      <c r="D577" s="103"/>
      <c r="E577" s="116"/>
      <c r="F577" s="101"/>
      <c r="G577" s="116"/>
    </row>
    <row r="578" spans="1:7" ht="12.75" customHeight="1">
      <c r="A578" s="1"/>
      <c r="B578" s="1"/>
      <c r="C578" s="1"/>
      <c r="D578" s="1"/>
      <c r="E578" s="1"/>
      <c r="F578" s="1" t="s">
        <v>189</v>
      </c>
      <c r="G578" s="121">
        <f t="shared" si="8"/>
        <v>87500</v>
      </c>
    </row>
    <row r="579" spans="1:7" ht="12.75" customHeight="1">
      <c r="A579" s="1"/>
      <c r="B579" s="1"/>
      <c r="C579" s="1"/>
      <c r="D579" s="1"/>
      <c r="E579" s="1"/>
      <c r="F579" s="1"/>
      <c r="G579" s="1"/>
    </row>
    <row r="580" spans="1:7" ht="12.75" customHeight="1">
      <c r="A580" s="103" t="s">
        <v>209</v>
      </c>
      <c r="B580" s="1"/>
      <c r="C580" s="1" t="s">
        <v>210</v>
      </c>
      <c r="D580" s="473" t="s">
        <v>211</v>
      </c>
      <c r="E580" s="457"/>
      <c r="F580" s="457"/>
      <c r="G580" s="121">
        <f t="shared" si="9"/>
        <v>262571.61</v>
      </c>
    </row>
    <row r="581" spans="1:7" ht="12.75" customHeight="1">
      <c r="A581" s="1"/>
      <c r="B581" s="1"/>
      <c r="C581" s="1"/>
      <c r="D581" s="1"/>
      <c r="E581" s="1"/>
      <c r="F581" s="1"/>
      <c r="G581" s="1"/>
    </row>
    <row r="582" spans="1:7" ht="12.75" customHeight="1">
      <c r="A582" s="1"/>
      <c r="B582" s="1"/>
      <c r="C582" s="1"/>
      <c r="D582" s="1"/>
      <c r="E582" s="1" t="s">
        <v>212</v>
      </c>
      <c r="F582" s="1"/>
      <c r="G582" s="121">
        <f t="shared" si="10"/>
        <v>78771.482999999993</v>
      </c>
    </row>
    <row r="583" spans="1:7" ht="12.75" customHeight="1">
      <c r="A583" s="1"/>
      <c r="B583" s="1"/>
      <c r="C583" s="1"/>
      <c r="D583" s="1"/>
      <c r="E583" s="1"/>
      <c r="F583" s="1"/>
      <c r="G583" s="1"/>
    </row>
    <row r="584" spans="1:7" ht="12.75" customHeight="1">
      <c r="A584" s="103" t="s">
        <v>213</v>
      </c>
      <c r="B584" s="1"/>
      <c r="C584" s="1"/>
      <c r="D584" s="473" t="s">
        <v>214</v>
      </c>
      <c r="E584" s="457"/>
      <c r="F584" s="457"/>
      <c r="G584" s="121">
        <f t="shared" si="11"/>
        <v>341343.09299999999</v>
      </c>
    </row>
    <row r="585" spans="1:7" ht="15" customHeight="1">
      <c r="A585" s="468" t="s">
        <v>174</v>
      </c>
      <c r="B585" s="457"/>
      <c r="C585" s="457"/>
      <c r="D585" s="457"/>
      <c r="E585" s="457"/>
      <c r="F585" s="457"/>
      <c r="G585" s="457"/>
    </row>
    <row r="586" spans="1:7" ht="12.75" customHeight="1">
      <c r="A586" s="77"/>
      <c r="B586" s="77"/>
      <c r="C586" s="77"/>
      <c r="D586" s="77"/>
      <c r="E586" s="77"/>
      <c r="F586" s="77"/>
    </row>
    <row r="587" spans="1:7" ht="12.75" customHeight="1"/>
    <row r="588" spans="1:7" ht="12.75" customHeight="1">
      <c r="A588" s="1" t="s">
        <v>175</v>
      </c>
      <c r="B588" s="1"/>
      <c r="C588" s="1"/>
      <c r="D588" s="94"/>
      <c r="E588" s="94"/>
      <c r="F588" s="94"/>
      <c r="G588" s="94"/>
    </row>
    <row r="589" spans="1:7" ht="12.75" customHeight="1">
      <c r="A589" s="1" t="str">
        <f>+A4</f>
        <v xml:space="preserve">OBRA N°      Desarenador - Acueducto </v>
      </c>
      <c r="B589" s="1"/>
      <c r="C589" s="1"/>
      <c r="D589" s="1"/>
      <c r="F589" s="95" t="s">
        <v>177</v>
      </c>
      <c r="G589" s="96">
        <f t="shared" ca="1" si="0"/>
        <v>46289</v>
      </c>
    </row>
    <row r="590" spans="1:7" ht="12.75" customHeight="1">
      <c r="A590" s="1"/>
      <c r="B590" s="94"/>
      <c r="C590" s="94"/>
      <c r="D590" s="94"/>
      <c r="E590" s="94"/>
      <c r="F590" s="94"/>
      <c r="G590" s="94"/>
    </row>
    <row r="591" spans="1:7" ht="12.75" customHeight="1">
      <c r="A591" s="1"/>
      <c r="B591" s="1"/>
      <c r="C591" s="1"/>
      <c r="D591" s="1"/>
      <c r="E591" s="1"/>
      <c r="F591" s="1"/>
      <c r="G591" s="1"/>
    </row>
    <row r="592" spans="1:7" ht="12.75" customHeight="1">
      <c r="A592" s="99" t="s">
        <v>356</v>
      </c>
      <c r="B592" s="100" t="s">
        <v>357</v>
      </c>
      <c r="C592" s="100"/>
      <c r="D592" s="100"/>
      <c r="E592" s="100"/>
      <c r="F592" s="100"/>
      <c r="G592" s="101"/>
    </row>
    <row r="593" spans="1:7" ht="12.75" customHeight="1">
      <c r="A593" s="102"/>
      <c r="B593" s="103"/>
      <c r="C593" s="103" t="s">
        <v>179</v>
      </c>
      <c r="D593" s="135">
        <v>3</v>
      </c>
      <c r="E593" s="103" t="s">
        <v>180</v>
      </c>
      <c r="F593" s="103" t="s">
        <v>262</v>
      </c>
      <c r="G593" s="105"/>
    </row>
    <row r="594" spans="1:7" ht="12.75" customHeight="1">
      <c r="A594" s="1" t="s">
        <v>182</v>
      </c>
      <c r="B594" s="1"/>
      <c r="C594" s="1"/>
      <c r="D594" s="1"/>
      <c r="E594" s="1"/>
      <c r="F594" s="1"/>
      <c r="G594" s="1"/>
    </row>
    <row r="595" spans="1:7" ht="12.75" customHeight="1">
      <c r="A595" s="106" t="s">
        <v>111</v>
      </c>
      <c r="B595" s="107" t="s">
        <v>183</v>
      </c>
      <c r="C595" s="106" t="s">
        <v>184</v>
      </c>
      <c r="D595" s="107" t="s">
        <v>185</v>
      </c>
      <c r="E595" s="106" t="s">
        <v>186</v>
      </c>
      <c r="F595" s="108"/>
      <c r="G595" s="109"/>
    </row>
    <row r="596" spans="1:7" ht="12.75" customHeight="1">
      <c r="A596" s="110" t="s">
        <v>187</v>
      </c>
      <c r="B596" s="100"/>
      <c r="C596" s="110"/>
      <c r="D596" s="100"/>
      <c r="E596" s="111">
        <f t="shared" si="1"/>
        <v>2734.375</v>
      </c>
      <c r="F596" s="112"/>
      <c r="G596" s="113"/>
    </row>
    <row r="597" spans="1:7" ht="12.75" customHeight="1">
      <c r="A597" s="110"/>
      <c r="B597" s="110"/>
      <c r="C597" s="110"/>
      <c r="D597" s="110"/>
      <c r="E597" s="101"/>
      <c r="F597" s="112"/>
      <c r="G597" s="113"/>
    </row>
    <row r="598" spans="1:7" ht="12.75" customHeight="1">
      <c r="A598" s="110"/>
      <c r="B598" s="110"/>
      <c r="C598" s="110"/>
      <c r="D598" s="110"/>
      <c r="E598" s="101"/>
      <c r="F598" s="112"/>
      <c r="G598" s="113"/>
    </row>
    <row r="599" spans="1:7" ht="12.75" customHeight="1">
      <c r="A599" s="110"/>
      <c r="B599" s="110"/>
      <c r="C599" s="110"/>
      <c r="D599" s="110"/>
      <c r="E599" s="101"/>
      <c r="F599" s="102" t="s">
        <v>189</v>
      </c>
      <c r="G599" s="114">
        <f t="shared" si="2"/>
        <v>2734.375</v>
      </c>
    </row>
    <row r="600" spans="1:7" ht="12.75" customHeight="1">
      <c r="A600" s="1" t="s">
        <v>191</v>
      </c>
      <c r="B600" s="1"/>
      <c r="C600" s="1"/>
      <c r="D600" s="1"/>
      <c r="E600" s="1"/>
      <c r="F600" s="1"/>
      <c r="G600" s="1"/>
    </row>
    <row r="601" spans="1:7" ht="12.75" customHeight="1">
      <c r="A601" s="115" t="s">
        <v>111</v>
      </c>
      <c r="B601" s="106" t="s">
        <v>193</v>
      </c>
      <c r="C601" s="80" t="s">
        <v>194</v>
      </c>
      <c r="D601" s="106" t="s">
        <v>195</v>
      </c>
      <c r="E601" s="81" t="s">
        <v>186</v>
      </c>
      <c r="F601" s="108"/>
      <c r="G601" s="109"/>
    </row>
    <row r="602" spans="1:7" ht="12.75" customHeight="1">
      <c r="A602" s="110" t="s">
        <v>358</v>
      </c>
      <c r="B602" s="106" t="s">
        <v>193</v>
      </c>
      <c r="C602" s="111">
        <f>(15900*1.19)</f>
        <v>18921</v>
      </c>
      <c r="D602" s="110">
        <v>1</v>
      </c>
      <c r="E602" s="119">
        <f t="shared" si="12"/>
        <v>18921</v>
      </c>
      <c r="F602" s="112"/>
      <c r="G602" s="113"/>
    </row>
    <row r="603" spans="1:7" ht="12.75" customHeight="1">
      <c r="A603" s="63" t="s">
        <v>285</v>
      </c>
      <c r="B603" s="123" t="s">
        <v>273</v>
      </c>
      <c r="C603" s="63">
        <v>1000</v>
      </c>
      <c r="D603" s="63">
        <v>1</v>
      </c>
      <c r="E603" s="101">
        <f t="shared" si="12"/>
        <v>1000</v>
      </c>
      <c r="F603" s="112"/>
      <c r="G603" s="113"/>
    </row>
    <row r="604" spans="1:7" ht="12.75" customHeight="1">
      <c r="A604" s="110"/>
      <c r="B604" s="106"/>
      <c r="C604" s="110"/>
      <c r="D604" s="110"/>
      <c r="E604" s="101"/>
      <c r="F604" s="112"/>
      <c r="G604" s="113"/>
    </row>
    <row r="605" spans="1:7" ht="12.75" customHeight="1">
      <c r="A605" s="63"/>
      <c r="B605" s="63"/>
      <c r="C605" s="63"/>
      <c r="D605" s="63"/>
      <c r="E605" s="101"/>
      <c r="F605" s="112"/>
      <c r="G605" s="113"/>
    </row>
    <row r="606" spans="1:7" ht="12.75" customHeight="1">
      <c r="A606" s="110"/>
      <c r="B606" s="110"/>
      <c r="C606" s="110"/>
      <c r="D606" s="110"/>
      <c r="E606" s="101"/>
      <c r="F606" s="112"/>
      <c r="G606" s="113"/>
    </row>
    <row r="607" spans="1:7" ht="12.75" customHeight="1">
      <c r="A607" s="110"/>
      <c r="B607" s="110"/>
      <c r="C607" s="110"/>
      <c r="D607" s="110"/>
      <c r="E607" s="101"/>
      <c r="F607" s="112"/>
      <c r="G607" s="113"/>
    </row>
    <row r="608" spans="1:7" ht="12.75" customHeight="1">
      <c r="A608" s="116"/>
      <c r="B608" s="116"/>
      <c r="C608" s="116"/>
      <c r="D608" s="116"/>
      <c r="E608" s="101"/>
      <c r="F608" s="102" t="s">
        <v>189</v>
      </c>
      <c r="G608" s="114">
        <f t="shared" si="3"/>
        <v>19921</v>
      </c>
    </row>
    <row r="609" spans="1:7" ht="15" customHeight="1">
      <c r="A609" s="1" t="s">
        <v>197</v>
      </c>
      <c r="B609" s="1"/>
      <c r="C609" s="1"/>
      <c r="D609" s="1"/>
      <c r="E609" s="1"/>
      <c r="F609" s="1"/>
      <c r="G609" s="1"/>
    </row>
    <row r="610" spans="1:7" ht="12.75" customHeight="1">
      <c r="A610" s="117" t="s">
        <v>198</v>
      </c>
      <c r="B610" s="117" t="s">
        <v>199</v>
      </c>
      <c r="C610" s="117" t="s">
        <v>200</v>
      </c>
      <c r="D610" s="117" t="s">
        <v>201</v>
      </c>
      <c r="E610" s="81" t="s">
        <v>186</v>
      </c>
      <c r="F610" s="108"/>
      <c r="G610" s="109"/>
    </row>
    <row r="611" spans="1:7" ht="12.75" customHeight="1">
      <c r="A611" s="110" t="s">
        <v>243</v>
      </c>
      <c r="B611" s="110"/>
      <c r="C611" s="110"/>
      <c r="D611" s="110"/>
      <c r="E611" s="101">
        <v>5000</v>
      </c>
      <c r="F611" s="112"/>
      <c r="G611" s="113"/>
    </row>
    <row r="612" spans="1:7" ht="12.75" customHeight="1">
      <c r="A612" s="63"/>
      <c r="B612" s="63"/>
      <c r="C612" s="63"/>
      <c r="D612" s="63"/>
      <c r="E612" s="113"/>
      <c r="F612" s="112"/>
      <c r="G612" s="113"/>
    </row>
    <row r="613" spans="1:7" ht="12.75" customHeight="1">
      <c r="A613" s="110"/>
      <c r="B613" s="110"/>
      <c r="C613" s="110"/>
      <c r="D613" s="110"/>
      <c r="E613" s="101"/>
      <c r="F613" s="112"/>
      <c r="G613" s="113"/>
    </row>
    <row r="614" spans="1:7" ht="12.75" customHeight="1">
      <c r="A614" s="110"/>
      <c r="B614" s="110"/>
      <c r="C614" s="110"/>
      <c r="D614" s="110"/>
      <c r="E614" s="101"/>
      <c r="F614" s="112"/>
      <c r="G614" s="113"/>
    </row>
    <row r="615" spans="1:7" ht="12.75" customHeight="1">
      <c r="A615" s="116"/>
      <c r="B615" s="116"/>
      <c r="C615" s="116"/>
      <c r="D615" s="116"/>
      <c r="E615" s="105"/>
      <c r="F615" s="102" t="s">
        <v>189</v>
      </c>
      <c r="G615" s="105">
        <f t="shared" si="4"/>
        <v>5000</v>
      </c>
    </row>
    <row r="616" spans="1:7" ht="12.75" customHeight="1">
      <c r="A616" s="1" t="s">
        <v>202</v>
      </c>
      <c r="B616" s="1"/>
      <c r="C616" s="1"/>
      <c r="D616" s="1"/>
      <c r="E616" s="1"/>
      <c r="F616" s="1"/>
      <c r="G616" s="1"/>
    </row>
    <row r="617" spans="1:7" ht="12.75" customHeight="1">
      <c r="A617" s="117" t="s">
        <v>203</v>
      </c>
      <c r="B617" s="80" t="s">
        <v>204</v>
      </c>
      <c r="C617" s="117" t="s">
        <v>205</v>
      </c>
      <c r="D617" s="80" t="s">
        <v>206</v>
      </c>
      <c r="E617" s="117" t="s">
        <v>207</v>
      </c>
      <c r="F617" s="80" t="s">
        <v>208</v>
      </c>
      <c r="G617" s="118"/>
    </row>
    <row r="618" spans="1:7" ht="12.75" customHeight="1">
      <c r="A618" s="110" t="s">
        <v>188</v>
      </c>
      <c r="B618" s="100">
        <f t="shared" ref="B618:B619" si="23">+B123</f>
        <v>150000</v>
      </c>
      <c r="C618" s="110">
        <f t="shared" si="5"/>
        <v>112500</v>
      </c>
      <c r="D618" s="100">
        <f t="shared" si="6"/>
        <v>262500</v>
      </c>
      <c r="E618" s="110">
        <v>8</v>
      </c>
      <c r="F618" s="119">
        <f t="shared" si="7"/>
        <v>32812.5</v>
      </c>
      <c r="G618" s="63"/>
    </row>
    <row r="619" spans="1:7" ht="12.75" customHeight="1">
      <c r="A619" s="63" t="s">
        <v>190</v>
      </c>
      <c r="B619" s="100">
        <f t="shared" si="23"/>
        <v>100000</v>
      </c>
      <c r="C619" s="111">
        <f t="shared" si="5"/>
        <v>75000</v>
      </c>
      <c r="D619" s="120">
        <f t="shared" si="6"/>
        <v>175000</v>
      </c>
      <c r="E619" s="110">
        <v>8</v>
      </c>
      <c r="F619" s="119">
        <f t="shared" si="7"/>
        <v>21875</v>
      </c>
      <c r="G619" s="63"/>
    </row>
    <row r="620" spans="1:7" ht="12.75" customHeight="1">
      <c r="A620" s="110"/>
      <c r="B620" s="100"/>
      <c r="C620" s="110"/>
      <c r="D620" s="100"/>
      <c r="E620" s="110"/>
      <c r="F620" s="101"/>
      <c r="G620" s="63"/>
    </row>
    <row r="621" spans="1:7" ht="12.75" customHeight="1">
      <c r="A621" s="63"/>
      <c r="B621" s="1"/>
      <c r="C621" s="63"/>
      <c r="D621" s="1"/>
      <c r="E621" s="63"/>
      <c r="F621" s="101"/>
      <c r="G621" s="63"/>
    </row>
    <row r="622" spans="1:7" ht="12.75" customHeight="1">
      <c r="A622" s="110"/>
      <c r="B622" s="100"/>
      <c r="C622" s="110"/>
      <c r="D622" s="100"/>
      <c r="E622" s="110"/>
      <c r="F622" s="101"/>
      <c r="G622" s="63"/>
    </row>
    <row r="623" spans="1:7" ht="12.75" customHeight="1">
      <c r="A623" s="116"/>
      <c r="B623" s="103"/>
      <c r="C623" s="116"/>
      <c r="D623" s="103"/>
      <c r="E623" s="116"/>
      <c r="F623" s="101"/>
      <c r="G623" s="116"/>
    </row>
    <row r="624" spans="1:7" ht="12.75" customHeight="1">
      <c r="A624" s="1"/>
      <c r="B624" s="1"/>
      <c r="C624" s="1"/>
      <c r="D624" s="1"/>
      <c r="E624" s="1"/>
      <c r="F624" s="1" t="s">
        <v>189</v>
      </c>
      <c r="G624" s="121">
        <f t="shared" si="8"/>
        <v>54687.5</v>
      </c>
    </row>
    <row r="625" spans="1:7" ht="12.75" customHeight="1">
      <c r="A625" s="1"/>
      <c r="B625" s="1"/>
      <c r="C625" s="1"/>
      <c r="D625" s="1"/>
      <c r="E625" s="1"/>
      <c r="F625" s="1"/>
      <c r="G625" s="1"/>
    </row>
    <row r="626" spans="1:7" ht="12.75" customHeight="1">
      <c r="A626" s="103" t="s">
        <v>209</v>
      </c>
      <c r="B626" s="1"/>
      <c r="C626" s="1" t="s">
        <v>210</v>
      </c>
      <c r="D626" s="473" t="s">
        <v>211</v>
      </c>
      <c r="E626" s="457"/>
      <c r="F626" s="457"/>
      <c r="G626" s="121">
        <f t="shared" si="9"/>
        <v>82342.875</v>
      </c>
    </row>
    <row r="627" spans="1:7" ht="12.75" customHeight="1">
      <c r="A627" s="1"/>
      <c r="B627" s="1"/>
      <c r="C627" s="1"/>
      <c r="D627" s="1"/>
      <c r="E627" s="1"/>
      <c r="F627" s="1"/>
      <c r="G627" s="1"/>
    </row>
    <row r="628" spans="1:7" ht="12.75" customHeight="1">
      <c r="A628" s="1"/>
      <c r="B628" s="1"/>
      <c r="C628" s="1"/>
      <c r="D628" s="1"/>
      <c r="E628" s="1" t="s">
        <v>212</v>
      </c>
      <c r="F628" s="1"/>
      <c r="G628" s="121">
        <f t="shared" si="10"/>
        <v>24702.862499999999</v>
      </c>
    </row>
    <row r="629" spans="1:7" ht="12.75" customHeight="1">
      <c r="A629" s="1"/>
      <c r="B629" s="1"/>
      <c r="C629" s="1"/>
      <c r="D629" s="1"/>
      <c r="E629" s="1"/>
      <c r="F629" s="1"/>
      <c r="G629" s="1"/>
    </row>
    <row r="630" spans="1:7" ht="12.75" customHeight="1">
      <c r="A630" s="103" t="s">
        <v>213</v>
      </c>
      <c r="B630" s="1"/>
      <c r="C630" s="1"/>
      <c r="D630" s="473" t="s">
        <v>214</v>
      </c>
      <c r="E630" s="457"/>
      <c r="F630" s="457"/>
      <c r="G630" s="121">
        <f t="shared" si="11"/>
        <v>107045.7375</v>
      </c>
    </row>
    <row r="631" spans="1:7" ht="15" customHeight="1">
      <c r="A631" s="468" t="s">
        <v>174</v>
      </c>
      <c r="B631" s="457"/>
      <c r="C631" s="457"/>
      <c r="D631" s="457"/>
      <c r="E631" s="457"/>
      <c r="F631" s="457"/>
      <c r="G631" s="457"/>
    </row>
    <row r="632" spans="1:7" ht="12.75" customHeight="1"/>
    <row r="633" spans="1:7" ht="12.75" customHeight="1">
      <c r="A633" s="1" t="s">
        <v>175</v>
      </c>
      <c r="B633" s="1"/>
      <c r="C633" s="1"/>
      <c r="D633" s="94"/>
      <c r="E633" s="94"/>
      <c r="F633" s="94"/>
      <c r="G633" s="94"/>
    </row>
    <row r="634" spans="1:7" ht="12.75" customHeight="1">
      <c r="A634" s="1" t="str">
        <f>+A4</f>
        <v xml:space="preserve">OBRA N°      Desarenador - Acueducto </v>
      </c>
      <c r="B634" s="1"/>
      <c r="C634" s="1"/>
      <c r="D634" s="1"/>
      <c r="F634" s="95" t="s">
        <v>177</v>
      </c>
      <c r="G634" s="96">
        <f t="shared" ca="1" si="0"/>
        <v>46289</v>
      </c>
    </row>
    <row r="635" spans="1:7" ht="12.75" customHeight="1">
      <c r="A635" s="94"/>
      <c r="B635" s="94"/>
      <c r="C635" s="94"/>
      <c r="D635" s="94"/>
      <c r="E635" s="94"/>
      <c r="F635" s="94"/>
      <c r="G635" s="94"/>
    </row>
    <row r="636" spans="1:7" ht="36.75" customHeight="1">
      <c r="A636" s="99" t="s">
        <v>275</v>
      </c>
      <c r="B636" s="536" t="s">
        <v>62</v>
      </c>
      <c r="C636" s="457"/>
      <c r="D636" s="457"/>
      <c r="E636" s="457"/>
      <c r="F636" s="457"/>
      <c r="G636" s="533"/>
    </row>
    <row r="637" spans="1:7" ht="12.75" customHeight="1">
      <c r="A637" s="102"/>
      <c r="B637" s="103"/>
      <c r="C637" s="103" t="s">
        <v>179</v>
      </c>
      <c r="D637" s="104">
        <v>1</v>
      </c>
      <c r="E637" s="103" t="s">
        <v>180</v>
      </c>
      <c r="F637" s="103" t="s">
        <v>262</v>
      </c>
      <c r="G637" s="105"/>
    </row>
    <row r="638" spans="1:7" ht="12.75" customHeight="1">
      <c r="A638" s="1" t="s">
        <v>182</v>
      </c>
      <c r="B638" s="1"/>
      <c r="C638" s="1"/>
      <c r="D638" s="1"/>
      <c r="E638" s="1"/>
      <c r="F638" s="1"/>
      <c r="G638" s="1"/>
    </row>
    <row r="639" spans="1:7" ht="12.75" customHeight="1">
      <c r="A639" s="106" t="s">
        <v>111</v>
      </c>
      <c r="B639" s="107" t="s">
        <v>183</v>
      </c>
      <c r="C639" s="106" t="s">
        <v>184</v>
      </c>
      <c r="D639" s="107" t="s">
        <v>185</v>
      </c>
      <c r="E639" s="106" t="s">
        <v>186</v>
      </c>
      <c r="F639" s="108"/>
      <c r="G639" s="109"/>
    </row>
    <row r="640" spans="1:7" ht="12.75" customHeight="1">
      <c r="A640" s="110" t="s">
        <v>187</v>
      </c>
      <c r="B640" s="100"/>
      <c r="C640" s="110"/>
      <c r="D640" s="100"/>
      <c r="E640" s="111">
        <f t="shared" si="1"/>
        <v>102083.33333333334</v>
      </c>
      <c r="F640" s="112"/>
      <c r="G640" s="113"/>
    </row>
    <row r="641" spans="1:7" ht="12.75" customHeight="1">
      <c r="A641" s="110"/>
      <c r="B641" s="110"/>
      <c r="C641" s="110"/>
      <c r="D641" s="110"/>
      <c r="E641" s="101"/>
      <c r="F641" s="112"/>
      <c r="G641" s="113"/>
    </row>
    <row r="642" spans="1:7" ht="12.75" customHeight="1">
      <c r="A642" s="110"/>
      <c r="B642" s="110"/>
      <c r="C642" s="110"/>
      <c r="D642" s="110"/>
      <c r="E642" s="101"/>
      <c r="F642" s="112"/>
      <c r="G642" s="113"/>
    </row>
    <row r="643" spans="1:7" ht="12.75" customHeight="1">
      <c r="A643" s="110"/>
      <c r="B643" s="110"/>
      <c r="C643" s="110"/>
      <c r="D643" s="110"/>
      <c r="E643" s="101"/>
      <c r="F643" s="102" t="s">
        <v>189</v>
      </c>
      <c r="G643" s="114">
        <f t="shared" si="2"/>
        <v>102083.33333333334</v>
      </c>
    </row>
    <row r="644" spans="1:7" ht="12.75" customHeight="1">
      <c r="A644" s="1" t="s">
        <v>191</v>
      </c>
      <c r="B644" s="1"/>
      <c r="C644" s="1"/>
      <c r="D644" s="1"/>
      <c r="E644" s="1"/>
      <c r="F644" s="1"/>
      <c r="G644" s="1"/>
    </row>
    <row r="645" spans="1:7" ht="12.75" customHeight="1">
      <c r="A645" s="115" t="s">
        <v>111</v>
      </c>
      <c r="B645" s="106" t="s">
        <v>193</v>
      </c>
      <c r="C645" s="80" t="s">
        <v>194</v>
      </c>
      <c r="D645" s="106" t="s">
        <v>195</v>
      </c>
      <c r="E645" s="81" t="s">
        <v>186</v>
      </c>
      <c r="F645" s="108"/>
      <c r="G645" s="109"/>
    </row>
    <row r="646" spans="1:7" ht="12.75" customHeight="1">
      <c r="A646" s="110" t="s">
        <v>277</v>
      </c>
      <c r="B646" s="106"/>
      <c r="C646" s="110"/>
      <c r="D646" s="122"/>
      <c r="E646" s="101"/>
      <c r="F646" s="112"/>
      <c r="G646" s="113"/>
    </row>
    <row r="647" spans="1:7" ht="12.75" customHeight="1">
      <c r="A647" s="110" t="s">
        <v>278</v>
      </c>
      <c r="B647" s="106"/>
      <c r="C647" s="110"/>
      <c r="D647" s="110"/>
      <c r="E647" s="101"/>
      <c r="F647" s="112"/>
      <c r="G647" s="113"/>
    </row>
    <row r="648" spans="1:7" ht="12.75" customHeight="1">
      <c r="A648" s="110" t="s">
        <v>279</v>
      </c>
      <c r="B648" s="106"/>
      <c r="C648" s="110"/>
      <c r="D648" s="110"/>
      <c r="E648" s="101"/>
      <c r="F648" s="112"/>
      <c r="G648" s="113"/>
    </row>
    <row r="649" spans="1:7" ht="12.75" customHeight="1">
      <c r="A649" s="63" t="s">
        <v>280</v>
      </c>
      <c r="B649" s="123"/>
      <c r="C649" s="63"/>
      <c r="D649" s="63"/>
      <c r="E649" s="101"/>
      <c r="F649" s="112"/>
      <c r="G649" s="113"/>
    </row>
    <row r="650" spans="1:7" ht="12.75" customHeight="1">
      <c r="A650" s="110" t="s">
        <v>281</v>
      </c>
      <c r="B650" s="110"/>
      <c r="C650" s="110"/>
      <c r="D650" s="110"/>
      <c r="E650" s="101">
        <f>1.19*1550000</f>
        <v>1844500</v>
      </c>
      <c r="F650" s="112"/>
      <c r="G650" s="113"/>
    </row>
    <row r="651" spans="1:7" ht="12.75" customHeight="1">
      <c r="A651" s="110"/>
      <c r="B651" s="110"/>
      <c r="C651" s="110"/>
      <c r="D651" s="110"/>
      <c r="E651" s="101"/>
      <c r="F651" s="112"/>
      <c r="G651" s="113"/>
    </row>
    <row r="652" spans="1:7" ht="12.75" customHeight="1">
      <c r="A652" s="116"/>
      <c r="B652" s="116"/>
      <c r="C652" s="116"/>
      <c r="D652" s="116"/>
      <c r="E652" s="101"/>
      <c r="F652" s="102" t="s">
        <v>189</v>
      </c>
      <c r="G652" s="105">
        <f t="shared" si="3"/>
        <v>1844500</v>
      </c>
    </row>
    <row r="653" spans="1:7" ht="12.75" customHeight="1">
      <c r="A653" s="1" t="s">
        <v>197</v>
      </c>
      <c r="B653" s="1"/>
      <c r="C653" s="1"/>
      <c r="D653" s="1"/>
      <c r="E653" s="1"/>
      <c r="F653" s="1"/>
      <c r="G653" s="1"/>
    </row>
    <row r="654" spans="1:7" ht="12.75" customHeight="1">
      <c r="A654" s="117" t="s">
        <v>198</v>
      </c>
      <c r="B654" s="117" t="s">
        <v>199</v>
      </c>
      <c r="C654" s="117" t="s">
        <v>200</v>
      </c>
      <c r="D654" s="117" t="s">
        <v>201</v>
      </c>
      <c r="E654" s="81" t="s">
        <v>186</v>
      </c>
      <c r="F654" s="108"/>
      <c r="G654" s="109"/>
    </row>
    <row r="655" spans="1:7" ht="12.75" customHeight="1">
      <c r="A655" s="110" t="s">
        <v>243</v>
      </c>
      <c r="B655" s="110"/>
      <c r="C655" s="110"/>
      <c r="D655" s="110"/>
      <c r="E655" s="101">
        <v>500000</v>
      </c>
      <c r="F655" s="112"/>
      <c r="G655" s="113"/>
    </row>
    <row r="656" spans="1:7" ht="12.75" customHeight="1">
      <c r="A656" s="63"/>
      <c r="B656" s="63"/>
      <c r="C656" s="63"/>
      <c r="D656" s="63"/>
      <c r="E656" s="113"/>
      <c r="F656" s="112"/>
      <c r="G656" s="113"/>
    </row>
    <row r="657" spans="1:7" ht="12.75" customHeight="1">
      <c r="A657" s="110"/>
      <c r="B657" s="110"/>
      <c r="C657" s="110"/>
      <c r="D657" s="110"/>
      <c r="E657" s="101"/>
      <c r="F657" s="112"/>
      <c r="G657" s="113"/>
    </row>
    <row r="658" spans="1:7" ht="12.75" customHeight="1">
      <c r="A658" s="110"/>
      <c r="B658" s="110"/>
      <c r="C658" s="110"/>
      <c r="D658" s="110"/>
      <c r="E658" s="101"/>
      <c r="F658" s="112"/>
      <c r="G658" s="113"/>
    </row>
    <row r="659" spans="1:7" ht="12.75" customHeight="1">
      <c r="A659" s="116"/>
      <c r="B659" s="116"/>
      <c r="C659" s="116"/>
      <c r="D659" s="116"/>
      <c r="E659" s="105"/>
      <c r="F659" s="102" t="s">
        <v>189</v>
      </c>
      <c r="G659" s="105">
        <f t="shared" si="4"/>
        <v>500000</v>
      </c>
    </row>
    <row r="660" spans="1:7" ht="12.75" customHeight="1">
      <c r="A660" s="1" t="s">
        <v>202</v>
      </c>
      <c r="B660" s="1"/>
      <c r="C660" s="1"/>
      <c r="D660" s="1"/>
      <c r="E660" s="1"/>
      <c r="F660" s="1"/>
      <c r="G660" s="1"/>
    </row>
    <row r="661" spans="1:7" ht="12.75" customHeight="1">
      <c r="A661" s="117" t="s">
        <v>203</v>
      </c>
      <c r="B661" s="80" t="s">
        <v>204</v>
      </c>
      <c r="C661" s="117" t="s">
        <v>205</v>
      </c>
      <c r="D661" s="80" t="s">
        <v>206</v>
      </c>
      <c r="E661" s="117" t="s">
        <v>207</v>
      </c>
      <c r="F661" s="80" t="s">
        <v>208</v>
      </c>
      <c r="G661" s="118"/>
    </row>
    <row r="662" spans="1:7" ht="12.75" customHeight="1">
      <c r="A662" s="110" t="s">
        <v>188</v>
      </c>
      <c r="B662" s="100">
        <f t="shared" si="21"/>
        <v>150000</v>
      </c>
      <c r="C662" s="111">
        <f t="shared" si="5"/>
        <v>112500</v>
      </c>
      <c r="D662" s="120">
        <f t="shared" si="6"/>
        <v>262500</v>
      </c>
      <c r="E662" s="127">
        <v>0.3</v>
      </c>
      <c r="F662" s="119">
        <f t="shared" si="7"/>
        <v>875000</v>
      </c>
      <c r="G662" s="63"/>
    </row>
    <row r="663" spans="1:7" ht="12.75" customHeight="1">
      <c r="A663" s="63" t="s">
        <v>227</v>
      </c>
      <c r="B663" s="100">
        <f>+B124*2</f>
        <v>200000</v>
      </c>
      <c r="C663" s="111">
        <f t="shared" si="5"/>
        <v>150000</v>
      </c>
      <c r="D663" s="120">
        <f t="shared" si="6"/>
        <v>350000</v>
      </c>
      <c r="E663" s="127">
        <v>0.3</v>
      </c>
      <c r="F663" s="119">
        <f t="shared" si="7"/>
        <v>1166666.6666666667</v>
      </c>
      <c r="G663" s="63"/>
    </row>
    <row r="664" spans="1:7" ht="12.75" customHeight="1">
      <c r="A664" s="110"/>
      <c r="B664" s="100"/>
      <c r="C664" s="110"/>
      <c r="D664" s="100"/>
      <c r="E664" s="110"/>
      <c r="F664" s="101"/>
      <c r="G664" s="63"/>
    </row>
    <row r="665" spans="1:7" ht="12.75" customHeight="1">
      <c r="A665" s="63"/>
      <c r="B665" s="1"/>
      <c r="C665" s="63"/>
      <c r="D665" s="1"/>
      <c r="E665" s="63"/>
      <c r="F665" s="101"/>
      <c r="G665" s="63"/>
    </row>
    <row r="666" spans="1:7" ht="12.75" customHeight="1">
      <c r="A666" s="110"/>
      <c r="B666" s="100"/>
      <c r="C666" s="110"/>
      <c r="D666" s="100"/>
      <c r="E666" s="110"/>
      <c r="F666" s="101"/>
      <c r="G666" s="63"/>
    </row>
    <row r="667" spans="1:7" ht="12.75" customHeight="1">
      <c r="A667" s="116"/>
      <c r="B667" s="103"/>
      <c r="C667" s="116"/>
      <c r="D667" s="103"/>
      <c r="E667" s="116"/>
      <c r="F667" s="101"/>
      <c r="G667" s="116"/>
    </row>
    <row r="668" spans="1:7" ht="12.75" customHeight="1">
      <c r="A668" s="1"/>
      <c r="B668" s="1"/>
      <c r="C668" s="1"/>
      <c r="D668" s="1"/>
      <c r="E668" s="1"/>
      <c r="F668" s="1" t="s">
        <v>189</v>
      </c>
      <c r="G668" s="121">
        <f t="shared" si="8"/>
        <v>2041666.6666666667</v>
      </c>
    </row>
    <row r="669" spans="1:7" ht="12.75" customHeight="1">
      <c r="A669" s="1"/>
      <c r="B669" s="1"/>
      <c r="C669" s="1"/>
      <c r="D669" s="1"/>
      <c r="E669" s="1"/>
      <c r="F669" s="1"/>
      <c r="G669" s="1"/>
    </row>
    <row r="670" spans="1:7" ht="12.75" customHeight="1">
      <c r="A670" s="103" t="s">
        <v>209</v>
      </c>
      <c r="B670" s="1"/>
      <c r="C670" s="1" t="s">
        <v>210</v>
      </c>
      <c r="D670" s="473" t="s">
        <v>211</v>
      </c>
      <c r="E670" s="457"/>
      <c r="F670" s="457"/>
      <c r="G670" s="121">
        <f t="shared" si="9"/>
        <v>4488250</v>
      </c>
    </row>
    <row r="671" spans="1:7" ht="12.75" customHeight="1">
      <c r="A671" s="1"/>
      <c r="B671" s="1"/>
      <c r="C671" s="1"/>
      <c r="D671" s="1"/>
      <c r="E671" s="1"/>
      <c r="F671" s="1"/>
      <c r="G671" s="1"/>
    </row>
    <row r="672" spans="1:7" ht="12.75" customHeight="1">
      <c r="A672" s="1"/>
      <c r="B672" s="1"/>
      <c r="C672" s="1"/>
      <c r="D672" s="1"/>
      <c r="E672" s="1" t="s">
        <v>212</v>
      </c>
      <c r="F672" s="1"/>
      <c r="G672" s="121">
        <f t="shared" si="10"/>
        <v>1346475</v>
      </c>
    </row>
    <row r="673" spans="1:7" ht="12.75" customHeight="1">
      <c r="A673" s="1"/>
      <c r="B673" s="1"/>
      <c r="C673" s="1"/>
      <c r="D673" s="1"/>
      <c r="E673" s="1"/>
      <c r="F673" s="1"/>
      <c r="G673" s="1"/>
    </row>
    <row r="674" spans="1:7" ht="12.75" customHeight="1">
      <c r="A674" s="103" t="s">
        <v>213</v>
      </c>
      <c r="B674" s="1"/>
      <c r="C674" s="1"/>
      <c r="D674" s="473" t="s">
        <v>214</v>
      </c>
      <c r="E674" s="457"/>
      <c r="F674" s="457"/>
      <c r="G674" s="121">
        <f t="shared" si="11"/>
        <v>5834725</v>
      </c>
    </row>
    <row r="675" spans="1:7" ht="15" customHeight="1">
      <c r="A675" s="468" t="s">
        <v>174</v>
      </c>
      <c r="B675" s="457"/>
      <c r="C675" s="457"/>
      <c r="D675" s="457"/>
      <c r="E675" s="457"/>
      <c r="F675" s="457"/>
      <c r="G675" s="457"/>
    </row>
    <row r="676" spans="1:7" ht="12.75" customHeight="1"/>
    <row r="677" spans="1:7" ht="12.75" customHeight="1">
      <c r="A677" s="1" t="s">
        <v>175</v>
      </c>
      <c r="B677" s="1"/>
      <c r="C677" s="1"/>
      <c r="D677" s="94"/>
      <c r="E677" s="94"/>
      <c r="F677" s="94"/>
      <c r="G677" s="94"/>
    </row>
    <row r="678" spans="1:7" ht="12.75" customHeight="1">
      <c r="A678" s="1" t="str">
        <f>+A4</f>
        <v xml:space="preserve">OBRA N°      Desarenador - Acueducto </v>
      </c>
      <c r="B678" s="1"/>
      <c r="C678" s="1"/>
      <c r="D678" s="1"/>
      <c r="F678" s="95" t="s">
        <v>177</v>
      </c>
      <c r="G678" s="96">
        <f t="shared" ca="1" si="0"/>
        <v>46289</v>
      </c>
    </row>
    <row r="679" spans="1:7" ht="12.75" customHeight="1">
      <c r="A679" s="94"/>
      <c r="B679" s="94"/>
      <c r="C679" s="94"/>
      <c r="D679" s="94"/>
      <c r="E679" s="94"/>
      <c r="F679" s="94"/>
      <c r="G679" s="94"/>
    </row>
    <row r="680" spans="1:7" ht="24" customHeight="1">
      <c r="A680" s="99" t="s">
        <v>282</v>
      </c>
      <c r="B680" s="535" t="s">
        <v>63</v>
      </c>
      <c r="C680" s="457"/>
      <c r="D680" s="457"/>
      <c r="E680" s="457"/>
      <c r="F680" s="457"/>
      <c r="G680" s="533"/>
    </row>
    <row r="681" spans="1:7" ht="12.75" customHeight="1">
      <c r="A681" s="102"/>
      <c r="B681" s="103"/>
      <c r="C681" s="103" t="s">
        <v>179</v>
      </c>
      <c r="D681" s="104">
        <v>1</v>
      </c>
      <c r="E681" s="103" t="s">
        <v>180</v>
      </c>
      <c r="F681" s="103" t="s">
        <v>262</v>
      </c>
      <c r="G681" s="105"/>
    </row>
    <row r="682" spans="1:7" ht="12.75" customHeight="1">
      <c r="A682" s="1" t="s">
        <v>182</v>
      </c>
      <c r="B682" s="1"/>
      <c r="C682" s="1"/>
      <c r="D682" s="1"/>
      <c r="E682" s="1"/>
      <c r="F682" s="1"/>
      <c r="G682" s="1"/>
    </row>
    <row r="683" spans="1:7" ht="12.75" customHeight="1">
      <c r="A683" s="106" t="s">
        <v>111</v>
      </c>
      <c r="B683" s="107" t="s">
        <v>183</v>
      </c>
      <c r="C683" s="106" t="s">
        <v>184</v>
      </c>
      <c r="D683" s="107" t="s">
        <v>185</v>
      </c>
      <c r="E683" s="106" t="s">
        <v>186</v>
      </c>
      <c r="F683" s="108"/>
      <c r="G683" s="109"/>
    </row>
    <row r="684" spans="1:7" ht="12.75" customHeight="1">
      <c r="A684" s="110" t="s">
        <v>187</v>
      </c>
      <c r="B684" s="100"/>
      <c r="C684" s="110"/>
      <c r="D684" s="100"/>
      <c r="E684" s="111">
        <f t="shared" si="1"/>
        <v>51041.666666666672</v>
      </c>
      <c r="F684" s="112"/>
      <c r="G684" s="113"/>
    </row>
    <row r="685" spans="1:7" ht="12.75" customHeight="1">
      <c r="A685" s="110"/>
      <c r="B685" s="110"/>
      <c r="C685" s="110"/>
      <c r="D685" s="110"/>
      <c r="E685" s="101"/>
      <c r="F685" s="112"/>
      <c r="G685" s="113"/>
    </row>
    <row r="686" spans="1:7" ht="12.75" customHeight="1">
      <c r="A686" s="110"/>
      <c r="B686" s="110"/>
      <c r="C686" s="110"/>
      <c r="D686" s="110"/>
      <c r="E686" s="101"/>
      <c r="F686" s="112"/>
      <c r="G686" s="113"/>
    </row>
    <row r="687" spans="1:7" ht="12.75" customHeight="1">
      <c r="A687" s="110"/>
      <c r="B687" s="110"/>
      <c r="C687" s="110"/>
      <c r="D687" s="110"/>
      <c r="E687" s="101"/>
      <c r="F687" s="102" t="s">
        <v>189</v>
      </c>
      <c r="G687" s="114">
        <f t="shared" si="2"/>
        <v>51041.666666666672</v>
      </c>
    </row>
    <row r="688" spans="1:7" ht="12.75" customHeight="1">
      <c r="A688" s="1" t="s">
        <v>191</v>
      </c>
      <c r="B688" s="1"/>
      <c r="C688" s="1"/>
      <c r="D688" s="1"/>
      <c r="E688" s="1"/>
      <c r="F688" s="1"/>
      <c r="G688" s="1"/>
    </row>
    <row r="689" spans="1:7" ht="12.75" customHeight="1">
      <c r="A689" s="115" t="s">
        <v>111</v>
      </c>
      <c r="B689" s="106" t="s">
        <v>193</v>
      </c>
      <c r="C689" s="80" t="s">
        <v>194</v>
      </c>
      <c r="D689" s="106" t="s">
        <v>195</v>
      </c>
      <c r="E689" s="81" t="s">
        <v>186</v>
      </c>
      <c r="F689" s="108"/>
      <c r="G689" s="109"/>
    </row>
    <row r="690" spans="1:7" ht="12.75" customHeight="1">
      <c r="A690" s="110" t="s">
        <v>359</v>
      </c>
      <c r="B690" s="106"/>
      <c r="C690" s="110"/>
      <c r="D690" s="122"/>
      <c r="E690" s="101"/>
      <c r="F690" s="112"/>
      <c r="G690" s="113"/>
    </row>
    <row r="691" spans="1:7" ht="12.75" customHeight="1">
      <c r="A691" s="110" t="s">
        <v>360</v>
      </c>
      <c r="B691" s="106"/>
      <c r="C691" s="110"/>
      <c r="D691" s="110"/>
      <c r="E691" s="101"/>
      <c r="F691" s="112"/>
      <c r="G691" s="113"/>
    </row>
    <row r="692" spans="1:7" ht="12.75" customHeight="1">
      <c r="A692" s="110"/>
      <c r="B692" s="106"/>
      <c r="C692" s="110"/>
      <c r="D692" s="110"/>
      <c r="E692" s="101"/>
      <c r="F692" s="112"/>
      <c r="G692" s="113"/>
    </row>
    <row r="693" spans="1:7" ht="12.75" customHeight="1">
      <c r="A693" s="63"/>
      <c r="B693" s="123"/>
      <c r="C693" s="63"/>
      <c r="D693" s="63"/>
      <c r="E693" s="101"/>
      <c r="F693" s="112"/>
      <c r="G693" s="113"/>
    </row>
    <row r="694" spans="1:7" ht="12.75" customHeight="1">
      <c r="A694" s="110"/>
      <c r="B694" s="110"/>
      <c r="C694" s="110"/>
      <c r="D694" s="110"/>
      <c r="E694" s="101">
        <f>1.19*1025000</f>
        <v>1219750</v>
      </c>
      <c r="F694" s="112"/>
      <c r="G694" s="113"/>
    </row>
    <row r="695" spans="1:7" ht="12.75" customHeight="1">
      <c r="A695" s="110"/>
      <c r="B695" s="110"/>
      <c r="C695" s="110"/>
      <c r="D695" s="110"/>
      <c r="E695" s="101"/>
      <c r="F695" s="112"/>
      <c r="G695" s="113"/>
    </row>
    <row r="696" spans="1:7" ht="12.75" customHeight="1">
      <c r="A696" s="116"/>
      <c r="B696" s="116"/>
      <c r="C696" s="116"/>
      <c r="D696" s="116"/>
      <c r="E696" s="101"/>
      <c r="F696" s="102" t="s">
        <v>189</v>
      </c>
      <c r="G696" s="105">
        <f t="shared" si="3"/>
        <v>1219750</v>
      </c>
    </row>
    <row r="697" spans="1:7" ht="12.75" customHeight="1">
      <c r="A697" s="1" t="s">
        <v>197</v>
      </c>
      <c r="B697" s="1"/>
      <c r="C697" s="1"/>
      <c r="D697" s="1"/>
      <c r="E697" s="1"/>
      <c r="F697" s="1"/>
      <c r="G697" s="1"/>
    </row>
    <row r="698" spans="1:7" ht="12.75" customHeight="1">
      <c r="A698" s="117" t="s">
        <v>198</v>
      </c>
      <c r="B698" s="117" t="s">
        <v>199</v>
      </c>
      <c r="C698" s="117" t="s">
        <v>200</v>
      </c>
      <c r="D698" s="117" t="s">
        <v>201</v>
      </c>
      <c r="E698" s="81" t="s">
        <v>186</v>
      </c>
      <c r="F698" s="108"/>
      <c r="G698" s="109"/>
    </row>
    <row r="699" spans="1:7" ht="12.75" customHeight="1">
      <c r="A699" s="110" t="s">
        <v>243</v>
      </c>
      <c r="B699" s="110"/>
      <c r="C699" s="110"/>
      <c r="D699" s="110"/>
      <c r="E699" s="101">
        <v>300000</v>
      </c>
      <c r="F699" s="112"/>
      <c r="G699" s="113"/>
    </row>
    <row r="700" spans="1:7" ht="12.75" customHeight="1">
      <c r="A700" s="63"/>
      <c r="B700" s="63"/>
      <c r="C700" s="63"/>
      <c r="D700" s="63"/>
      <c r="E700" s="113"/>
      <c r="F700" s="112"/>
      <c r="G700" s="113"/>
    </row>
    <row r="701" spans="1:7" ht="12.75" customHeight="1">
      <c r="A701" s="110"/>
      <c r="B701" s="110"/>
      <c r="C701" s="110"/>
      <c r="D701" s="110"/>
      <c r="E701" s="101"/>
      <c r="F701" s="112"/>
      <c r="G701" s="113"/>
    </row>
    <row r="702" spans="1:7" ht="12.75" customHeight="1">
      <c r="A702" s="110"/>
      <c r="B702" s="110"/>
      <c r="C702" s="110"/>
      <c r="D702" s="110"/>
      <c r="E702" s="101"/>
      <c r="F702" s="112"/>
      <c r="G702" s="113"/>
    </row>
    <row r="703" spans="1:7" ht="12.75" customHeight="1">
      <c r="A703" s="116"/>
      <c r="B703" s="116"/>
      <c r="C703" s="116"/>
      <c r="D703" s="116"/>
      <c r="E703" s="105"/>
      <c r="F703" s="102" t="s">
        <v>189</v>
      </c>
      <c r="G703" s="105">
        <f t="shared" si="4"/>
        <v>300000</v>
      </c>
    </row>
    <row r="704" spans="1:7" ht="12.75" customHeight="1">
      <c r="A704" s="1" t="s">
        <v>202</v>
      </c>
      <c r="B704" s="1"/>
      <c r="C704" s="1"/>
      <c r="D704" s="1"/>
      <c r="E704" s="1"/>
      <c r="F704" s="1"/>
      <c r="G704" s="1"/>
    </row>
    <row r="705" spans="1:7" ht="12.75" customHeight="1">
      <c r="A705" s="117" t="s">
        <v>203</v>
      </c>
      <c r="B705" s="80" t="s">
        <v>204</v>
      </c>
      <c r="C705" s="117" t="s">
        <v>205</v>
      </c>
      <c r="D705" s="80" t="s">
        <v>206</v>
      </c>
      <c r="E705" s="117" t="s">
        <v>207</v>
      </c>
      <c r="F705" s="80" t="s">
        <v>208</v>
      </c>
      <c r="G705" s="118"/>
    </row>
    <row r="706" spans="1:7" ht="12.75" customHeight="1">
      <c r="A706" s="110" t="s">
        <v>188</v>
      </c>
      <c r="B706" s="100">
        <f>+B123</f>
        <v>150000</v>
      </c>
      <c r="C706" s="111">
        <f t="shared" si="5"/>
        <v>112500</v>
      </c>
      <c r="D706" s="120">
        <f t="shared" si="6"/>
        <v>262500</v>
      </c>
      <c r="E706" s="127">
        <v>0.6</v>
      </c>
      <c r="F706" s="119">
        <f t="shared" si="7"/>
        <v>437500</v>
      </c>
      <c r="G706" s="63"/>
    </row>
    <row r="707" spans="1:7" ht="12.75" customHeight="1">
      <c r="A707" s="63" t="s">
        <v>227</v>
      </c>
      <c r="B707" s="100">
        <f>+B124*2</f>
        <v>200000</v>
      </c>
      <c r="C707" s="111">
        <f t="shared" si="5"/>
        <v>150000</v>
      </c>
      <c r="D707" s="120">
        <f t="shared" si="6"/>
        <v>350000</v>
      </c>
      <c r="E707" s="127">
        <v>0.6</v>
      </c>
      <c r="F707" s="119">
        <f t="shared" si="7"/>
        <v>583333.33333333337</v>
      </c>
      <c r="G707" s="63"/>
    </row>
    <row r="708" spans="1:7" ht="12.75" customHeight="1">
      <c r="A708" s="110"/>
      <c r="B708" s="100"/>
      <c r="C708" s="110"/>
      <c r="D708" s="100"/>
      <c r="E708" s="110"/>
      <c r="F708" s="101"/>
      <c r="G708" s="63"/>
    </row>
    <row r="709" spans="1:7" ht="12.75" customHeight="1">
      <c r="A709" s="63"/>
      <c r="B709" s="1"/>
      <c r="C709" s="63"/>
      <c r="D709" s="1"/>
      <c r="E709" s="63"/>
      <c r="F709" s="101"/>
      <c r="G709" s="63"/>
    </row>
    <row r="710" spans="1:7" ht="12.75" customHeight="1">
      <c r="A710" s="110"/>
      <c r="B710" s="100"/>
      <c r="C710" s="110"/>
      <c r="D710" s="100"/>
      <c r="E710" s="110"/>
      <c r="F710" s="101"/>
      <c r="G710" s="63"/>
    </row>
    <row r="711" spans="1:7" ht="12.75" customHeight="1">
      <c r="A711" s="116"/>
      <c r="B711" s="103"/>
      <c r="C711" s="116"/>
      <c r="D711" s="103"/>
      <c r="E711" s="116"/>
      <c r="F711" s="101"/>
      <c r="G711" s="116"/>
    </row>
    <row r="712" spans="1:7" ht="12.75" customHeight="1">
      <c r="A712" s="1"/>
      <c r="B712" s="1"/>
      <c r="C712" s="1"/>
      <c r="D712" s="1"/>
      <c r="E712" s="1"/>
      <c r="F712" s="1" t="s">
        <v>189</v>
      </c>
      <c r="G712" s="121">
        <f t="shared" si="8"/>
        <v>1020833.3333333334</v>
      </c>
    </row>
    <row r="713" spans="1:7" ht="12.75" customHeight="1">
      <c r="A713" s="1"/>
      <c r="B713" s="1"/>
      <c r="C713" s="1"/>
      <c r="D713" s="1"/>
      <c r="E713" s="1"/>
      <c r="F713" s="1"/>
      <c r="G713" s="1"/>
    </row>
    <row r="714" spans="1:7" ht="12.75" customHeight="1">
      <c r="A714" s="103" t="s">
        <v>209</v>
      </c>
      <c r="B714" s="1"/>
      <c r="C714" s="1" t="s">
        <v>210</v>
      </c>
      <c r="D714" s="473" t="s">
        <v>211</v>
      </c>
      <c r="E714" s="457"/>
      <c r="F714" s="457"/>
      <c r="G714" s="121">
        <f t="shared" si="9"/>
        <v>2591625</v>
      </c>
    </row>
    <row r="715" spans="1:7" ht="12.75" customHeight="1">
      <c r="A715" s="1"/>
      <c r="B715" s="1"/>
      <c r="C715" s="1"/>
      <c r="D715" s="1"/>
      <c r="E715" s="1"/>
      <c r="F715" s="1"/>
      <c r="G715" s="1"/>
    </row>
    <row r="716" spans="1:7" ht="12.75" customHeight="1">
      <c r="A716" s="1"/>
      <c r="B716" s="1"/>
      <c r="C716" s="1"/>
      <c r="D716" s="1"/>
      <c r="E716" s="1" t="s">
        <v>212</v>
      </c>
      <c r="F716" s="1"/>
      <c r="G716" s="121">
        <f t="shared" si="10"/>
        <v>777487.5</v>
      </c>
    </row>
    <row r="717" spans="1:7" ht="12.75" customHeight="1">
      <c r="A717" s="1"/>
      <c r="B717" s="1"/>
      <c r="C717" s="1"/>
      <c r="D717" s="1"/>
      <c r="E717" s="1"/>
      <c r="F717" s="1"/>
      <c r="G717" s="1"/>
    </row>
    <row r="718" spans="1:7" ht="12.75" customHeight="1">
      <c r="A718" s="103" t="s">
        <v>213</v>
      </c>
      <c r="B718" s="1"/>
      <c r="C718" s="1"/>
      <c r="D718" s="473" t="s">
        <v>214</v>
      </c>
      <c r="E718" s="457"/>
      <c r="F718" s="457"/>
      <c r="G718" s="121">
        <f t="shared" si="11"/>
        <v>3369112.5</v>
      </c>
    </row>
    <row r="719" spans="1:7" ht="15" customHeight="1">
      <c r="A719" s="468" t="s">
        <v>174</v>
      </c>
      <c r="B719" s="457"/>
      <c r="C719" s="457"/>
      <c r="D719" s="457"/>
      <c r="E719" s="457"/>
      <c r="F719" s="457"/>
      <c r="G719" s="457"/>
    </row>
    <row r="720" spans="1:7" ht="12.75" customHeight="1"/>
    <row r="721" spans="1:7" ht="12.75" customHeight="1">
      <c r="A721" s="1" t="s">
        <v>175</v>
      </c>
      <c r="B721" s="1"/>
      <c r="C721" s="1"/>
      <c r="D721" s="94"/>
      <c r="E721" s="94"/>
      <c r="F721" s="94"/>
      <c r="G721" s="94"/>
    </row>
    <row r="722" spans="1:7" ht="12.75" customHeight="1">
      <c r="A722" s="1" t="str">
        <f>+A4</f>
        <v xml:space="preserve">OBRA N°      Desarenador - Acueducto </v>
      </c>
      <c r="B722" s="1"/>
      <c r="C722" s="1"/>
      <c r="D722" s="1"/>
      <c r="F722" s="95" t="s">
        <v>177</v>
      </c>
      <c r="G722" s="96">
        <f t="shared" ca="1" si="0"/>
        <v>46289</v>
      </c>
    </row>
    <row r="723" spans="1:7" ht="12.75" customHeight="1">
      <c r="A723" s="94"/>
      <c r="B723" s="94"/>
      <c r="C723" s="94"/>
      <c r="D723" s="94"/>
      <c r="E723" s="94"/>
      <c r="F723" s="94"/>
      <c r="G723" s="94"/>
    </row>
    <row r="724" spans="1:7" ht="26.25" customHeight="1">
      <c r="A724" s="99" t="s">
        <v>286</v>
      </c>
      <c r="B724" s="535" t="s">
        <v>64</v>
      </c>
      <c r="C724" s="457"/>
      <c r="D724" s="457"/>
      <c r="E724" s="457"/>
      <c r="F724" s="457"/>
      <c r="G724" s="533"/>
    </row>
    <row r="725" spans="1:7" ht="12.75" customHeight="1">
      <c r="A725" s="102"/>
      <c r="B725" s="103"/>
      <c r="C725" s="103" t="s">
        <v>179</v>
      </c>
      <c r="D725" s="104">
        <v>1</v>
      </c>
      <c r="E725" s="103" t="s">
        <v>180</v>
      </c>
      <c r="F725" s="103" t="s">
        <v>262</v>
      </c>
      <c r="G725" s="105"/>
    </row>
    <row r="726" spans="1:7" ht="12.75" customHeight="1">
      <c r="A726" s="1" t="s">
        <v>182</v>
      </c>
      <c r="B726" s="1"/>
      <c r="C726" s="1"/>
      <c r="D726" s="1"/>
      <c r="E726" s="1"/>
      <c r="F726" s="1"/>
      <c r="G726" s="1"/>
    </row>
    <row r="727" spans="1:7" ht="12.75" customHeight="1">
      <c r="A727" s="106" t="s">
        <v>111</v>
      </c>
      <c r="B727" s="107" t="s">
        <v>183</v>
      </c>
      <c r="C727" s="106" t="s">
        <v>184</v>
      </c>
      <c r="D727" s="107" t="s">
        <v>185</v>
      </c>
      <c r="E727" s="106" t="s">
        <v>186</v>
      </c>
      <c r="F727" s="108"/>
      <c r="G727" s="109"/>
    </row>
    <row r="728" spans="1:7" ht="12.75" customHeight="1">
      <c r="A728" s="110" t="s">
        <v>187</v>
      </c>
      <c r="B728" s="100"/>
      <c r="C728" s="110"/>
      <c r="D728" s="100"/>
      <c r="E728" s="111">
        <f t="shared" si="1"/>
        <v>31250</v>
      </c>
      <c r="F728" s="112"/>
      <c r="G728" s="113"/>
    </row>
    <row r="729" spans="1:7" ht="12.75" customHeight="1">
      <c r="A729" s="110"/>
      <c r="B729" s="110"/>
      <c r="C729" s="110"/>
      <c r="D729" s="110"/>
      <c r="E729" s="101"/>
      <c r="F729" s="112"/>
      <c r="G729" s="113"/>
    </row>
    <row r="730" spans="1:7" ht="12.75" customHeight="1">
      <c r="A730" s="110"/>
      <c r="B730" s="110"/>
      <c r="C730" s="110"/>
      <c r="D730" s="110"/>
      <c r="E730" s="101"/>
      <c r="F730" s="112"/>
      <c r="G730" s="113"/>
    </row>
    <row r="731" spans="1:7" ht="12.75" customHeight="1">
      <c r="A731" s="110"/>
      <c r="B731" s="110"/>
      <c r="C731" s="110"/>
      <c r="D731" s="110"/>
      <c r="E731" s="101"/>
      <c r="F731" s="102" t="s">
        <v>189</v>
      </c>
      <c r="G731" s="114">
        <f t="shared" si="2"/>
        <v>31250</v>
      </c>
    </row>
    <row r="732" spans="1:7" ht="12.75" customHeight="1">
      <c r="A732" s="1" t="s">
        <v>191</v>
      </c>
      <c r="B732" s="1"/>
      <c r="C732" s="1"/>
      <c r="D732" s="1"/>
      <c r="E732" s="1"/>
      <c r="F732" s="1"/>
      <c r="G732" s="1"/>
    </row>
    <row r="733" spans="1:7" ht="12.75" customHeight="1">
      <c r="A733" s="115" t="s">
        <v>111</v>
      </c>
      <c r="B733" s="106" t="s">
        <v>193</v>
      </c>
      <c r="C733" s="80" t="s">
        <v>194</v>
      </c>
      <c r="D733" s="106" t="s">
        <v>195</v>
      </c>
      <c r="E733" s="81" t="s">
        <v>186</v>
      </c>
      <c r="F733" s="108"/>
      <c r="G733" s="109"/>
    </row>
    <row r="734" spans="1:7" ht="12.75" customHeight="1">
      <c r="A734" s="110" t="s">
        <v>361</v>
      </c>
      <c r="B734" s="106"/>
      <c r="C734" s="110"/>
      <c r="D734" s="122"/>
      <c r="E734" s="101"/>
      <c r="F734" s="112"/>
      <c r="G734" s="113"/>
    </row>
    <row r="735" spans="1:7" ht="12.75" customHeight="1">
      <c r="A735" s="110"/>
      <c r="B735" s="106"/>
      <c r="C735" s="110"/>
      <c r="D735" s="110"/>
      <c r="E735" s="101"/>
      <c r="F735" s="112"/>
      <c r="G735" s="113"/>
    </row>
    <row r="736" spans="1:7" ht="12.75" customHeight="1">
      <c r="A736" s="110"/>
      <c r="B736" s="106"/>
      <c r="C736" s="110"/>
      <c r="D736" s="110"/>
      <c r="E736" s="101"/>
      <c r="F736" s="112"/>
      <c r="G736" s="113"/>
    </row>
    <row r="737" spans="1:7" ht="12.75" customHeight="1">
      <c r="A737" s="63"/>
      <c r="B737" s="123"/>
      <c r="C737" s="63"/>
      <c r="D737" s="63"/>
      <c r="E737" s="101"/>
      <c r="F737" s="112"/>
      <c r="G737" s="113"/>
    </row>
    <row r="738" spans="1:7" ht="12.75" customHeight="1">
      <c r="A738" s="110"/>
      <c r="B738" s="110"/>
      <c r="C738" s="110"/>
      <c r="D738" s="110"/>
      <c r="E738" s="101">
        <v>1100000</v>
      </c>
      <c r="F738" s="112"/>
      <c r="G738" s="113"/>
    </row>
    <row r="739" spans="1:7" ht="12.75" customHeight="1">
      <c r="A739" s="110"/>
      <c r="B739" s="110"/>
      <c r="C739" s="110"/>
      <c r="D739" s="110"/>
      <c r="E739" s="101"/>
      <c r="F739" s="112"/>
      <c r="G739" s="113"/>
    </row>
    <row r="740" spans="1:7" ht="12.75" customHeight="1">
      <c r="A740" s="116"/>
      <c r="B740" s="116"/>
      <c r="C740" s="116"/>
      <c r="D740" s="116"/>
      <c r="E740" s="101"/>
      <c r="F740" s="102" t="s">
        <v>189</v>
      </c>
      <c r="G740" s="105">
        <f t="shared" si="3"/>
        <v>1100000</v>
      </c>
    </row>
    <row r="741" spans="1:7" ht="12.75" customHeight="1">
      <c r="A741" s="1" t="s">
        <v>197</v>
      </c>
      <c r="B741" s="1"/>
      <c r="C741" s="1"/>
      <c r="D741" s="1"/>
      <c r="E741" s="1"/>
      <c r="F741" s="1"/>
      <c r="G741" s="1"/>
    </row>
    <row r="742" spans="1:7" ht="12.75" customHeight="1">
      <c r="A742" s="117" t="s">
        <v>198</v>
      </c>
      <c r="B742" s="117" t="s">
        <v>199</v>
      </c>
      <c r="C742" s="117" t="s">
        <v>200</v>
      </c>
      <c r="D742" s="117" t="s">
        <v>201</v>
      </c>
      <c r="E742" s="81" t="s">
        <v>186</v>
      </c>
      <c r="F742" s="108"/>
      <c r="G742" s="109"/>
    </row>
    <row r="743" spans="1:7" ht="12.75" customHeight="1">
      <c r="A743" s="110" t="s">
        <v>243</v>
      </c>
      <c r="B743" s="110"/>
      <c r="C743" s="110"/>
      <c r="D743" s="110"/>
      <c r="E743" s="101">
        <v>500000</v>
      </c>
      <c r="F743" s="112"/>
      <c r="G743" s="113"/>
    </row>
    <row r="744" spans="1:7" ht="12.75" customHeight="1">
      <c r="A744" s="63"/>
      <c r="B744" s="63"/>
      <c r="C744" s="63"/>
      <c r="D744" s="63"/>
      <c r="E744" s="113"/>
      <c r="F744" s="112"/>
      <c r="G744" s="113"/>
    </row>
    <row r="745" spans="1:7" ht="12.75" customHeight="1">
      <c r="A745" s="110"/>
      <c r="B745" s="110"/>
      <c r="C745" s="110"/>
      <c r="D745" s="110"/>
      <c r="E745" s="101"/>
      <c r="F745" s="112"/>
      <c r="G745" s="113"/>
    </row>
    <row r="746" spans="1:7" ht="12.75" customHeight="1">
      <c r="A746" s="110"/>
      <c r="B746" s="110"/>
      <c r="C746" s="110"/>
      <c r="D746" s="110"/>
      <c r="E746" s="101"/>
      <c r="F746" s="112"/>
      <c r="G746" s="113"/>
    </row>
    <row r="747" spans="1:7" ht="12.75" customHeight="1">
      <c r="A747" s="116"/>
      <c r="B747" s="116"/>
      <c r="C747" s="116"/>
      <c r="D747" s="116"/>
      <c r="E747" s="105"/>
      <c r="F747" s="102" t="s">
        <v>189</v>
      </c>
      <c r="G747" s="105">
        <f t="shared" si="4"/>
        <v>500000</v>
      </c>
    </row>
    <row r="748" spans="1:7" ht="12.75" customHeight="1">
      <c r="A748" s="1" t="s">
        <v>202</v>
      </c>
      <c r="B748" s="1"/>
      <c r="C748" s="1"/>
      <c r="D748" s="1"/>
      <c r="E748" s="1"/>
      <c r="F748" s="1"/>
      <c r="G748" s="1"/>
    </row>
    <row r="749" spans="1:7" ht="12.75" customHeight="1">
      <c r="A749" s="117" t="s">
        <v>203</v>
      </c>
      <c r="B749" s="80" t="s">
        <v>204</v>
      </c>
      <c r="C749" s="117" t="s">
        <v>205</v>
      </c>
      <c r="D749" s="80" t="s">
        <v>206</v>
      </c>
      <c r="E749" s="117" t="s">
        <v>207</v>
      </c>
      <c r="F749" s="80" t="s">
        <v>208</v>
      </c>
      <c r="G749" s="118"/>
    </row>
    <row r="750" spans="1:7" ht="12.75" customHeight="1">
      <c r="A750" s="110" t="s">
        <v>188</v>
      </c>
      <c r="B750" s="100">
        <f t="shared" ref="B750:B751" si="24">+B123</f>
        <v>150000</v>
      </c>
      <c r="C750" s="111">
        <f t="shared" si="5"/>
        <v>112500</v>
      </c>
      <c r="D750" s="120">
        <f t="shared" si="6"/>
        <v>262500</v>
      </c>
      <c r="E750" s="127">
        <v>0.7</v>
      </c>
      <c r="F750" s="119">
        <f t="shared" si="7"/>
        <v>375000</v>
      </c>
      <c r="G750" s="63"/>
    </row>
    <row r="751" spans="1:7" ht="12.75" customHeight="1">
      <c r="A751" s="63" t="s">
        <v>362</v>
      </c>
      <c r="B751" s="100">
        <f t="shared" si="24"/>
        <v>100000</v>
      </c>
      <c r="C751" s="111">
        <f t="shared" si="5"/>
        <v>75000</v>
      </c>
      <c r="D751" s="120">
        <f t="shared" si="6"/>
        <v>175000</v>
      </c>
      <c r="E751" s="127">
        <v>0.7</v>
      </c>
      <c r="F751" s="119">
        <f t="shared" si="7"/>
        <v>250000.00000000003</v>
      </c>
      <c r="G751" s="63"/>
    </row>
    <row r="752" spans="1:7" ht="12.75" customHeight="1">
      <c r="A752" s="110"/>
      <c r="B752" s="100"/>
      <c r="C752" s="110"/>
      <c r="D752" s="100"/>
      <c r="E752" s="110"/>
      <c r="F752" s="101"/>
      <c r="G752" s="63"/>
    </row>
    <row r="753" spans="1:7" ht="12.75" customHeight="1">
      <c r="A753" s="63"/>
      <c r="B753" s="1"/>
      <c r="C753" s="63"/>
      <c r="D753" s="1"/>
      <c r="E753" s="63"/>
      <c r="F753" s="101"/>
      <c r="G753" s="63"/>
    </row>
    <row r="754" spans="1:7" ht="12.75" customHeight="1">
      <c r="A754" s="110"/>
      <c r="B754" s="100"/>
      <c r="C754" s="110"/>
      <c r="D754" s="100"/>
      <c r="E754" s="110"/>
      <c r="F754" s="101"/>
      <c r="G754" s="63"/>
    </row>
    <row r="755" spans="1:7" ht="12.75" customHeight="1">
      <c r="A755" s="116"/>
      <c r="B755" s="103"/>
      <c r="C755" s="116"/>
      <c r="D755" s="103"/>
      <c r="E755" s="116"/>
      <c r="F755" s="101"/>
      <c r="G755" s="116"/>
    </row>
    <row r="756" spans="1:7" ht="12.75" customHeight="1">
      <c r="A756" s="1"/>
      <c r="B756" s="1"/>
      <c r="C756" s="1"/>
      <c r="D756" s="1"/>
      <c r="E756" s="1"/>
      <c r="F756" s="1" t="s">
        <v>189</v>
      </c>
      <c r="G756" s="121">
        <f t="shared" si="8"/>
        <v>625000</v>
      </c>
    </row>
    <row r="757" spans="1:7" ht="12.75" customHeight="1">
      <c r="A757" s="1"/>
      <c r="B757" s="1"/>
      <c r="C757" s="1"/>
      <c r="D757" s="1"/>
      <c r="E757" s="1"/>
      <c r="F757" s="1"/>
      <c r="G757" s="1"/>
    </row>
    <row r="758" spans="1:7" ht="12.75" customHeight="1">
      <c r="A758" s="103" t="s">
        <v>209</v>
      </c>
      <c r="B758" s="1"/>
      <c r="C758" s="1" t="s">
        <v>210</v>
      </c>
      <c r="D758" s="473" t="s">
        <v>211</v>
      </c>
      <c r="E758" s="457"/>
      <c r="F758" s="457"/>
      <c r="G758" s="121">
        <f t="shared" si="9"/>
        <v>2256250</v>
      </c>
    </row>
    <row r="759" spans="1:7" ht="12.75" customHeight="1">
      <c r="A759" s="1"/>
      <c r="B759" s="1"/>
      <c r="C759" s="1"/>
      <c r="D759" s="1"/>
      <c r="E759" s="1"/>
      <c r="F759" s="1"/>
      <c r="G759" s="1"/>
    </row>
    <row r="760" spans="1:7" ht="12.75" customHeight="1">
      <c r="A760" s="1"/>
      <c r="B760" s="1"/>
      <c r="C760" s="1"/>
      <c r="D760" s="1"/>
      <c r="E760" s="1" t="s">
        <v>212</v>
      </c>
      <c r="F760" s="1"/>
      <c r="G760" s="121">
        <f t="shared" si="10"/>
        <v>676875</v>
      </c>
    </row>
    <row r="761" spans="1:7" ht="12.75" customHeight="1">
      <c r="A761" s="1"/>
      <c r="B761" s="1"/>
      <c r="C761" s="1"/>
      <c r="D761" s="1"/>
      <c r="E761" s="1"/>
      <c r="F761" s="1"/>
      <c r="G761" s="1"/>
    </row>
    <row r="762" spans="1:7" ht="12.75" customHeight="1">
      <c r="A762" s="103" t="s">
        <v>213</v>
      </c>
      <c r="B762" s="1"/>
      <c r="C762" s="1"/>
      <c r="D762" s="473" t="s">
        <v>214</v>
      </c>
      <c r="E762" s="457"/>
      <c r="F762" s="457"/>
      <c r="G762" s="121">
        <f t="shared" si="11"/>
        <v>2933125</v>
      </c>
    </row>
    <row r="763" spans="1:7" ht="12.75" customHeight="1">
      <c r="A763" s="1"/>
      <c r="B763" s="1"/>
      <c r="C763" s="1"/>
      <c r="D763" s="77"/>
      <c r="E763" s="77"/>
      <c r="F763" s="77"/>
      <c r="G763" s="19"/>
    </row>
    <row r="764" spans="1:7" ht="15" customHeight="1">
      <c r="A764" s="534" t="s">
        <v>174</v>
      </c>
      <c r="B764" s="457"/>
      <c r="C764" s="457"/>
      <c r="D764" s="457"/>
      <c r="E764" s="457"/>
      <c r="F764" s="457"/>
      <c r="G764" s="533"/>
    </row>
    <row r="765" spans="1:7" ht="12.75" customHeight="1">
      <c r="A765" s="112"/>
      <c r="B765" s="1"/>
      <c r="C765" s="1"/>
      <c r="D765" s="1"/>
      <c r="E765" s="1"/>
      <c r="F765" s="1"/>
      <c r="G765" s="113"/>
    </row>
    <row r="766" spans="1:7" ht="12.75" customHeight="1">
      <c r="A766" s="1" t="s">
        <v>175</v>
      </c>
      <c r="B766" s="1"/>
      <c r="C766" s="1"/>
      <c r="D766" s="94"/>
      <c r="E766" s="94"/>
      <c r="F766" s="94"/>
      <c r="G766" s="94"/>
    </row>
    <row r="767" spans="1:7" ht="12.75" customHeight="1">
      <c r="A767" s="1" t="str">
        <f>+A4</f>
        <v xml:space="preserve">OBRA N°      Desarenador - Acueducto </v>
      </c>
      <c r="B767" s="1"/>
      <c r="C767" s="1"/>
      <c r="D767" s="1"/>
      <c r="F767" s="95" t="s">
        <v>177</v>
      </c>
      <c r="G767" s="96">
        <f t="shared" ca="1" si="0"/>
        <v>46289</v>
      </c>
    </row>
    <row r="768" spans="1:7" ht="12.75" customHeight="1">
      <c r="A768" s="102"/>
      <c r="B768" s="103"/>
      <c r="C768" s="103"/>
      <c r="D768" s="103"/>
      <c r="E768" s="103"/>
      <c r="F768" s="103"/>
      <c r="G768" s="105"/>
    </row>
    <row r="769" spans="1:7" ht="12.75" customHeight="1">
      <c r="A769" s="99" t="s">
        <v>363</v>
      </c>
      <c r="B769" s="100" t="s">
        <v>364</v>
      </c>
      <c r="C769" s="100"/>
      <c r="D769" s="100"/>
      <c r="E769" s="100"/>
      <c r="F769" s="100"/>
      <c r="G769" s="101"/>
    </row>
    <row r="770" spans="1:7" ht="12.75" customHeight="1">
      <c r="A770" s="102"/>
      <c r="B770" s="103"/>
      <c r="C770" s="103" t="s">
        <v>179</v>
      </c>
      <c r="D770" s="126">
        <v>1</v>
      </c>
      <c r="E770" s="103" t="s">
        <v>180</v>
      </c>
      <c r="F770" s="103" t="s">
        <v>262</v>
      </c>
      <c r="G770" s="105"/>
    </row>
    <row r="771" spans="1:7" ht="12.75" customHeight="1">
      <c r="A771" s="112" t="s">
        <v>182</v>
      </c>
      <c r="B771" s="1"/>
      <c r="C771" s="1"/>
      <c r="D771" s="1"/>
      <c r="E771" s="1"/>
      <c r="F771" s="1"/>
      <c r="G771" s="113"/>
    </row>
    <row r="772" spans="1:7" ht="12.75" customHeight="1">
      <c r="A772" s="106" t="s">
        <v>111</v>
      </c>
      <c r="B772" s="107" t="s">
        <v>183</v>
      </c>
      <c r="C772" s="106" t="s">
        <v>184</v>
      </c>
      <c r="D772" s="107" t="s">
        <v>185</v>
      </c>
      <c r="E772" s="106" t="s">
        <v>186</v>
      </c>
      <c r="F772" s="108"/>
      <c r="G772" s="109"/>
    </row>
    <row r="773" spans="1:7" ht="12.75" customHeight="1">
      <c r="A773" s="110" t="s">
        <v>187</v>
      </c>
      <c r="B773" s="100"/>
      <c r="C773" s="110"/>
      <c r="D773" s="100"/>
      <c r="E773" s="111">
        <f t="shared" si="1"/>
        <v>2734.375</v>
      </c>
      <c r="F773" s="112"/>
      <c r="G773" s="113"/>
    </row>
    <row r="774" spans="1:7" ht="12.75" customHeight="1">
      <c r="A774" s="110"/>
      <c r="B774" s="110"/>
      <c r="C774" s="110"/>
      <c r="D774" s="110"/>
      <c r="E774" s="101"/>
      <c r="F774" s="112"/>
      <c r="G774" s="113"/>
    </row>
    <row r="775" spans="1:7" ht="12.75" customHeight="1">
      <c r="A775" s="110"/>
      <c r="B775" s="110"/>
      <c r="C775" s="110"/>
      <c r="D775" s="110"/>
      <c r="E775" s="101"/>
      <c r="F775" s="112"/>
      <c r="G775" s="113"/>
    </row>
    <row r="776" spans="1:7" ht="12.75" customHeight="1">
      <c r="A776" s="110"/>
      <c r="B776" s="110"/>
      <c r="C776" s="110"/>
      <c r="D776" s="110"/>
      <c r="E776" s="101"/>
      <c r="F776" s="102" t="s">
        <v>189</v>
      </c>
      <c r="G776" s="114">
        <f t="shared" si="2"/>
        <v>2734.375</v>
      </c>
    </row>
    <row r="777" spans="1:7" ht="12.75" customHeight="1">
      <c r="A777" s="112" t="s">
        <v>191</v>
      </c>
      <c r="B777" s="1"/>
      <c r="C777" s="1"/>
      <c r="D777" s="1"/>
      <c r="E777" s="1"/>
      <c r="F777" s="1"/>
      <c r="G777" s="113"/>
    </row>
    <row r="778" spans="1:7" ht="12.75" customHeight="1">
      <c r="A778" s="115" t="s">
        <v>111</v>
      </c>
      <c r="B778" s="106" t="s">
        <v>193</v>
      </c>
      <c r="C778" s="80" t="s">
        <v>194</v>
      </c>
      <c r="D778" s="106" t="s">
        <v>195</v>
      </c>
      <c r="E778" s="81" t="s">
        <v>186</v>
      </c>
      <c r="F778" s="108"/>
      <c r="G778" s="109"/>
    </row>
    <row r="779" spans="1:7" ht="12.75" customHeight="1">
      <c r="A779" s="110" t="s">
        <v>365</v>
      </c>
      <c r="B779" s="106" t="s">
        <v>193</v>
      </c>
      <c r="C779" s="111">
        <f>(366989*1.19)</f>
        <v>436716.91</v>
      </c>
      <c r="D779" s="110">
        <v>1.05</v>
      </c>
      <c r="E779" s="119">
        <f t="shared" si="12"/>
        <v>458552.75549999997</v>
      </c>
      <c r="F779" s="112"/>
      <c r="G779" s="113"/>
    </row>
    <row r="780" spans="1:7" ht="12.75" customHeight="1">
      <c r="A780" s="63" t="s">
        <v>325</v>
      </c>
      <c r="B780" s="123" t="s">
        <v>273</v>
      </c>
      <c r="C780" s="63">
        <v>1000</v>
      </c>
      <c r="D780" s="63">
        <v>1</v>
      </c>
      <c r="E780" s="119">
        <f t="shared" si="12"/>
        <v>1000</v>
      </c>
      <c r="F780" s="112"/>
      <c r="G780" s="113"/>
    </row>
    <row r="781" spans="1:7" ht="12.75" customHeight="1">
      <c r="A781" s="110"/>
      <c r="B781" s="106"/>
      <c r="C781" s="110"/>
      <c r="D781" s="110"/>
      <c r="E781" s="101"/>
      <c r="F781" s="112"/>
      <c r="G781" s="113"/>
    </row>
    <row r="782" spans="1:7" ht="12.75" customHeight="1">
      <c r="A782" s="63"/>
      <c r="B782" s="63"/>
      <c r="C782" s="63"/>
      <c r="D782" s="63"/>
      <c r="E782" s="101"/>
      <c r="F782" s="112"/>
      <c r="G782" s="113"/>
    </row>
    <row r="783" spans="1:7" ht="12.75" customHeight="1">
      <c r="A783" s="110"/>
      <c r="B783" s="110"/>
      <c r="C783" s="110"/>
      <c r="D783" s="110"/>
      <c r="E783" s="101"/>
      <c r="F783" s="112"/>
      <c r="G783" s="113"/>
    </row>
    <row r="784" spans="1:7" ht="12.75" customHeight="1">
      <c r="A784" s="110"/>
      <c r="B784" s="110"/>
      <c r="C784" s="110"/>
      <c r="D784" s="110"/>
      <c r="E784" s="101"/>
      <c r="F784" s="112"/>
      <c r="G784" s="113"/>
    </row>
    <row r="785" spans="1:7" ht="12.75" customHeight="1">
      <c r="A785" s="116"/>
      <c r="B785" s="116"/>
      <c r="C785" s="116"/>
      <c r="D785" s="116"/>
      <c r="E785" s="101"/>
      <c r="F785" s="102" t="s">
        <v>189</v>
      </c>
      <c r="G785" s="114">
        <f t="shared" si="3"/>
        <v>459552.75549999997</v>
      </c>
    </row>
    <row r="786" spans="1:7" ht="12.75" customHeight="1">
      <c r="A786" s="112" t="s">
        <v>197</v>
      </c>
      <c r="B786" s="1"/>
      <c r="C786" s="1"/>
      <c r="D786" s="1"/>
      <c r="E786" s="1"/>
      <c r="F786" s="1"/>
      <c r="G786" s="113"/>
    </row>
    <row r="787" spans="1:7" ht="12.75" customHeight="1">
      <c r="A787" s="117" t="s">
        <v>198</v>
      </c>
      <c r="B787" s="117" t="s">
        <v>199</v>
      </c>
      <c r="C787" s="117" t="s">
        <v>200</v>
      </c>
      <c r="D787" s="117" t="s">
        <v>201</v>
      </c>
      <c r="E787" s="81" t="s">
        <v>186</v>
      </c>
      <c r="F787" s="108"/>
      <c r="G787" s="109"/>
    </row>
    <row r="788" spans="1:7" ht="12.75" customHeight="1">
      <c r="A788" s="110" t="s">
        <v>243</v>
      </c>
      <c r="B788" s="110"/>
      <c r="C788" s="110"/>
      <c r="D788" s="110"/>
      <c r="E788" s="101">
        <v>10000</v>
      </c>
      <c r="F788" s="112"/>
      <c r="G788" s="113"/>
    </row>
    <row r="789" spans="1:7" ht="12.75" customHeight="1">
      <c r="A789" s="63"/>
      <c r="B789" s="63"/>
      <c r="C789" s="63"/>
      <c r="D789" s="63"/>
      <c r="E789" s="113"/>
      <c r="F789" s="112"/>
      <c r="G789" s="113"/>
    </row>
    <row r="790" spans="1:7" ht="12.75" customHeight="1">
      <c r="A790" s="110"/>
      <c r="B790" s="110"/>
      <c r="C790" s="110"/>
      <c r="D790" s="110"/>
      <c r="E790" s="101"/>
      <c r="F790" s="112"/>
      <c r="G790" s="113"/>
    </row>
    <row r="791" spans="1:7" ht="12.75" customHeight="1">
      <c r="A791" s="110"/>
      <c r="B791" s="110"/>
      <c r="C791" s="110"/>
      <c r="D791" s="110"/>
      <c r="E791" s="101"/>
      <c r="F791" s="112"/>
      <c r="G791" s="113"/>
    </row>
    <row r="792" spans="1:7" ht="12.75" customHeight="1">
      <c r="A792" s="116"/>
      <c r="B792" s="116"/>
      <c r="C792" s="116"/>
      <c r="D792" s="116"/>
      <c r="E792" s="105"/>
      <c r="F792" s="102" t="s">
        <v>189</v>
      </c>
      <c r="G792" s="105">
        <f t="shared" si="4"/>
        <v>10000</v>
      </c>
    </row>
    <row r="793" spans="1:7" ht="12.75" customHeight="1">
      <c r="A793" s="112" t="s">
        <v>202</v>
      </c>
      <c r="B793" s="1"/>
      <c r="C793" s="1"/>
      <c r="D793" s="1"/>
      <c r="E793" s="1"/>
      <c r="F793" s="1"/>
      <c r="G793" s="113"/>
    </row>
    <row r="794" spans="1:7" ht="12.75" customHeight="1">
      <c r="A794" s="117" t="s">
        <v>203</v>
      </c>
      <c r="B794" s="80" t="s">
        <v>204</v>
      </c>
      <c r="C794" s="117" t="s">
        <v>205</v>
      </c>
      <c r="D794" s="80" t="s">
        <v>206</v>
      </c>
      <c r="E794" s="117" t="s">
        <v>207</v>
      </c>
      <c r="F794" s="80" t="s">
        <v>208</v>
      </c>
      <c r="G794" s="118"/>
    </row>
    <row r="795" spans="1:7" ht="12.75" customHeight="1">
      <c r="A795" s="110" t="s">
        <v>188</v>
      </c>
      <c r="B795" s="100">
        <f t="shared" ref="B795:B796" si="25">+B123</f>
        <v>150000</v>
      </c>
      <c r="C795" s="110">
        <f t="shared" si="5"/>
        <v>112500</v>
      </c>
      <c r="D795" s="100">
        <f t="shared" si="6"/>
        <v>262500</v>
      </c>
      <c r="E795" s="110">
        <v>8</v>
      </c>
      <c r="F795" s="119">
        <f t="shared" si="7"/>
        <v>32812.5</v>
      </c>
      <c r="G795" s="63"/>
    </row>
    <row r="796" spans="1:7" ht="12.75" customHeight="1">
      <c r="A796" s="63" t="s">
        <v>190</v>
      </c>
      <c r="B796" s="100">
        <f t="shared" si="25"/>
        <v>100000</v>
      </c>
      <c r="C796" s="111">
        <f t="shared" si="5"/>
        <v>75000</v>
      </c>
      <c r="D796" s="120">
        <f t="shared" si="6"/>
        <v>175000</v>
      </c>
      <c r="E796" s="110">
        <v>8</v>
      </c>
      <c r="F796" s="119">
        <f t="shared" si="7"/>
        <v>21875</v>
      </c>
      <c r="G796" s="63"/>
    </row>
    <row r="797" spans="1:7" ht="12.75" customHeight="1">
      <c r="A797" s="110"/>
      <c r="B797" s="100"/>
      <c r="C797" s="110"/>
      <c r="D797" s="100"/>
      <c r="E797" s="110"/>
      <c r="F797" s="101"/>
      <c r="G797" s="63"/>
    </row>
    <row r="798" spans="1:7" ht="12.75" customHeight="1">
      <c r="A798" s="63"/>
      <c r="B798" s="1"/>
      <c r="C798" s="63"/>
      <c r="D798" s="1"/>
      <c r="E798" s="63"/>
      <c r="F798" s="101"/>
      <c r="G798" s="63"/>
    </row>
    <row r="799" spans="1:7" ht="12.75" customHeight="1">
      <c r="A799" s="110"/>
      <c r="B799" s="100"/>
      <c r="C799" s="110"/>
      <c r="D799" s="100"/>
      <c r="E799" s="110"/>
      <c r="F799" s="101"/>
      <c r="G799" s="63"/>
    </row>
    <row r="800" spans="1:7" ht="12.75" customHeight="1">
      <c r="A800" s="116"/>
      <c r="B800" s="103"/>
      <c r="C800" s="116"/>
      <c r="D800" s="103"/>
      <c r="E800" s="116"/>
      <c r="F800" s="101"/>
      <c r="G800" s="116"/>
    </row>
    <row r="801" spans="1:7" ht="12.75" customHeight="1">
      <c r="A801" s="112"/>
      <c r="B801" s="1"/>
      <c r="C801" s="1"/>
      <c r="D801" s="1"/>
      <c r="E801" s="1"/>
      <c r="F801" s="1" t="s">
        <v>189</v>
      </c>
      <c r="G801" s="114">
        <f t="shared" si="8"/>
        <v>54687.5</v>
      </c>
    </row>
    <row r="802" spans="1:7" ht="12.75" customHeight="1">
      <c r="A802" s="112"/>
      <c r="B802" s="1"/>
      <c r="C802" s="1"/>
      <c r="D802" s="1"/>
      <c r="E802" s="1"/>
      <c r="F802" s="1"/>
      <c r="G802" s="113"/>
    </row>
    <row r="803" spans="1:7" ht="12.75" customHeight="1">
      <c r="A803" s="103" t="s">
        <v>209</v>
      </c>
      <c r="B803" s="1"/>
      <c r="C803" s="1" t="s">
        <v>210</v>
      </c>
      <c r="D803" s="473" t="s">
        <v>211</v>
      </c>
      <c r="E803" s="457"/>
      <c r="F803" s="457"/>
      <c r="G803" s="114">
        <f t="shared" si="9"/>
        <v>526974.63049999997</v>
      </c>
    </row>
    <row r="804" spans="1:7" ht="12.75" customHeight="1">
      <c r="A804" s="1"/>
      <c r="B804" s="1"/>
      <c r="C804" s="1"/>
      <c r="D804" s="1"/>
      <c r="E804" s="1"/>
      <c r="F804" s="1"/>
      <c r="G804" s="113"/>
    </row>
    <row r="805" spans="1:7" ht="12.75" customHeight="1">
      <c r="A805" s="1"/>
      <c r="B805" s="1"/>
      <c r="C805" s="1"/>
      <c r="D805" s="1"/>
      <c r="E805" s="1" t="s">
        <v>212</v>
      </c>
      <c r="F805" s="1"/>
      <c r="G805" s="114">
        <f t="shared" si="10"/>
        <v>158092.38914999997</v>
      </c>
    </row>
    <row r="806" spans="1:7" ht="12.75" customHeight="1">
      <c r="A806" s="1"/>
      <c r="B806" s="1"/>
      <c r="C806" s="1"/>
      <c r="D806" s="1"/>
      <c r="E806" s="1"/>
      <c r="F806" s="1"/>
      <c r="G806" s="113"/>
    </row>
    <row r="807" spans="1:7" ht="12.75" customHeight="1">
      <c r="A807" s="103" t="s">
        <v>213</v>
      </c>
      <c r="B807" s="1"/>
      <c r="C807" s="1"/>
      <c r="D807" s="473" t="s">
        <v>214</v>
      </c>
      <c r="E807" s="457"/>
      <c r="F807" s="457"/>
      <c r="G807" s="114">
        <f t="shared" si="11"/>
        <v>685067.01964999991</v>
      </c>
    </row>
    <row r="808" spans="1:7" ht="15" customHeight="1">
      <c r="A808" s="534" t="s">
        <v>174</v>
      </c>
      <c r="B808" s="457"/>
      <c r="C808" s="457"/>
      <c r="D808" s="457"/>
      <c r="E808" s="457"/>
      <c r="F808" s="457"/>
      <c r="G808" s="533"/>
    </row>
    <row r="809" spans="1:7" ht="12.75" customHeight="1">
      <c r="A809" s="136"/>
      <c r="B809" s="77"/>
      <c r="C809" s="77"/>
      <c r="D809" s="77"/>
      <c r="E809" s="77"/>
      <c r="F809" s="77"/>
      <c r="G809" s="113"/>
    </row>
    <row r="810" spans="1:7" ht="12.75" customHeight="1">
      <c r="A810" s="112"/>
      <c r="B810" s="1"/>
      <c r="C810" s="1"/>
      <c r="D810" s="1"/>
      <c r="E810" s="1"/>
      <c r="F810" s="1"/>
      <c r="G810" s="113"/>
    </row>
    <row r="811" spans="1:7" ht="12.75" customHeight="1">
      <c r="A811" s="1" t="s">
        <v>175</v>
      </c>
      <c r="B811" s="1"/>
      <c r="C811" s="1"/>
      <c r="D811" s="94"/>
      <c r="E811" s="94"/>
      <c r="F811" s="94"/>
      <c r="G811" s="94"/>
    </row>
    <row r="812" spans="1:7" ht="12.75" customHeight="1">
      <c r="A812" s="1" t="str">
        <f>+A4</f>
        <v xml:space="preserve">OBRA N°      Desarenador - Acueducto </v>
      </c>
      <c r="B812" s="1"/>
      <c r="C812" s="1"/>
      <c r="D812" s="1"/>
      <c r="F812" s="95" t="s">
        <v>177</v>
      </c>
      <c r="G812" s="96">
        <f t="shared" ca="1" si="0"/>
        <v>46289</v>
      </c>
    </row>
    <row r="813" spans="1:7" ht="12.75" customHeight="1">
      <c r="A813" s="112"/>
      <c r="B813" s="94"/>
      <c r="C813" s="94"/>
      <c r="D813" s="94"/>
      <c r="E813" s="94"/>
      <c r="F813" s="94"/>
      <c r="G813" s="128"/>
    </row>
    <row r="814" spans="1:7" ht="12.75" customHeight="1">
      <c r="A814" s="102"/>
      <c r="B814" s="103"/>
      <c r="C814" s="103"/>
      <c r="D814" s="103"/>
      <c r="E814" s="103"/>
      <c r="F814" s="103"/>
      <c r="G814" s="105"/>
    </row>
    <row r="815" spans="1:7" ht="12.75" customHeight="1">
      <c r="A815" s="99" t="s">
        <v>366</v>
      </c>
      <c r="B815" s="100" t="s">
        <v>367</v>
      </c>
      <c r="C815" s="100"/>
      <c r="D815" s="100"/>
      <c r="E815" s="100"/>
      <c r="F815" s="100"/>
      <c r="G815" s="101"/>
    </row>
    <row r="816" spans="1:7" ht="12.75" customHeight="1">
      <c r="A816" s="102"/>
      <c r="B816" s="103"/>
      <c r="C816" s="103" t="s">
        <v>179</v>
      </c>
      <c r="D816" s="126">
        <v>3.5</v>
      </c>
      <c r="E816" s="103" t="s">
        <v>180</v>
      </c>
      <c r="F816" s="103" t="s">
        <v>226</v>
      </c>
      <c r="G816" s="105"/>
    </row>
    <row r="817" spans="1:7" ht="12.75" customHeight="1">
      <c r="A817" s="112" t="s">
        <v>182</v>
      </c>
      <c r="B817" s="1"/>
      <c r="C817" s="1"/>
      <c r="D817" s="1"/>
      <c r="E817" s="1"/>
      <c r="F817" s="1"/>
      <c r="G817" s="113"/>
    </row>
    <row r="818" spans="1:7" ht="12.75" customHeight="1">
      <c r="A818" s="106" t="s">
        <v>111</v>
      </c>
      <c r="B818" s="107" t="s">
        <v>183</v>
      </c>
      <c r="C818" s="106" t="s">
        <v>184</v>
      </c>
      <c r="D818" s="107" t="s">
        <v>185</v>
      </c>
      <c r="E818" s="106" t="s">
        <v>186</v>
      </c>
      <c r="F818" s="108"/>
      <c r="G818" s="109"/>
    </row>
    <row r="819" spans="1:7" ht="12.75" customHeight="1">
      <c r="A819" s="110" t="s">
        <v>187</v>
      </c>
      <c r="B819" s="100"/>
      <c r="C819" s="110"/>
      <c r="D819" s="100"/>
      <c r="E819" s="111">
        <f t="shared" si="1"/>
        <v>3500</v>
      </c>
      <c r="F819" s="112"/>
      <c r="G819" s="113"/>
    </row>
    <row r="820" spans="1:7" ht="12.75" customHeight="1">
      <c r="A820" s="110"/>
      <c r="B820" s="110"/>
      <c r="C820" s="110"/>
      <c r="D820" s="110"/>
      <c r="E820" s="101"/>
      <c r="F820" s="112"/>
      <c r="G820" s="113"/>
    </row>
    <row r="821" spans="1:7" ht="12.75" customHeight="1">
      <c r="A821" s="110"/>
      <c r="B821" s="110"/>
      <c r="C821" s="110"/>
      <c r="D821" s="110"/>
      <c r="E821" s="101"/>
      <c r="F821" s="112"/>
      <c r="G821" s="113"/>
    </row>
    <row r="822" spans="1:7" ht="12.75" customHeight="1">
      <c r="A822" s="110"/>
      <c r="B822" s="110"/>
      <c r="C822" s="110"/>
      <c r="D822" s="110"/>
      <c r="E822" s="101"/>
      <c r="F822" s="102" t="s">
        <v>189</v>
      </c>
      <c r="G822" s="114">
        <f t="shared" si="2"/>
        <v>3500</v>
      </c>
    </row>
    <row r="823" spans="1:7" ht="12.75" customHeight="1">
      <c r="A823" s="112" t="s">
        <v>191</v>
      </c>
      <c r="B823" s="1"/>
      <c r="C823" s="1"/>
      <c r="D823" s="1"/>
      <c r="E823" s="1"/>
      <c r="F823" s="1"/>
      <c r="G823" s="113"/>
    </row>
    <row r="824" spans="1:7" ht="12.75" customHeight="1">
      <c r="A824" s="115" t="s">
        <v>111</v>
      </c>
      <c r="B824" s="106" t="s">
        <v>193</v>
      </c>
      <c r="C824" s="80" t="s">
        <v>194</v>
      </c>
      <c r="D824" s="106" t="s">
        <v>195</v>
      </c>
      <c r="E824" s="81" t="s">
        <v>186</v>
      </c>
      <c r="F824" s="108"/>
      <c r="G824" s="109"/>
    </row>
    <row r="825" spans="1:7" ht="12.75" customHeight="1">
      <c r="A825" s="110"/>
      <c r="B825" s="106"/>
      <c r="C825" s="111"/>
      <c r="D825" s="110"/>
      <c r="E825" s="119"/>
      <c r="F825" s="112"/>
      <c r="G825" s="113"/>
    </row>
    <row r="826" spans="1:7" ht="12.75" customHeight="1">
      <c r="A826" s="110"/>
      <c r="B826" s="123"/>
      <c r="C826" s="63"/>
      <c r="D826" s="63"/>
      <c r="E826" s="119"/>
      <c r="F826" s="112"/>
      <c r="G826" s="113"/>
    </row>
    <row r="827" spans="1:7" ht="12.75" customHeight="1">
      <c r="A827" s="110"/>
      <c r="B827" s="106"/>
      <c r="C827" s="110"/>
      <c r="D827" s="110"/>
      <c r="E827" s="119"/>
      <c r="F827" s="112"/>
      <c r="G827" s="113"/>
    </row>
    <row r="828" spans="1:7" ht="12.75" customHeight="1">
      <c r="A828" s="63"/>
      <c r="B828" s="63"/>
      <c r="C828" s="63"/>
      <c r="D828" s="63"/>
      <c r="E828" s="101"/>
      <c r="F828" s="112"/>
      <c r="G828" s="113"/>
    </row>
    <row r="829" spans="1:7" ht="12.75" customHeight="1">
      <c r="A829" s="110"/>
      <c r="B829" s="110"/>
      <c r="C829" s="110"/>
      <c r="D829" s="110"/>
      <c r="E829" s="101"/>
      <c r="F829" s="112"/>
      <c r="G829" s="113"/>
    </row>
    <row r="830" spans="1:7" ht="12.75" customHeight="1">
      <c r="A830" s="110"/>
      <c r="B830" s="110"/>
      <c r="C830" s="110"/>
      <c r="D830" s="110"/>
      <c r="E830" s="101"/>
      <c r="F830" s="112"/>
      <c r="G830" s="113"/>
    </row>
    <row r="831" spans="1:7" ht="12.75" customHeight="1">
      <c r="A831" s="116"/>
      <c r="B831" s="116"/>
      <c r="C831" s="116"/>
      <c r="D831" s="116"/>
      <c r="E831" s="101"/>
      <c r="F831" s="102" t="s">
        <v>189</v>
      </c>
      <c r="G831" s="114">
        <f t="shared" si="3"/>
        <v>0</v>
      </c>
    </row>
    <row r="832" spans="1:7" ht="12.75" customHeight="1">
      <c r="A832" s="112" t="s">
        <v>197</v>
      </c>
      <c r="B832" s="1"/>
      <c r="C832" s="1"/>
      <c r="D832" s="1"/>
      <c r="E832" s="1"/>
      <c r="F832" s="1"/>
      <c r="G832" s="113"/>
    </row>
    <row r="833" spans="1:7" ht="12.75" customHeight="1">
      <c r="A833" s="117" t="s">
        <v>198</v>
      </c>
      <c r="B833" s="117" t="s">
        <v>199</v>
      </c>
      <c r="C833" s="117" t="s">
        <v>200</v>
      </c>
      <c r="D833" s="117" t="s">
        <v>201</v>
      </c>
      <c r="E833" s="81" t="s">
        <v>186</v>
      </c>
      <c r="F833" s="108"/>
      <c r="G833" s="109"/>
    </row>
    <row r="834" spans="1:7" ht="12.75" customHeight="1">
      <c r="A834" s="110"/>
      <c r="B834" s="110"/>
      <c r="C834" s="110"/>
      <c r="D834" s="110"/>
      <c r="E834" s="101"/>
      <c r="F834" s="112"/>
      <c r="G834" s="113"/>
    </row>
    <row r="835" spans="1:7" ht="12.75" customHeight="1">
      <c r="A835" s="63"/>
      <c r="B835" s="63"/>
      <c r="C835" s="63"/>
      <c r="D835" s="63"/>
      <c r="E835" s="113"/>
      <c r="F835" s="112"/>
      <c r="G835" s="113"/>
    </row>
    <row r="836" spans="1:7" ht="12.75" customHeight="1">
      <c r="A836" s="110"/>
      <c r="B836" s="110"/>
      <c r="C836" s="110"/>
      <c r="D836" s="110"/>
      <c r="E836" s="101"/>
      <c r="F836" s="112"/>
      <c r="G836" s="113"/>
    </row>
    <row r="837" spans="1:7" ht="12.75" customHeight="1">
      <c r="A837" s="110"/>
      <c r="B837" s="110"/>
      <c r="C837" s="110"/>
      <c r="D837" s="110"/>
      <c r="E837" s="101"/>
      <c r="F837" s="112"/>
      <c r="G837" s="113"/>
    </row>
    <row r="838" spans="1:7" ht="12.75" customHeight="1">
      <c r="A838" s="116"/>
      <c r="B838" s="116"/>
      <c r="C838" s="116"/>
      <c r="D838" s="116"/>
      <c r="E838" s="105"/>
      <c r="F838" s="102" t="s">
        <v>189</v>
      </c>
      <c r="G838" s="105">
        <f t="shared" si="4"/>
        <v>0</v>
      </c>
    </row>
    <row r="839" spans="1:7" ht="12.75" customHeight="1">
      <c r="A839" s="112" t="s">
        <v>202</v>
      </c>
      <c r="B839" s="1"/>
      <c r="C839" s="1"/>
      <c r="D839" s="1"/>
      <c r="E839" s="1"/>
      <c r="F839" s="1"/>
      <c r="G839" s="113"/>
    </row>
    <row r="840" spans="1:7" ht="12.75" customHeight="1">
      <c r="A840" s="117" t="s">
        <v>203</v>
      </c>
      <c r="B840" s="80" t="s">
        <v>204</v>
      </c>
      <c r="C840" s="117" t="s">
        <v>205</v>
      </c>
      <c r="D840" s="80" t="s">
        <v>206</v>
      </c>
      <c r="E840" s="117" t="s">
        <v>207</v>
      </c>
      <c r="F840" s="80" t="s">
        <v>208</v>
      </c>
      <c r="G840" s="118"/>
    </row>
    <row r="841" spans="1:7" ht="12.75" customHeight="1">
      <c r="A841" s="106" t="s">
        <v>227</v>
      </c>
      <c r="B841" s="100">
        <f>+B124*2</f>
        <v>200000</v>
      </c>
      <c r="C841" s="111">
        <f t="shared" si="5"/>
        <v>150000</v>
      </c>
      <c r="D841" s="120">
        <f t="shared" si="6"/>
        <v>350000</v>
      </c>
      <c r="E841" s="110">
        <v>5</v>
      </c>
      <c r="F841" s="119">
        <f t="shared" si="7"/>
        <v>70000</v>
      </c>
      <c r="G841" s="63"/>
    </row>
    <row r="842" spans="1:7" ht="12.75" customHeight="1">
      <c r="A842" s="63"/>
      <c r="B842" s="100"/>
      <c r="C842" s="111"/>
      <c r="D842" s="120"/>
      <c r="E842" s="110"/>
      <c r="F842" s="119"/>
      <c r="G842" s="63"/>
    </row>
    <row r="843" spans="1:7" ht="12.75" customHeight="1">
      <c r="A843" s="110"/>
      <c r="B843" s="100"/>
      <c r="C843" s="110"/>
      <c r="D843" s="100"/>
      <c r="E843" s="110"/>
      <c r="F843" s="101"/>
      <c r="G843" s="63"/>
    </row>
    <row r="844" spans="1:7" ht="12.75" customHeight="1">
      <c r="A844" s="63"/>
      <c r="B844" s="1"/>
      <c r="C844" s="63"/>
      <c r="D844" s="1"/>
      <c r="E844" s="63"/>
      <c r="F844" s="101"/>
      <c r="G844" s="63"/>
    </row>
    <row r="845" spans="1:7" ht="12.75" customHeight="1">
      <c r="A845" s="110"/>
      <c r="B845" s="100"/>
      <c r="C845" s="110"/>
      <c r="D845" s="100"/>
      <c r="E845" s="110"/>
      <c r="F845" s="101"/>
      <c r="G845" s="63"/>
    </row>
    <row r="846" spans="1:7" ht="12.75" customHeight="1">
      <c r="A846" s="116"/>
      <c r="B846" s="103"/>
      <c r="C846" s="116"/>
      <c r="D846" s="103"/>
      <c r="E846" s="116"/>
      <c r="F846" s="101"/>
      <c r="G846" s="116"/>
    </row>
    <row r="847" spans="1:7" ht="12.75" customHeight="1">
      <c r="A847" s="112"/>
      <c r="B847" s="1"/>
      <c r="C847" s="1"/>
      <c r="D847" s="1"/>
      <c r="E847" s="1"/>
      <c r="F847" s="1" t="s">
        <v>189</v>
      </c>
      <c r="G847" s="114">
        <f t="shared" si="8"/>
        <v>70000</v>
      </c>
    </row>
    <row r="848" spans="1:7" ht="12.75" customHeight="1">
      <c r="A848" s="112"/>
      <c r="B848" s="1"/>
      <c r="C848" s="1"/>
      <c r="D848" s="1"/>
      <c r="E848" s="1"/>
      <c r="F848" s="1"/>
      <c r="G848" s="113"/>
    </row>
    <row r="849" spans="1:7" ht="12.75" customHeight="1">
      <c r="A849" s="103" t="s">
        <v>209</v>
      </c>
      <c r="B849" s="1"/>
      <c r="C849" s="1" t="s">
        <v>210</v>
      </c>
      <c r="D849" s="473" t="s">
        <v>211</v>
      </c>
      <c r="E849" s="457"/>
      <c r="F849" s="457"/>
      <c r="G849" s="114">
        <f t="shared" si="9"/>
        <v>73500</v>
      </c>
    </row>
    <row r="850" spans="1:7" ht="12.75" customHeight="1">
      <c r="A850" s="1"/>
      <c r="B850" s="1"/>
      <c r="C850" s="1"/>
      <c r="D850" s="1"/>
      <c r="E850" s="1"/>
      <c r="F850" s="1"/>
      <c r="G850" s="113"/>
    </row>
    <row r="851" spans="1:7" ht="12.75" customHeight="1">
      <c r="A851" s="1"/>
      <c r="B851" s="1"/>
      <c r="C851" s="1"/>
      <c r="D851" s="1"/>
      <c r="E851" s="1" t="s">
        <v>212</v>
      </c>
      <c r="F851" s="1"/>
      <c r="G851" s="114">
        <f t="shared" si="10"/>
        <v>22050</v>
      </c>
    </row>
    <row r="852" spans="1:7" ht="12.75" customHeight="1">
      <c r="A852" s="1"/>
      <c r="B852" s="1"/>
      <c r="C852" s="1"/>
      <c r="D852" s="1"/>
      <c r="E852" s="1"/>
      <c r="F852" s="1"/>
      <c r="G852" s="113"/>
    </row>
    <row r="853" spans="1:7" ht="12.75" customHeight="1">
      <c r="A853" s="103" t="s">
        <v>213</v>
      </c>
      <c r="B853" s="1"/>
      <c r="C853" s="1"/>
      <c r="D853" s="473" t="s">
        <v>214</v>
      </c>
      <c r="E853" s="457"/>
      <c r="F853" s="457"/>
      <c r="G853" s="114">
        <f t="shared" si="11"/>
        <v>95550</v>
      </c>
    </row>
    <row r="854" spans="1:7" ht="12.75" customHeight="1">
      <c r="A854" s="77"/>
      <c r="B854" s="77"/>
      <c r="C854" s="77"/>
      <c r="D854" s="77"/>
      <c r="E854" s="77"/>
      <c r="F854" s="77"/>
      <c r="G854" s="77"/>
    </row>
    <row r="855" spans="1:7" ht="12.75" customHeight="1">
      <c r="A855" s="77"/>
      <c r="B855" s="77"/>
      <c r="C855" s="77"/>
      <c r="D855" s="77"/>
      <c r="E855" s="77"/>
      <c r="F855" s="77"/>
      <c r="G855" s="77"/>
    </row>
    <row r="856" spans="1:7" ht="12.75" customHeight="1">
      <c r="A856" s="77"/>
      <c r="B856" s="77"/>
      <c r="C856" s="77"/>
      <c r="D856" s="77"/>
      <c r="E856" s="77"/>
      <c r="F856" s="77"/>
      <c r="G856" s="77"/>
    </row>
    <row r="857" spans="1:7" ht="12.75" customHeight="1">
      <c r="A857" s="77"/>
      <c r="B857" s="77"/>
      <c r="C857" s="77"/>
      <c r="D857" s="77"/>
      <c r="E857" s="77"/>
      <c r="F857" s="77"/>
      <c r="G857" s="77"/>
    </row>
    <row r="858" spans="1:7" ht="12.75" customHeight="1">
      <c r="A858" s="77"/>
      <c r="B858" s="77"/>
      <c r="C858" s="77"/>
      <c r="D858" s="77"/>
      <c r="E858" s="77"/>
      <c r="F858" s="77"/>
      <c r="G858" s="77"/>
    </row>
    <row r="859" spans="1:7" ht="12.75" customHeight="1">
      <c r="A859" s="77"/>
      <c r="B859" s="77"/>
      <c r="C859" s="77"/>
      <c r="D859" s="77"/>
      <c r="E859" s="77"/>
      <c r="F859" s="77"/>
      <c r="G859" s="77"/>
    </row>
    <row r="860" spans="1:7" ht="12.75" customHeight="1">
      <c r="A860" s="77"/>
      <c r="B860" s="77"/>
      <c r="C860" s="77"/>
      <c r="D860" s="77"/>
      <c r="E860" s="77"/>
      <c r="F860" s="77"/>
      <c r="G860" s="77"/>
    </row>
    <row r="861" spans="1:7" ht="12.75" customHeight="1">
      <c r="A861" s="77"/>
      <c r="B861" s="77"/>
      <c r="C861" s="77"/>
      <c r="D861" s="77"/>
      <c r="E861" s="77"/>
      <c r="F861" s="77"/>
      <c r="G861" s="77"/>
    </row>
    <row r="862" spans="1:7" ht="12.75" customHeight="1">
      <c r="A862" s="77"/>
      <c r="B862" s="77"/>
      <c r="C862" s="77"/>
      <c r="D862" s="77"/>
      <c r="E862" s="77"/>
      <c r="F862" s="77"/>
      <c r="G862" s="77"/>
    </row>
    <row r="863" spans="1:7" ht="12.75" customHeight="1">
      <c r="A863" s="77"/>
      <c r="B863" s="77"/>
      <c r="C863" s="77"/>
      <c r="D863" s="77"/>
      <c r="E863" s="77"/>
      <c r="F863" s="77"/>
      <c r="G863" s="77"/>
    </row>
    <row r="864" spans="1:7" ht="12.75" customHeight="1">
      <c r="A864" s="77"/>
      <c r="B864" s="77"/>
      <c r="C864" s="77"/>
      <c r="D864" s="77"/>
      <c r="E864" s="77"/>
      <c r="F864" s="77"/>
      <c r="G864" s="77"/>
    </row>
    <row r="865" spans="1:7" ht="12.75" customHeight="1">
      <c r="A865" s="77"/>
      <c r="B865" s="77"/>
      <c r="C865" s="77"/>
      <c r="D865" s="77"/>
      <c r="E865" s="77"/>
      <c r="F865" s="77"/>
      <c r="G865" s="77"/>
    </row>
    <row r="866" spans="1:7" ht="12.75" customHeight="1">
      <c r="A866" s="77"/>
      <c r="B866" s="77"/>
      <c r="C866" s="77"/>
      <c r="D866" s="77"/>
      <c r="E866" s="77"/>
      <c r="F866" s="77"/>
      <c r="G866" s="77"/>
    </row>
    <row r="867" spans="1:7" ht="12.75" customHeight="1">
      <c r="A867" s="77"/>
      <c r="B867" s="77"/>
      <c r="C867" s="77"/>
      <c r="D867" s="77"/>
      <c r="E867" s="77"/>
      <c r="F867" s="77"/>
      <c r="G867" s="77"/>
    </row>
    <row r="868" spans="1:7" ht="12.75" customHeight="1">
      <c r="A868" s="77"/>
      <c r="B868" s="77"/>
      <c r="C868" s="77"/>
      <c r="D868" s="77"/>
      <c r="E868" s="77"/>
      <c r="F868" s="77"/>
      <c r="G868" s="77"/>
    </row>
    <row r="869" spans="1:7" ht="12.75" customHeight="1">
      <c r="A869" s="77"/>
      <c r="B869" s="77"/>
      <c r="C869" s="77"/>
      <c r="D869" s="77"/>
      <c r="E869" s="77"/>
      <c r="F869" s="77"/>
      <c r="G869" s="77"/>
    </row>
    <row r="870" spans="1:7" ht="12.75" customHeight="1">
      <c r="A870" s="77"/>
      <c r="B870" s="77"/>
      <c r="C870" s="77"/>
      <c r="D870" s="77"/>
      <c r="E870" s="77"/>
      <c r="F870" s="77"/>
      <c r="G870" s="77"/>
    </row>
    <row r="871" spans="1:7" ht="12.75" customHeight="1">
      <c r="A871" s="77"/>
      <c r="B871" s="77"/>
      <c r="C871" s="77"/>
      <c r="D871" s="77"/>
      <c r="E871" s="77"/>
      <c r="F871" s="77"/>
      <c r="G871" s="77"/>
    </row>
    <row r="872" spans="1:7" ht="12.75" customHeight="1">
      <c r="A872" s="77"/>
      <c r="B872" s="77"/>
      <c r="C872" s="77"/>
      <c r="D872" s="77"/>
      <c r="E872" s="77"/>
      <c r="F872" s="77"/>
      <c r="G872" s="77"/>
    </row>
    <row r="873" spans="1:7" ht="12.75" customHeight="1">
      <c r="A873" s="77"/>
      <c r="B873" s="77"/>
      <c r="C873" s="77"/>
      <c r="D873" s="77"/>
      <c r="E873" s="77"/>
      <c r="F873" s="77"/>
      <c r="G873" s="77"/>
    </row>
    <row r="874" spans="1:7" ht="12.75" customHeight="1">
      <c r="A874" s="77"/>
      <c r="B874" s="77"/>
      <c r="C874" s="77"/>
      <c r="D874" s="77"/>
      <c r="E874" s="77"/>
      <c r="F874" s="77"/>
      <c r="G874" s="77"/>
    </row>
    <row r="875" spans="1:7" ht="12.75" customHeight="1">
      <c r="A875" s="77"/>
      <c r="B875" s="77"/>
      <c r="C875" s="77"/>
      <c r="D875" s="77"/>
      <c r="E875" s="77"/>
      <c r="F875" s="77"/>
      <c r="G875" s="77"/>
    </row>
    <row r="876" spans="1:7" ht="12.75" customHeight="1">
      <c r="A876" s="77"/>
      <c r="B876" s="77"/>
      <c r="C876" s="77"/>
      <c r="D876" s="77"/>
      <c r="E876" s="77"/>
      <c r="F876" s="77"/>
      <c r="G876" s="77"/>
    </row>
    <row r="877" spans="1:7" ht="12.75" customHeight="1">
      <c r="A877" s="77"/>
      <c r="B877" s="77"/>
      <c r="C877" s="77"/>
      <c r="D877" s="77"/>
      <c r="E877" s="77"/>
      <c r="F877" s="77"/>
      <c r="G877" s="77"/>
    </row>
    <row r="878" spans="1:7" ht="12.75" customHeight="1">
      <c r="A878" s="77"/>
      <c r="B878" s="77"/>
      <c r="C878" s="77"/>
      <c r="D878" s="77"/>
      <c r="E878" s="77"/>
      <c r="F878" s="77"/>
      <c r="G878" s="77"/>
    </row>
    <row r="879" spans="1:7" ht="12.75" customHeight="1">
      <c r="A879" s="77"/>
      <c r="B879" s="77"/>
      <c r="C879" s="77"/>
      <c r="D879" s="77"/>
      <c r="E879" s="77"/>
      <c r="F879" s="77"/>
      <c r="G879" s="77"/>
    </row>
    <row r="880" spans="1:7" ht="12.75" customHeight="1">
      <c r="A880" s="77"/>
      <c r="B880" s="77"/>
      <c r="C880" s="77"/>
      <c r="D880" s="77"/>
      <c r="E880" s="77"/>
      <c r="F880" s="77"/>
      <c r="G880" s="77"/>
    </row>
    <row r="881" spans="1:7" ht="12.75" customHeight="1">
      <c r="A881" s="77"/>
      <c r="B881" s="77"/>
      <c r="C881" s="77"/>
      <c r="D881" s="77"/>
      <c r="E881" s="77"/>
      <c r="F881" s="77"/>
      <c r="G881" s="77"/>
    </row>
    <row r="882" spans="1:7" ht="12.75" customHeight="1">
      <c r="A882" s="77"/>
      <c r="B882" s="77"/>
      <c r="C882" s="77"/>
      <c r="D882" s="77"/>
      <c r="E882" s="77"/>
      <c r="F882" s="77"/>
      <c r="G882" s="77"/>
    </row>
    <row r="883" spans="1:7" ht="12.75" customHeight="1">
      <c r="A883" s="77"/>
      <c r="B883" s="77"/>
      <c r="C883" s="77"/>
      <c r="D883" s="77"/>
      <c r="E883" s="77"/>
      <c r="F883" s="77"/>
      <c r="G883" s="77"/>
    </row>
    <row r="884" spans="1:7" ht="12.75" customHeight="1">
      <c r="A884" s="77"/>
      <c r="B884" s="77"/>
      <c r="C884" s="77"/>
      <c r="D884" s="77"/>
      <c r="E884" s="77"/>
      <c r="F884" s="77"/>
      <c r="G884" s="77"/>
    </row>
    <row r="885" spans="1:7" ht="12.75" customHeight="1">
      <c r="A885" s="77"/>
      <c r="B885" s="77"/>
      <c r="C885" s="77"/>
      <c r="D885" s="77"/>
      <c r="E885" s="77"/>
      <c r="F885" s="77"/>
      <c r="G885" s="77"/>
    </row>
    <row r="886" spans="1:7" ht="12.75" customHeight="1">
      <c r="A886" s="77"/>
      <c r="B886" s="77"/>
      <c r="C886" s="77"/>
      <c r="D886" s="77"/>
      <c r="E886" s="77"/>
      <c r="F886" s="77"/>
      <c r="G886" s="77"/>
    </row>
    <row r="887" spans="1:7" ht="12.75" customHeight="1">
      <c r="A887" s="77"/>
      <c r="B887" s="77"/>
      <c r="C887" s="77"/>
      <c r="D887" s="77"/>
      <c r="E887" s="77"/>
      <c r="F887" s="77"/>
      <c r="G887" s="77"/>
    </row>
    <row r="888" spans="1:7" ht="12.75" customHeight="1">
      <c r="A888" s="77"/>
      <c r="B888" s="77"/>
      <c r="C888" s="77"/>
      <c r="D888" s="77"/>
      <c r="E888" s="77"/>
      <c r="F888" s="77"/>
      <c r="G888" s="77"/>
    </row>
    <row r="889" spans="1:7" ht="12.75" customHeight="1">
      <c r="A889" s="77"/>
      <c r="B889" s="77"/>
      <c r="C889" s="77"/>
      <c r="D889" s="77"/>
      <c r="E889" s="77"/>
      <c r="F889" s="77"/>
      <c r="G889" s="77"/>
    </row>
    <row r="890" spans="1:7" ht="12.75" customHeight="1">
      <c r="A890" s="77"/>
      <c r="B890" s="77"/>
      <c r="C890" s="77"/>
      <c r="D890" s="77"/>
      <c r="E890" s="77"/>
      <c r="F890" s="77"/>
      <c r="G890" s="77"/>
    </row>
    <row r="891" spans="1:7" ht="12.75" customHeight="1">
      <c r="A891" s="77"/>
      <c r="B891" s="77"/>
      <c r="C891" s="77"/>
      <c r="D891" s="77"/>
      <c r="E891" s="77"/>
      <c r="F891" s="77"/>
      <c r="G891" s="77"/>
    </row>
    <row r="892" spans="1:7" ht="12.75" customHeight="1">
      <c r="A892" s="77"/>
      <c r="B892" s="77"/>
      <c r="C892" s="77"/>
      <c r="D892" s="77"/>
      <c r="E892" s="77"/>
      <c r="F892" s="77"/>
      <c r="G892" s="77"/>
    </row>
    <row r="893" spans="1:7" ht="12.75" customHeight="1">
      <c r="A893" s="77"/>
      <c r="B893" s="77"/>
      <c r="C893" s="77"/>
      <c r="D893" s="77"/>
      <c r="E893" s="77"/>
      <c r="F893" s="77"/>
      <c r="G893" s="77"/>
    </row>
    <row r="894" spans="1:7" ht="12.75" customHeight="1">
      <c r="A894" s="77"/>
      <c r="B894" s="77"/>
      <c r="C894" s="77"/>
      <c r="D894" s="77"/>
      <c r="E894" s="77"/>
      <c r="F894" s="77"/>
      <c r="G894" s="77"/>
    </row>
    <row r="895" spans="1:7" ht="12.75" customHeight="1">
      <c r="A895" s="77"/>
      <c r="B895" s="77"/>
      <c r="C895" s="77"/>
      <c r="D895" s="77"/>
      <c r="E895" s="77"/>
      <c r="F895" s="77"/>
      <c r="G895" s="77"/>
    </row>
    <row r="896" spans="1:7" ht="12.75" customHeight="1">
      <c r="A896" s="77"/>
      <c r="B896" s="77"/>
      <c r="C896" s="77"/>
      <c r="D896" s="77"/>
      <c r="E896" s="77"/>
      <c r="F896" s="77"/>
      <c r="G896" s="77"/>
    </row>
    <row r="897" spans="1:7" ht="12.75" customHeight="1">
      <c r="A897" s="77"/>
      <c r="B897" s="77"/>
      <c r="C897" s="77"/>
      <c r="D897" s="77"/>
      <c r="E897" s="77"/>
      <c r="F897" s="77"/>
      <c r="G897" s="77"/>
    </row>
    <row r="898" spans="1:7" ht="12.75" customHeight="1">
      <c r="A898" s="77"/>
      <c r="B898" s="77"/>
      <c r="C898" s="77"/>
      <c r="D898" s="77"/>
      <c r="E898" s="77"/>
      <c r="F898" s="77"/>
      <c r="G898" s="77"/>
    </row>
    <row r="899" spans="1:7" ht="12.75" customHeight="1">
      <c r="A899" s="77"/>
      <c r="B899" s="77"/>
      <c r="C899" s="77"/>
      <c r="D899" s="77"/>
      <c r="E899" s="77"/>
      <c r="F899" s="77"/>
      <c r="G899" s="77"/>
    </row>
    <row r="900" spans="1:7" ht="12.75" customHeight="1">
      <c r="A900" s="77"/>
      <c r="B900" s="77"/>
      <c r="C900" s="77"/>
      <c r="D900" s="77"/>
      <c r="E900" s="77"/>
      <c r="F900" s="77"/>
      <c r="G900" s="77"/>
    </row>
    <row r="901" spans="1:7" ht="12.75" customHeight="1">
      <c r="A901" s="77"/>
      <c r="B901" s="77"/>
      <c r="C901" s="77"/>
      <c r="D901" s="77"/>
      <c r="E901" s="77"/>
      <c r="F901" s="77"/>
      <c r="G901" s="77"/>
    </row>
    <row r="902" spans="1:7" ht="12.75" customHeight="1">
      <c r="A902" s="77"/>
      <c r="B902" s="77"/>
      <c r="C902" s="77"/>
      <c r="D902" s="77"/>
      <c r="E902" s="77"/>
      <c r="F902" s="77"/>
      <c r="G902" s="77"/>
    </row>
    <row r="903" spans="1:7" ht="12.75" customHeight="1">
      <c r="A903" s="77"/>
      <c r="B903" s="77"/>
      <c r="C903" s="77"/>
      <c r="D903" s="77"/>
      <c r="E903" s="77"/>
      <c r="F903" s="77"/>
      <c r="G903" s="77"/>
    </row>
    <row r="904" spans="1:7" ht="12.75" customHeight="1">
      <c r="A904" s="77"/>
      <c r="B904" s="77"/>
      <c r="C904" s="77"/>
      <c r="D904" s="77"/>
      <c r="E904" s="77"/>
      <c r="F904" s="77"/>
      <c r="G904" s="77"/>
    </row>
    <row r="905" spans="1:7" ht="12.75" customHeight="1">
      <c r="A905" s="77"/>
      <c r="B905" s="77"/>
      <c r="C905" s="77"/>
      <c r="D905" s="77"/>
      <c r="E905" s="77"/>
      <c r="F905" s="77"/>
      <c r="G905" s="77"/>
    </row>
    <row r="906" spans="1:7" ht="12.75" customHeight="1">
      <c r="A906" s="77"/>
      <c r="B906" s="77"/>
      <c r="C906" s="77"/>
      <c r="D906" s="77"/>
      <c r="E906" s="77"/>
      <c r="F906" s="77"/>
      <c r="G906" s="77"/>
    </row>
    <row r="907" spans="1:7" ht="12.75" customHeight="1">
      <c r="A907" s="77"/>
      <c r="B907" s="77"/>
      <c r="C907" s="77"/>
      <c r="D907" s="77"/>
      <c r="E907" s="77"/>
      <c r="F907" s="77"/>
      <c r="G907" s="77"/>
    </row>
    <row r="908" spans="1:7" ht="12.75" customHeight="1">
      <c r="A908" s="77"/>
      <c r="B908" s="77"/>
      <c r="C908" s="77"/>
      <c r="D908" s="77"/>
      <c r="E908" s="77"/>
      <c r="F908" s="77"/>
      <c r="G908" s="77"/>
    </row>
    <row r="909" spans="1:7" ht="12.75" customHeight="1">
      <c r="A909" s="77"/>
      <c r="B909" s="77"/>
      <c r="C909" s="77"/>
      <c r="D909" s="77"/>
      <c r="E909" s="77"/>
      <c r="F909" s="77"/>
      <c r="G909" s="77"/>
    </row>
    <row r="910" spans="1:7" ht="12.75" customHeight="1">
      <c r="A910" s="77"/>
      <c r="B910" s="77"/>
      <c r="C910" s="77"/>
      <c r="D910" s="77"/>
      <c r="E910" s="77"/>
      <c r="F910" s="77"/>
      <c r="G910" s="77"/>
    </row>
    <row r="911" spans="1:7" ht="12.75" customHeight="1">
      <c r="A911" s="77"/>
      <c r="B911" s="77"/>
      <c r="C911" s="77"/>
      <c r="D911" s="77"/>
      <c r="E911" s="77"/>
      <c r="F911" s="77"/>
      <c r="G911" s="77"/>
    </row>
    <row r="912" spans="1:7" ht="12.75" customHeight="1">
      <c r="A912" s="77"/>
      <c r="B912" s="77"/>
      <c r="C912" s="77"/>
      <c r="D912" s="77"/>
      <c r="E912" s="77"/>
      <c r="F912" s="77"/>
      <c r="G912" s="77"/>
    </row>
    <row r="913" spans="1:7" ht="12.75" customHeight="1">
      <c r="A913" s="77"/>
      <c r="B913" s="77"/>
      <c r="C913" s="77"/>
      <c r="D913" s="77"/>
      <c r="E913" s="77"/>
      <c r="F913" s="77"/>
      <c r="G913" s="77"/>
    </row>
    <row r="914" spans="1:7" ht="12.75" customHeight="1">
      <c r="A914" s="77"/>
      <c r="B914" s="77"/>
      <c r="C914" s="77"/>
      <c r="D914" s="77"/>
      <c r="E914" s="77"/>
      <c r="F914" s="77"/>
      <c r="G914" s="77"/>
    </row>
    <row r="915" spans="1:7" ht="12.75" customHeight="1">
      <c r="A915" s="77"/>
      <c r="B915" s="77"/>
      <c r="C915" s="77"/>
      <c r="D915" s="77"/>
      <c r="E915" s="77"/>
      <c r="F915" s="77"/>
      <c r="G915" s="77"/>
    </row>
    <row r="916" spans="1:7" ht="12.75" customHeight="1">
      <c r="A916" s="77"/>
      <c r="B916" s="77"/>
      <c r="C916" s="77"/>
      <c r="D916" s="77"/>
      <c r="E916" s="77"/>
      <c r="F916" s="77"/>
      <c r="G916" s="77"/>
    </row>
    <row r="917" spans="1:7" ht="12.75" customHeight="1">
      <c r="A917" s="77"/>
      <c r="B917" s="77"/>
      <c r="C917" s="77"/>
      <c r="D917" s="77"/>
      <c r="E917" s="77"/>
      <c r="F917" s="77"/>
      <c r="G917" s="77"/>
    </row>
    <row r="918" spans="1:7" ht="12.75" customHeight="1">
      <c r="A918" s="77"/>
      <c r="B918" s="77"/>
      <c r="C918" s="77"/>
      <c r="D918" s="77"/>
      <c r="E918" s="77"/>
      <c r="F918" s="77"/>
      <c r="G918" s="77"/>
    </row>
    <row r="919" spans="1:7" ht="12.75" customHeight="1">
      <c r="A919" s="77"/>
      <c r="B919" s="77"/>
      <c r="C919" s="77"/>
      <c r="D919" s="77"/>
      <c r="E919" s="77"/>
      <c r="F919" s="77"/>
      <c r="G919" s="77"/>
    </row>
    <row r="920" spans="1:7" ht="12.75" customHeight="1">
      <c r="A920" s="77"/>
      <c r="B920" s="77"/>
      <c r="C920" s="77"/>
      <c r="D920" s="77"/>
      <c r="E920" s="77"/>
      <c r="F920" s="77"/>
      <c r="G920" s="77"/>
    </row>
    <row r="921" spans="1:7" ht="12.75" customHeight="1">
      <c r="A921" s="77"/>
      <c r="B921" s="77"/>
      <c r="C921" s="77"/>
      <c r="D921" s="77"/>
      <c r="E921" s="77"/>
      <c r="F921" s="77"/>
      <c r="G921" s="77"/>
    </row>
    <row r="922" spans="1:7" ht="12.75" customHeight="1">
      <c r="A922" s="77"/>
      <c r="B922" s="77"/>
      <c r="C922" s="77"/>
      <c r="D922" s="77"/>
      <c r="E922" s="77"/>
      <c r="F922" s="77"/>
      <c r="G922" s="77"/>
    </row>
    <row r="923" spans="1:7" ht="12.75" customHeight="1">
      <c r="A923" s="77"/>
      <c r="B923" s="77"/>
      <c r="C923" s="77"/>
      <c r="D923" s="77"/>
      <c r="E923" s="77"/>
      <c r="F923" s="77"/>
      <c r="G923" s="77"/>
    </row>
    <row r="924" spans="1:7" ht="12.75" customHeight="1">
      <c r="A924" s="77"/>
      <c r="B924" s="77"/>
      <c r="C924" s="77"/>
      <c r="D924" s="77"/>
      <c r="E924" s="77"/>
      <c r="F924" s="77"/>
      <c r="G924" s="77"/>
    </row>
    <row r="925" spans="1:7" ht="12.75" customHeight="1">
      <c r="A925" s="77"/>
      <c r="B925" s="77"/>
      <c r="C925" s="77"/>
      <c r="D925" s="77"/>
      <c r="E925" s="77"/>
      <c r="F925" s="77"/>
      <c r="G925" s="77"/>
    </row>
    <row r="926" spans="1:7" ht="12.75" customHeight="1">
      <c r="A926" s="77"/>
      <c r="B926" s="77"/>
      <c r="C926" s="77"/>
      <c r="D926" s="77"/>
      <c r="E926" s="77"/>
      <c r="F926" s="77"/>
      <c r="G926" s="77"/>
    </row>
    <row r="927" spans="1:7" ht="12.75" customHeight="1">
      <c r="A927" s="77"/>
      <c r="B927" s="77"/>
      <c r="C927" s="77"/>
      <c r="D927" s="77"/>
      <c r="E927" s="77"/>
      <c r="F927" s="77"/>
      <c r="G927" s="77"/>
    </row>
    <row r="928" spans="1:7" ht="12.75" customHeight="1">
      <c r="A928" s="77"/>
      <c r="B928" s="77"/>
      <c r="C928" s="77"/>
      <c r="D928" s="77"/>
      <c r="E928" s="77"/>
      <c r="F928" s="77"/>
      <c r="G928" s="77"/>
    </row>
    <row r="929" spans="1:7" ht="12.75" customHeight="1">
      <c r="A929" s="77"/>
      <c r="B929" s="77"/>
      <c r="C929" s="77"/>
      <c r="D929" s="77"/>
      <c r="E929" s="77"/>
      <c r="F929" s="77"/>
      <c r="G929" s="77"/>
    </row>
    <row r="930" spans="1:7" ht="12.75" customHeight="1">
      <c r="A930" s="77"/>
      <c r="B930" s="77"/>
      <c r="C930" s="77"/>
      <c r="D930" s="77"/>
      <c r="E930" s="77"/>
      <c r="F930" s="77"/>
      <c r="G930" s="77"/>
    </row>
    <row r="931" spans="1:7" ht="12.75" customHeight="1">
      <c r="A931" s="77"/>
      <c r="B931" s="77"/>
      <c r="C931" s="77"/>
      <c r="D931" s="77"/>
      <c r="E931" s="77"/>
      <c r="F931" s="77"/>
      <c r="G931" s="77"/>
    </row>
    <row r="932" spans="1:7" ht="12.75" customHeight="1">
      <c r="A932" s="77"/>
      <c r="B932" s="77"/>
      <c r="C932" s="77"/>
      <c r="D932" s="77"/>
      <c r="E932" s="77"/>
      <c r="F932" s="77"/>
      <c r="G932" s="77"/>
    </row>
    <row r="933" spans="1:7" ht="12.75" customHeight="1">
      <c r="A933" s="77"/>
      <c r="B933" s="77"/>
      <c r="C933" s="77"/>
      <c r="D933" s="77"/>
      <c r="E933" s="77"/>
      <c r="F933" s="77"/>
      <c r="G933" s="77"/>
    </row>
    <row r="934" spans="1:7" ht="12.75" customHeight="1">
      <c r="A934" s="77"/>
      <c r="B934" s="77"/>
      <c r="C934" s="77"/>
      <c r="D934" s="77"/>
      <c r="E934" s="77"/>
      <c r="F934" s="77"/>
      <c r="G934" s="77"/>
    </row>
    <row r="935" spans="1:7" ht="12.75" customHeight="1">
      <c r="A935" s="77"/>
      <c r="B935" s="77"/>
      <c r="C935" s="77"/>
      <c r="D935" s="77"/>
      <c r="E935" s="77"/>
      <c r="F935" s="77"/>
      <c r="G935" s="77"/>
    </row>
    <row r="936" spans="1:7" ht="12.75" customHeight="1">
      <c r="A936" s="77"/>
      <c r="B936" s="77"/>
      <c r="C936" s="77"/>
      <c r="D936" s="77"/>
      <c r="E936" s="77"/>
      <c r="F936" s="77"/>
      <c r="G936" s="77"/>
    </row>
    <row r="937" spans="1:7" ht="12.75" customHeight="1">
      <c r="A937" s="77"/>
      <c r="B937" s="77"/>
      <c r="C937" s="77"/>
      <c r="D937" s="77"/>
      <c r="E937" s="77"/>
      <c r="F937" s="77"/>
      <c r="G937" s="77"/>
    </row>
    <row r="938" spans="1:7" ht="12.75" customHeight="1">
      <c r="A938" s="77"/>
      <c r="B938" s="77"/>
      <c r="C938" s="77"/>
      <c r="D938" s="77"/>
      <c r="E938" s="77"/>
      <c r="F938" s="77"/>
      <c r="G938" s="77"/>
    </row>
    <row r="939" spans="1:7" ht="12.75" customHeight="1">
      <c r="A939" s="77"/>
      <c r="B939" s="77"/>
      <c r="C939" s="77"/>
      <c r="D939" s="77"/>
      <c r="E939" s="77"/>
      <c r="F939" s="77"/>
      <c r="G939" s="77"/>
    </row>
    <row r="940" spans="1:7" ht="12.75" customHeight="1">
      <c r="A940" s="77"/>
      <c r="B940" s="77"/>
      <c r="C940" s="77"/>
      <c r="D940" s="77"/>
      <c r="E940" s="77"/>
      <c r="F940" s="77"/>
      <c r="G940" s="77"/>
    </row>
    <row r="941" spans="1:7" ht="12.75" customHeight="1">
      <c r="A941" s="77"/>
      <c r="B941" s="77"/>
      <c r="C941" s="77"/>
      <c r="D941" s="77"/>
      <c r="E941" s="77"/>
      <c r="F941" s="77"/>
      <c r="G941" s="77"/>
    </row>
    <row r="942" spans="1:7" ht="12.75" customHeight="1">
      <c r="A942" s="77"/>
      <c r="B942" s="77"/>
      <c r="C942" s="77"/>
      <c r="D942" s="77"/>
      <c r="E942" s="77"/>
      <c r="F942" s="77"/>
      <c r="G942" s="77"/>
    </row>
    <row r="943" spans="1:7" ht="12.75" customHeight="1">
      <c r="A943" s="77"/>
      <c r="B943" s="77"/>
      <c r="C943" s="77"/>
      <c r="D943" s="77"/>
      <c r="E943" s="77"/>
      <c r="F943" s="77"/>
      <c r="G943" s="77"/>
    </row>
    <row r="944" spans="1:7" ht="12.75" customHeight="1">
      <c r="A944" s="77"/>
      <c r="B944" s="77"/>
      <c r="C944" s="77"/>
      <c r="D944" s="77"/>
      <c r="E944" s="77"/>
      <c r="F944" s="77"/>
      <c r="G944" s="77"/>
    </row>
    <row r="945" spans="1:7" ht="12.75" customHeight="1">
      <c r="A945" s="77"/>
      <c r="B945" s="77"/>
      <c r="C945" s="77"/>
      <c r="D945" s="77"/>
      <c r="E945" s="77"/>
      <c r="F945" s="77"/>
      <c r="G945" s="77"/>
    </row>
    <row r="946" spans="1:7" ht="12.75" customHeight="1">
      <c r="A946" s="77"/>
      <c r="B946" s="77"/>
      <c r="C946" s="77"/>
      <c r="D946" s="77"/>
      <c r="E946" s="77"/>
      <c r="F946" s="77"/>
      <c r="G946" s="77"/>
    </row>
    <row r="947" spans="1:7" ht="12.75" customHeight="1">
      <c r="A947" s="77"/>
      <c r="B947" s="77"/>
      <c r="C947" s="77"/>
      <c r="D947" s="77"/>
      <c r="E947" s="77"/>
      <c r="F947" s="77"/>
      <c r="G947" s="77"/>
    </row>
    <row r="948" spans="1:7" ht="12.75" customHeight="1">
      <c r="A948" s="77"/>
      <c r="B948" s="77"/>
      <c r="C948" s="77"/>
      <c r="D948" s="77"/>
      <c r="E948" s="77"/>
      <c r="F948" s="77"/>
      <c r="G948" s="77"/>
    </row>
    <row r="949" spans="1:7" ht="12.75" customHeight="1">
      <c r="A949" s="77"/>
      <c r="B949" s="77"/>
      <c r="C949" s="77"/>
      <c r="D949" s="77"/>
      <c r="E949" s="77"/>
      <c r="F949" s="77"/>
      <c r="G949" s="77"/>
    </row>
    <row r="950" spans="1:7" ht="12.75" customHeight="1">
      <c r="A950" s="77"/>
      <c r="B950" s="77"/>
      <c r="C950" s="77"/>
      <c r="D950" s="77"/>
      <c r="E950" s="77"/>
      <c r="F950" s="77"/>
      <c r="G950" s="77"/>
    </row>
    <row r="951" spans="1:7" ht="12.75" customHeight="1">
      <c r="A951" s="77"/>
      <c r="B951" s="77"/>
      <c r="C951" s="77"/>
      <c r="D951" s="77"/>
      <c r="E951" s="77"/>
      <c r="F951" s="77"/>
      <c r="G951" s="77"/>
    </row>
    <row r="952" spans="1:7" ht="12.75" customHeight="1">
      <c r="A952" s="77"/>
      <c r="B952" s="77"/>
      <c r="C952" s="77"/>
      <c r="D952" s="77"/>
      <c r="E952" s="77"/>
      <c r="F952" s="77"/>
      <c r="G952" s="77"/>
    </row>
    <row r="953" spans="1:7" ht="12.75" customHeight="1">
      <c r="A953" s="77"/>
      <c r="B953" s="77"/>
      <c r="C953" s="77"/>
      <c r="D953" s="77"/>
      <c r="E953" s="77"/>
      <c r="F953" s="77"/>
      <c r="G953" s="77"/>
    </row>
    <row r="954" spans="1:7" ht="12.75" customHeight="1">
      <c r="A954" s="77"/>
      <c r="B954" s="77"/>
      <c r="C954" s="77"/>
      <c r="D954" s="77"/>
      <c r="E954" s="77"/>
      <c r="F954" s="77"/>
      <c r="G954" s="77"/>
    </row>
    <row r="955" spans="1:7" ht="12.75" customHeight="1">
      <c r="A955" s="77"/>
      <c r="B955" s="77"/>
      <c r="C955" s="77"/>
      <c r="D955" s="77"/>
      <c r="E955" s="77"/>
      <c r="F955" s="77"/>
      <c r="G955" s="77"/>
    </row>
    <row r="956" spans="1:7" ht="12.75" customHeight="1">
      <c r="A956" s="77"/>
      <c r="B956" s="77"/>
      <c r="C956" s="77"/>
      <c r="D956" s="77"/>
      <c r="E956" s="77"/>
      <c r="F956" s="77"/>
      <c r="G956" s="77"/>
    </row>
    <row r="957" spans="1:7" ht="12.75" customHeight="1">
      <c r="A957" s="77"/>
      <c r="B957" s="77"/>
      <c r="C957" s="77"/>
      <c r="D957" s="77"/>
      <c r="E957" s="77"/>
      <c r="F957" s="77"/>
      <c r="G957" s="77"/>
    </row>
    <row r="958" spans="1:7" ht="12.75" customHeight="1">
      <c r="A958" s="77"/>
      <c r="B958" s="77"/>
      <c r="C958" s="77"/>
      <c r="D958" s="77"/>
      <c r="E958" s="77"/>
      <c r="F958" s="77"/>
      <c r="G958" s="77"/>
    </row>
    <row r="959" spans="1:7" ht="12.75" customHeight="1">
      <c r="A959" s="77"/>
      <c r="B959" s="77"/>
      <c r="C959" s="77"/>
      <c r="D959" s="77"/>
      <c r="E959" s="77"/>
      <c r="F959" s="77"/>
      <c r="G959" s="77"/>
    </row>
    <row r="960" spans="1:7" ht="12.75" customHeight="1">
      <c r="A960" s="77"/>
      <c r="B960" s="77"/>
      <c r="C960" s="77"/>
      <c r="D960" s="77"/>
      <c r="E960" s="77"/>
      <c r="F960" s="77"/>
      <c r="G960" s="77"/>
    </row>
    <row r="961" spans="1:7" ht="12.75" customHeight="1">
      <c r="A961" s="77"/>
      <c r="B961" s="77"/>
      <c r="C961" s="77"/>
      <c r="D961" s="77"/>
      <c r="E961" s="77"/>
      <c r="F961" s="77"/>
      <c r="G961" s="77"/>
    </row>
    <row r="962" spans="1:7" ht="12.75" customHeight="1">
      <c r="A962" s="77"/>
      <c r="B962" s="77"/>
      <c r="C962" s="77"/>
      <c r="D962" s="77"/>
      <c r="E962" s="77"/>
      <c r="F962" s="77"/>
      <c r="G962" s="77"/>
    </row>
    <row r="963" spans="1:7" ht="12.75" customHeight="1">
      <c r="A963" s="77"/>
      <c r="B963" s="77"/>
      <c r="C963" s="77"/>
      <c r="D963" s="77"/>
      <c r="E963" s="77"/>
      <c r="F963" s="77"/>
      <c r="G963" s="77"/>
    </row>
    <row r="964" spans="1:7" ht="12.75" customHeight="1">
      <c r="A964" s="77"/>
      <c r="B964" s="77"/>
      <c r="C964" s="77"/>
      <c r="D964" s="77"/>
      <c r="E964" s="77"/>
      <c r="F964" s="77"/>
      <c r="G964" s="77"/>
    </row>
    <row r="965" spans="1:7" ht="12.75" customHeight="1">
      <c r="A965" s="77"/>
      <c r="B965" s="77"/>
      <c r="C965" s="77"/>
      <c r="D965" s="77"/>
      <c r="E965" s="77"/>
      <c r="F965" s="77"/>
      <c r="G965" s="77"/>
    </row>
    <row r="966" spans="1:7" ht="12.75" customHeight="1">
      <c r="A966" s="77"/>
      <c r="B966" s="77"/>
      <c r="C966" s="77"/>
      <c r="D966" s="77"/>
      <c r="E966" s="77"/>
      <c r="F966" s="77"/>
      <c r="G966" s="77"/>
    </row>
    <row r="967" spans="1:7" ht="12.75" customHeight="1">
      <c r="A967" s="77"/>
      <c r="B967" s="77"/>
      <c r="C967" s="77"/>
      <c r="D967" s="77"/>
      <c r="E967" s="77"/>
      <c r="F967" s="77"/>
      <c r="G967" s="77"/>
    </row>
    <row r="968" spans="1:7" ht="12.75" customHeight="1">
      <c r="A968" s="77"/>
      <c r="B968" s="77"/>
      <c r="C968" s="77"/>
      <c r="D968" s="77"/>
      <c r="E968" s="77"/>
      <c r="F968" s="77"/>
      <c r="G968" s="77"/>
    </row>
    <row r="969" spans="1:7" ht="12.75" customHeight="1">
      <c r="A969" s="77"/>
      <c r="B969" s="77"/>
      <c r="C969" s="77"/>
      <c r="D969" s="77"/>
      <c r="E969" s="77"/>
      <c r="F969" s="77"/>
      <c r="G969" s="77"/>
    </row>
    <row r="970" spans="1:7" ht="12.75" customHeight="1">
      <c r="A970" s="77"/>
      <c r="B970" s="77"/>
      <c r="C970" s="77"/>
      <c r="D970" s="77"/>
      <c r="E970" s="77"/>
      <c r="F970" s="77"/>
      <c r="G970" s="77"/>
    </row>
    <row r="971" spans="1:7" ht="12.75" customHeight="1">
      <c r="A971" s="77"/>
      <c r="B971" s="77"/>
      <c r="C971" s="77"/>
      <c r="D971" s="77"/>
      <c r="E971" s="77"/>
      <c r="F971" s="77"/>
      <c r="G971" s="77"/>
    </row>
    <row r="972" spans="1:7" ht="12.75" customHeight="1">
      <c r="A972" s="77"/>
      <c r="B972" s="77"/>
      <c r="C972" s="77"/>
      <c r="D972" s="77"/>
      <c r="E972" s="77"/>
      <c r="F972" s="77"/>
      <c r="G972" s="77"/>
    </row>
    <row r="973" spans="1:7" ht="12.75" customHeight="1">
      <c r="A973" s="77"/>
      <c r="B973" s="77"/>
      <c r="C973" s="77"/>
      <c r="D973" s="77"/>
      <c r="E973" s="77"/>
      <c r="F973" s="77"/>
      <c r="G973" s="77"/>
    </row>
    <row r="974" spans="1:7" ht="12.75" customHeight="1">
      <c r="A974" s="77"/>
      <c r="B974" s="77"/>
      <c r="C974" s="77"/>
      <c r="D974" s="77"/>
      <c r="E974" s="77"/>
      <c r="F974" s="77"/>
      <c r="G974" s="77"/>
    </row>
    <row r="975" spans="1:7" ht="12.75" customHeight="1">
      <c r="A975" s="77"/>
      <c r="B975" s="77"/>
      <c r="C975" s="77"/>
      <c r="D975" s="77"/>
      <c r="E975" s="77"/>
      <c r="F975" s="77"/>
      <c r="G975" s="77"/>
    </row>
    <row r="976" spans="1:7" ht="12.75" customHeight="1">
      <c r="A976" s="77"/>
      <c r="B976" s="77"/>
      <c r="C976" s="77"/>
      <c r="D976" s="77"/>
      <c r="E976" s="77"/>
      <c r="F976" s="77"/>
      <c r="G976" s="77"/>
    </row>
    <row r="977" spans="1:7" ht="12.75" customHeight="1">
      <c r="A977" s="77"/>
      <c r="B977" s="77"/>
      <c r="C977" s="77"/>
      <c r="D977" s="77"/>
      <c r="E977" s="77"/>
      <c r="F977" s="77"/>
      <c r="G977" s="77"/>
    </row>
    <row r="978" spans="1:7" ht="12.75" customHeight="1">
      <c r="A978" s="77"/>
      <c r="B978" s="77"/>
      <c r="C978" s="77"/>
      <c r="D978" s="77"/>
      <c r="E978" s="77"/>
      <c r="F978" s="77"/>
      <c r="G978" s="77"/>
    </row>
    <row r="979" spans="1:7" ht="12.75" customHeight="1">
      <c r="A979" s="77"/>
      <c r="B979" s="77"/>
      <c r="C979" s="77"/>
      <c r="D979" s="77"/>
      <c r="E979" s="77"/>
      <c r="F979" s="77"/>
      <c r="G979" s="77"/>
    </row>
    <row r="980" spans="1:7" ht="12.75" customHeight="1">
      <c r="A980" s="77"/>
      <c r="B980" s="77"/>
      <c r="C980" s="77"/>
      <c r="D980" s="77"/>
      <c r="E980" s="77"/>
      <c r="F980" s="77"/>
      <c r="G980" s="77"/>
    </row>
    <row r="981" spans="1:7" ht="12.75" customHeight="1">
      <c r="A981" s="77"/>
      <c r="B981" s="77"/>
      <c r="C981" s="77"/>
      <c r="D981" s="77"/>
      <c r="E981" s="77"/>
      <c r="F981" s="77"/>
      <c r="G981" s="77"/>
    </row>
    <row r="982" spans="1:7" ht="12.75" customHeight="1">
      <c r="A982" s="77"/>
      <c r="B982" s="77"/>
      <c r="C982" s="77"/>
      <c r="D982" s="77"/>
      <c r="E982" s="77"/>
      <c r="F982" s="77"/>
      <c r="G982" s="77"/>
    </row>
    <row r="983" spans="1:7" ht="12.75" customHeight="1">
      <c r="A983" s="77"/>
      <c r="B983" s="77"/>
      <c r="C983" s="77"/>
      <c r="D983" s="77"/>
      <c r="E983" s="77"/>
      <c r="F983" s="77"/>
      <c r="G983" s="77"/>
    </row>
    <row r="984" spans="1:7" ht="12.75" customHeight="1">
      <c r="A984" s="77"/>
      <c r="B984" s="77"/>
      <c r="C984" s="77"/>
      <c r="D984" s="77"/>
      <c r="E984" s="77"/>
      <c r="F984" s="77"/>
      <c r="G984" s="77"/>
    </row>
    <row r="985" spans="1:7" ht="12.75" customHeight="1">
      <c r="A985" s="77"/>
      <c r="B985" s="77"/>
      <c r="C985" s="77"/>
      <c r="D985" s="77"/>
      <c r="E985" s="77"/>
      <c r="F985" s="77"/>
      <c r="G985" s="77"/>
    </row>
    <row r="986" spans="1:7" ht="12.75" customHeight="1">
      <c r="A986" s="77"/>
      <c r="B986" s="77"/>
      <c r="C986" s="77"/>
      <c r="D986" s="77"/>
      <c r="E986" s="77"/>
      <c r="F986" s="77"/>
      <c r="G986" s="77"/>
    </row>
    <row r="987" spans="1:7" ht="12.75" customHeight="1">
      <c r="A987" s="77"/>
      <c r="B987" s="77"/>
      <c r="C987" s="77"/>
      <c r="D987" s="77"/>
      <c r="E987" s="77"/>
      <c r="F987" s="77"/>
      <c r="G987" s="77"/>
    </row>
    <row r="988" spans="1:7" ht="12.75" customHeight="1">
      <c r="A988" s="77"/>
      <c r="B988" s="77"/>
      <c r="C988" s="77"/>
      <c r="D988" s="77"/>
      <c r="E988" s="77"/>
      <c r="F988" s="77"/>
      <c r="G988" s="77"/>
    </row>
    <row r="989" spans="1:7" ht="12.75" customHeight="1">
      <c r="A989" s="77"/>
      <c r="B989" s="77"/>
      <c r="C989" s="77"/>
      <c r="D989" s="77"/>
      <c r="E989" s="77"/>
      <c r="F989" s="77"/>
      <c r="G989" s="77"/>
    </row>
    <row r="990" spans="1:7" ht="12.75" customHeight="1">
      <c r="A990" s="77"/>
      <c r="B990" s="77"/>
      <c r="C990" s="77"/>
      <c r="D990" s="77"/>
      <c r="E990" s="77"/>
      <c r="F990" s="77"/>
      <c r="G990" s="77"/>
    </row>
    <row r="991" spans="1:7" ht="12.75" customHeight="1">
      <c r="A991" s="77"/>
      <c r="B991" s="77"/>
      <c r="C991" s="77"/>
      <c r="D991" s="77"/>
      <c r="E991" s="77"/>
      <c r="F991" s="77"/>
      <c r="G991" s="77"/>
    </row>
    <row r="992" spans="1:7" ht="12.75" customHeight="1">
      <c r="A992" s="77"/>
      <c r="B992" s="77"/>
      <c r="C992" s="77"/>
      <c r="D992" s="77"/>
      <c r="E992" s="77"/>
      <c r="F992" s="77"/>
      <c r="G992" s="77"/>
    </row>
    <row r="993" spans="1:7" ht="12.75" customHeight="1">
      <c r="A993" s="77"/>
      <c r="B993" s="77"/>
      <c r="C993" s="77"/>
      <c r="D993" s="77"/>
      <c r="E993" s="77"/>
      <c r="F993" s="77"/>
      <c r="G993" s="77"/>
    </row>
    <row r="994" spans="1:7" ht="12.75" customHeight="1">
      <c r="A994" s="77"/>
      <c r="B994" s="77"/>
      <c r="C994" s="77"/>
      <c r="D994" s="77"/>
      <c r="E994" s="77"/>
      <c r="F994" s="77"/>
      <c r="G994" s="77"/>
    </row>
    <row r="995" spans="1:7" ht="12.75" customHeight="1">
      <c r="A995" s="77"/>
      <c r="B995" s="77"/>
      <c r="C995" s="77"/>
      <c r="D995" s="77"/>
      <c r="E995" s="77"/>
      <c r="F995" s="77"/>
      <c r="G995" s="77"/>
    </row>
    <row r="996" spans="1:7" ht="12.75" customHeight="1">
      <c r="A996" s="77"/>
      <c r="B996" s="77"/>
      <c r="C996" s="77"/>
      <c r="D996" s="77"/>
      <c r="E996" s="77"/>
      <c r="F996" s="77"/>
      <c r="G996" s="77"/>
    </row>
    <row r="997" spans="1:7" ht="12.75" customHeight="1">
      <c r="A997" s="77"/>
      <c r="B997" s="77"/>
      <c r="C997" s="77"/>
      <c r="D997" s="77"/>
      <c r="E997" s="77"/>
      <c r="F997" s="77"/>
      <c r="G997" s="77"/>
    </row>
    <row r="998" spans="1:7" ht="12.75" customHeight="1">
      <c r="A998" s="77"/>
      <c r="B998" s="77"/>
      <c r="C998" s="77"/>
      <c r="D998" s="77"/>
      <c r="E998" s="77"/>
      <c r="F998" s="77"/>
      <c r="G998" s="77"/>
    </row>
    <row r="999" spans="1:7" ht="12.75" customHeight="1">
      <c r="A999" s="77"/>
      <c r="B999" s="77"/>
      <c r="C999" s="77"/>
      <c r="D999" s="77"/>
      <c r="E999" s="77"/>
      <c r="F999" s="77"/>
      <c r="G999" s="77"/>
    </row>
    <row r="1000" spans="1:7" ht="12.75" customHeight="1">
      <c r="A1000" s="77"/>
      <c r="B1000" s="77"/>
      <c r="C1000" s="77"/>
      <c r="D1000" s="77"/>
      <c r="E1000" s="77"/>
      <c r="F1000" s="77"/>
      <c r="G1000" s="77"/>
    </row>
  </sheetData>
  <mergeCells count="56">
    <mergeCell ref="A1:G1"/>
    <mergeCell ref="D40:F40"/>
    <mergeCell ref="D44:F44"/>
    <mergeCell ref="A46:G46"/>
    <mergeCell ref="D85:F85"/>
    <mergeCell ref="D89:F89"/>
    <mergeCell ref="A91:G91"/>
    <mergeCell ref="D131:F131"/>
    <mergeCell ref="D135:F135"/>
    <mergeCell ref="A136:G136"/>
    <mergeCell ref="D175:F175"/>
    <mergeCell ref="D179:F179"/>
    <mergeCell ref="A180:G180"/>
    <mergeCell ref="D218:F218"/>
    <mergeCell ref="D222:F222"/>
    <mergeCell ref="A223:G223"/>
    <mergeCell ref="D263:F263"/>
    <mergeCell ref="D267:F267"/>
    <mergeCell ref="A269:G269"/>
    <mergeCell ref="A312:G312"/>
    <mergeCell ref="A355:G355"/>
    <mergeCell ref="D396:F396"/>
    <mergeCell ref="D400:F400"/>
    <mergeCell ref="A401:G401"/>
    <mergeCell ref="D442:F442"/>
    <mergeCell ref="D446:F446"/>
    <mergeCell ref="A447:G447"/>
    <mergeCell ref="D488:F488"/>
    <mergeCell ref="D492:F492"/>
    <mergeCell ref="A493:G493"/>
    <mergeCell ref="D534:F534"/>
    <mergeCell ref="D538:F538"/>
    <mergeCell ref="A539:G539"/>
    <mergeCell ref="D580:F580"/>
    <mergeCell ref="A585:G585"/>
    <mergeCell ref="D584:F584"/>
    <mergeCell ref="D626:F626"/>
    <mergeCell ref="D630:F630"/>
    <mergeCell ref="A631:G631"/>
    <mergeCell ref="B636:G636"/>
    <mergeCell ref="D670:F670"/>
    <mergeCell ref="D674:F674"/>
    <mergeCell ref="D762:F762"/>
    <mergeCell ref="A764:G764"/>
    <mergeCell ref="D803:F803"/>
    <mergeCell ref="D807:F807"/>
    <mergeCell ref="A808:G808"/>
    <mergeCell ref="D849:F849"/>
    <mergeCell ref="D853:F853"/>
    <mergeCell ref="A675:G675"/>
    <mergeCell ref="B680:G680"/>
    <mergeCell ref="D714:F714"/>
    <mergeCell ref="D718:F718"/>
    <mergeCell ref="A719:G719"/>
    <mergeCell ref="B724:G724"/>
    <mergeCell ref="D758:F758"/>
  </mergeCells>
  <pageMargins left="0.7" right="0.7" top="0.75" bottom="0.75" header="0" footer="0"/>
  <pageSetup orientation="landscape"/>
  <headerFooter>
    <oddHeader>&amp;L&amp;C&amp;R</oddHeader>
    <oddFooter>&amp;L&amp;C&amp;R</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B1A38-68E8-1751-2138-E3FBC01B7638}">
  <dimension ref="A1:XFD58"/>
  <sheetViews>
    <sheetView topLeftCell="A4" zoomScale="70" zoomScaleNormal="70" workbookViewId="0">
      <selection activeCell="F17" sqref="F17"/>
    </sheetView>
  </sheetViews>
  <sheetFormatPr baseColWidth="10" defaultColWidth="8.88671875" defaultRowHeight="15" customHeight="1"/>
  <cols>
    <col min="1" max="1" width="12.88671875" customWidth="1"/>
    <col min="2" max="2" width="60" customWidth="1"/>
    <col min="3" max="3" width="10.6640625" customWidth="1"/>
    <col min="4" max="4" width="22.109375" customWidth="1"/>
    <col min="5" max="5" width="15.6640625" customWidth="1"/>
    <col min="6" max="6" width="25.6640625" customWidth="1"/>
    <col min="7" max="7" width="54.33203125" customWidth="1"/>
  </cols>
  <sheetData>
    <row r="1" spans="1:7" ht="25.5" customHeight="1">
      <c r="A1" s="540" t="s">
        <v>586</v>
      </c>
      <c r="B1" s="541"/>
      <c r="C1" s="541"/>
      <c r="D1" s="541"/>
      <c r="E1" s="541"/>
      <c r="F1" s="541"/>
      <c r="G1" s="542"/>
    </row>
    <row r="2" spans="1:7" ht="16.5" customHeight="1">
      <c r="A2" s="543" t="s">
        <v>587</v>
      </c>
      <c r="B2" s="538"/>
      <c r="C2" s="538"/>
      <c r="D2" s="538"/>
      <c r="E2" s="538"/>
      <c r="F2" s="538"/>
      <c r="G2" s="539"/>
    </row>
    <row r="3" spans="1:7" ht="7.5" customHeight="1">
      <c r="A3" s="209"/>
      <c r="B3" s="195"/>
      <c r="C3" s="195"/>
      <c r="D3" s="195"/>
      <c r="E3" s="195"/>
      <c r="F3" s="195"/>
      <c r="G3" s="210"/>
    </row>
    <row r="4" spans="1:7" ht="21" customHeight="1">
      <c r="A4" s="211" t="s">
        <v>588</v>
      </c>
      <c r="B4" s="196" t="s">
        <v>589</v>
      </c>
      <c r="C4" s="196" t="s">
        <v>590</v>
      </c>
      <c r="D4" s="196" t="s">
        <v>591</v>
      </c>
      <c r="E4" s="196" t="s">
        <v>592</v>
      </c>
      <c r="F4" s="196" t="s">
        <v>593</v>
      </c>
      <c r="G4" s="212" t="s">
        <v>594</v>
      </c>
    </row>
    <row r="5" spans="1:7" ht="18" customHeight="1">
      <c r="A5" s="537" t="s">
        <v>595</v>
      </c>
      <c r="B5" s="538"/>
      <c r="C5" s="538"/>
      <c r="D5" s="538"/>
      <c r="E5" s="538"/>
      <c r="F5" s="538"/>
      <c r="G5" s="539"/>
    </row>
    <row r="6" spans="1:7" ht="15" customHeight="1">
      <c r="A6" s="213" t="s">
        <v>596</v>
      </c>
      <c r="B6" s="197" t="s">
        <v>597</v>
      </c>
      <c r="C6" s="198" t="s">
        <v>598</v>
      </c>
      <c r="D6" s="199">
        <v>115000</v>
      </c>
      <c r="E6" s="200">
        <v>0</v>
      </c>
      <c r="F6" s="201">
        <f t="shared" ref="F6:F58" si="0">ROUND(D6*(1+E6),0)</f>
        <v>115000</v>
      </c>
      <c r="G6" s="214" t="s">
        <v>599</v>
      </c>
    </row>
    <row r="7" spans="1:7" ht="15" customHeight="1">
      <c r="A7" s="215" t="s">
        <v>600</v>
      </c>
      <c r="B7" s="202" t="s">
        <v>601</v>
      </c>
      <c r="C7" s="203" t="s">
        <v>598</v>
      </c>
      <c r="D7" s="204">
        <v>78000</v>
      </c>
      <c r="E7" s="205">
        <v>0</v>
      </c>
      <c r="F7" s="206">
        <f t="shared" si="0"/>
        <v>78000</v>
      </c>
      <c r="G7" s="216" t="s">
        <v>602</v>
      </c>
    </row>
    <row r="8" spans="1:7" ht="15" customHeight="1">
      <c r="A8" s="213" t="s">
        <v>603</v>
      </c>
      <c r="B8" s="197" t="s">
        <v>604</v>
      </c>
      <c r="C8" s="198" t="s">
        <v>598</v>
      </c>
      <c r="D8" s="199">
        <v>95000</v>
      </c>
      <c r="E8" s="200">
        <v>0</v>
      </c>
      <c r="F8" s="201">
        <f t="shared" si="0"/>
        <v>95000</v>
      </c>
      <c r="G8" s="214" t="s">
        <v>605</v>
      </c>
    </row>
    <row r="9" spans="1:7" ht="15" customHeight="1">
      <c r="A9" s="215" t="s">
        <v>606</v>
      </c>
      <c r="B9" s="202" t="s">
        <v>607</v>
      </c>
      <c r="C9" s="203" t="s">
        <v>598</v>
      </c>
      <c r="D9" s="204">
        <v>88000</v>
      </c>
      <c r="E9" s="205">
        <v>0</v>
      </c>
      <c r="F9" s="206">
        <f t="shared" si="0"/>
        <v>88000</v>
      </c>
      <c r="G9" s="216" t="s">
        <v>608</v>
      </c>
    </row>
    <row r="10" spans="1:7" ht="15" customHeight="1">
      <c r="A10" s="213" t="s">
        <v>609</v>
      </c>
      <c r="B10" s="197" t="s">
        <v>610</v>
      </c>
      <c r="C10" s="198" t="s">
        <v>611</v>
      </c>
      <c r="D10" s="199">
        <v>320000</v>
      </c>
      <c r="E10" s="200">
        <v>0</v>
      </c>
      <c r="F10" s="201">
        <f t="shared" si="0"/>
        <v>320000</v>
      </c>
      <c r="G10" s="214" t="s">
        <v>612</v>
      </c>
    </row>
    <row r="11" spans="1:7" ht="15" customHeight="1">
      <c r="A11" s="215" t="s">
        <v>613</v>
      </c>
      <c r="B11" s="202" t="s">
        <v>614</v>
      </c>
      <c r="C11" s="203" t="s">
        <v>611</v>
      </c>
      <c r="D11" s="204">
        <v>85000</v>
      </c>
      <c r="E11" s="205">
        <v>0</v>
      </c>
      <c r="F11" s="206">
        <f t="shared" si="0"/>
        <v>85000</v>
      </c>
      <c r="G11" s="216" t="s">
        <v>615</v>
      </c>
    </row>
    <row r="12" spans="1:7" ht="15" customHeight="1">
      <c r="A12" s="213" t="s">
        <v>616</v>
      </c>
      <c r="B12" s="197" t="s">
        <v>617</v>
      </c>
      <c r="C12" s="198" t="s">
        <v>611</v>
      </c>
      <c r="D12" s="199">
        <v>271000</v>
      </c>
      <c r="E12" s="200">
        <v>0</v>
      </c>
      <c r="F12" s="201">
        <f t="shared" si="0"/>
        <v>271000</v>
      </c>
      <c r="G12" s="214" t="s">
        <v>618</v>
      </c>
    </row>
    <row r="13" spans="1:7" ht="15" customHeight="1">
      <c r="A13" s="215" t="s">
        <v>619</v>
      </c>
      <c r="B13" s="202" t="s">
        <v>620</v>
      </c>
      <c r="C13" s="203" t="s">
        <v>611</v>
      </c>
      <c r="D13" s="204">
        <v>349000</v>
      </c>
      <c r="E13" s="205">
        <v>0</v>
      </c>
      <c r="F13" s="206">
        <f t="shared" si="0"/>
        <v>349000</v>
      </c>
      <c r="G13" s="216" t="s">
        <v>621</v>
      </c>
    </row>
    <row r="14" spans="1:7" ht="18" customHeight="1">
      <c r="A14" s="537" t="s">
        <v>622</v>
      </c>
      <c r="B14" s="538"/>
      <c r="C14" s="538"/>
      <c r="D14" s="538"/>
      <c r="E14" s="538"/>
      <c r="F14" s="538"/>
      <c r="G14" s="539"/>
    </row>
    <row r="15" spans="1:7" ht="15" customHeight="1">
      <c r="A15" s="213" t="s">
        <v>623</v>
      </c>
      <c r="B15" s="197" t="s">
        <v>624</v>
      </c>
      <c r="C15" s="198" t="s">
        <v>625</v>
      </c>
      <c r="D15" s="199">
        <v>16800</v>
      </c>
      <c r="E15" s="200">
        <v>0.05</v>
      </c>
      <c r="F15" s="201">
        <f>ROUND(D15*(1+E15),0)</f>
        <v>17640</v>
      </c>
      <c r="G15" s="214" t="s">
        <v>626</v>
      </c>
    </row>
    <row r="16" spans="1:7" ht="15" customHeight="1">
      <c r="A16" s="215" t="s">
        <v>627</v>
      </c>
      <c r="B16" s="202" t="s">
        <v>628</v>
      </c>
      <c r="C16" s="203" t="s">
        <v>625</v>
      </c>
      <c r="D16" s="204">
        <v>28500</v>
      </c>
      <c r="E16" s="205">
        <v>0.05</v>
      </c>
      <c r="F16" s="206">
        <f t="shared" si="0"/>
        <v>29925</v>
      </c>
      <c r="G16" s="216" t="s">
        <v>629</v>
      </c>
    </row>
    <row r="17" spans="1:7" ht="15" customHeight="1">
      <c r="A17" s="213" t="s">
        <v>630</v>
      </c>
      <c r="B17" s="197" t="s">
        <v>631</v>
      </c>
      <c r="C17" s="198" t="s">
        <v>625</v>
      </c>
      <c r="D17" s="199">
        <v>44200</v>
      </c>
      <c r="E17" s="200">
        <v>0.05</v>
      </c>
      <c r="F17" s="201">
        <f t="shared" si="0"/>
        <v>46410</v>
      </c>
      <c r="G17" s="214" t="s">
        <v>632</v>
      </c>
    </row>
    <row r="18" spans="1:7" ht="15" customHeight="1">
      <c r="A18" s="215" t="s">
        <v>633</v>
      </c>
      <c r="B18" s="202" t="s">
        <v>634</v>
      </c>
      <c r="C18" s="203" t="s">
        <v>625</v>
      </c>
      <c r="D18" s="204">
        <v>62000</v>
      </c>
      <c r="E18" s="205">
        <v>0.05</v>
      </c>
      <c r="F18" s="206">
        <f t="shared" si="0"/>
        <v>65100</v>
      </c>
      <c r="G18" s="216" t="s">
        <v>635</v>
      </c>
    </row>
    <row r="19" spans="1:7" ht="15" customHeight="1">
      <c r="A19" s="213" t="s">
        <v>636</v>
      </c>
      <c r="B19" s="197" t="s">
        <v>637</v>
      </c>
      <c r="C19" s="198" t="s">
        <v>625</v>
      </c>
      <c r="D19" s="199">
        <v>94500</v>
      </c>
      <c r="E19" s="200">
        <v>0.05</v>
      </c>
      <c r="F19" s="201">
        <f t="shared" si="0"/>
        <v>99225</v>
      </c>
      <c r="G19" s="214" t="s">
        <v>638</v>
      </c>
    </row>
    <row r="20" spans="1:7" ht="15" customHeight="1">
      <c r="A20" s="215" t="s">
        <v>639</v>
      </c>
      <c r="B20" s="202" t="s">
        <v>640</v>
      </c>
      <c r="C20" s="203" t="s">
        <v>625</v>
      </c>
      <c r="D20" s="204">
        <v>132000</v>
      </c>
      <c r="E20" s="205">
        <v>0.05</v>
      </c>
      <c r="F20" s="206">
        <f t="shared" si="0"/>
        <v>138600</v>
      </c>
      <c r="G20" s="216" t="s">
        <v>641</v>
      </c>
    </row>
    <row r="21" spans="1:7" ht="15" customHeight="1">
      <c r="A21" s="213" t="s">
        <v>642</v>
      </c>
      <c r="B21" s="197" t="s">
        <v>643</v>
      </c>
      <c r="C21" s="198" t="s">
        <v>625</v>
      </c>
      <c r="D21" s="199">
        <v>215000</v>
      </c>
      <c r="E21" s="200">
        <v>0.05</v>
      </c>
      <c r="F21" s="201">
        <f t="shared" si="0"/>
        <v>225750</v>
      </c>
      <c r="G21" s="214" t="s">
        <v>644</v>
      </c>
    </row>
    <row r="22" spans="1:7" ht="15" customHeight="1">
      <c r="A22" s="215" t="s">
        <v>645</v>
      </c>
      <c r="B22" s="202" t="s">
        <v>646</v>
      </c>
      <c r="C22" s="203" t="s">
        <v>647</v>
      </c>
      <c r="D22" s="204">
        <v>6800</v>
      </c>
      <c r="E22" s="205">
        <v>0.03</v>
      </c>
      <c r="F22" s="206">
        <f t="shared" si="0"/>
        <v>7004</v>
      </c>
      <c r="G22" s="216" t="s">
        <v>648</v>
      </c>
    </row>
    <row r="23" spans="1:7" ht="15" customHeight="1">
      <c r="A23" s="213" t="s">
        <v>649</v>
      </c>
      <c r="B23" s="197" t="s">
        <v>650</v>
      </c>
      <c r="C23" s="198" t="s">
        <v>651</v>
      </c>
      <c r="D23" s="199">
        <v>9500</v>
      </c>
      <c r="E23" s="200">
        <v>0.03</v>
      </c>
      <c r="F23" s="201">
        <f t="shared" si="0"/>
        <v>9785</v>
      </c>
      <c r="G23" s="214" t="s">
        <v>652</v>
      </c>
    </row>
    <row r="24" spans="1:7" ht="15" customHeight="1">
      <c r="A24" s="215" t="s">
        <v>653</v>
      </c>
      <c r="B24" s="202" t="s">
        <v>654</v>
      </c>
      <c r="C24" s="203" t="s">
        <v>651</v>
      </c>
      <c r="D24" s="204">
        <v>22000</v>
      </c>
      <c r="E24" s="205">
        <v>0.03</v>
      </c>
      <c r="F24" s="206">
        <f t="shared" si="0"/>
        <v>22660</v>
      </c>
      <c r="G24" s="216" t="s">
        <v>655</v>
      </c>
    </row>
    <row r="25" spans="1:7" ht="15" customHeight="1">
      <c r="A25" s="213" t="s">
        <v>656</v>
      </c>
      <c r="B25" s="197" t="s">
        <v>657</v>
      </c>
      <c r="C25" s="198" t="s">
        <v>651</v>
      </c>
      <c r="D25" s="199">
        <v>41000</v>
      </c>
      <c r="E25" s="200">
        <v>0.03</v>
      </c>
      <c r="F25" s="201">
        <f t="shared" si="0"/>
        <v>42230</v>
      </c>
      <c r="G25" s="214" t="s">
        <v>658</v>
      </c>
    </row>
    <row r="26" spans="1:7" ht="15" customHeight="1">
      <c r="A26" s="215" t="s">
        <v>659</v>
      </c>
      <c r="B26" s="202" t="s">
        <v>660</v>
      </c>
      <c r="C26" s="203" t="s">
        <v>651</v>
      </c>
      <c r="D26" s="204">
        <v>14500</v>
      </c>
      <c r="E26" s="205">
        <v>0.03</v>
      </c>
      <c r="F26" s="206">
        <f t="shared" si="0"/>
        <v>14935</v>
      </c>
      <c r="G26" s="216" t="s">
        <v>661</v>
      </c>
    </row>
    <row r="27" spans="1:7" ht="15" customHeight="1">
      <c r="A27" s="213" t="s">
        <v>662</v>
      </c>
      <c r="B27" s="197" t="s">
        <v>663</v>
      </c>
      <c r="C27" s="198" t="s">
        <v>651</v>
      </c>
      <c r="D27" s="199">
        <v>32000</v>
      </c>
      <c r="E27" s="200">
        <v>0.03</v>
      </c>
      <c r="F27" s="201">
        <f t="shared" si="0"/>
        <v>32960</v>
      </c>
      <c r="G27" s="214" t="s">
        <v>664</v>
      </c>
    </row>
    <row r="28" spans="1:7" ht="15" customHeight="1">
      <c r="A28" s="215" t="s">
        <v>665</v>
      </c>
      <c r="B28" s="202" t="s">
        <v>666</v>
      </c>
      <c r="C28" s="203" t="s">
        <v>651</v>
      </c>
      <c r="D28" s="204">
        <v>58000</v>
      </c>
      <c r="E28" s="205">
        <v>0.03</v>
      </c>
      <c r="F28" s="206">
        <f t="shared" si="0"/>
        <v>59740</v>
      </c>
      <c r="G28" s="216" t="s">
        <v>667</v>
      </c>
    </row>
    <row r="29" spans="1:7" ht="15" customHeight="1">
      <c r="A29" s="213" t="s">
        <v>668</v>
      </c>
      <c r="B29" s="197" t="s">
        <v>669</v>
      </c>
      <c r="C29" s="198" t="s">
        <v>651</v>
      </c>
      <c r="D29" s="199">
        <v>285000</v>
      </c>
      <c r="E29" s="200">
        <v>0</v>
      </c>
      <c r="F29" s="201">
        <f t="shared" si="0"/>
        <v>285000</v>
      </c>
      <c r="G29" s="214" t="s">
        <v>670</v>
      </c>
    </row>
    <row r="30" spans="1:7" ht="15" customHeight="1">
      <c r="A30" s="215" t="s">
        <v>671</v>
      </c>
      <c r="B30" s="202" t="s">
        <v>672</v>
      </c>
      <c r="C30" s="203" t="s">
        <v>651</v>
      </c>
      <c r="D30" s="204">
        <v>590000</v>
      </c>
      <c r="E30" s="205">
        <v>0</v>
      </c>
      <c r="F30" s="206">
        <f t="shared" si="0"/>
        <v>590000</v>
      </c>
      <c r="G30" s="216" t="s">
        <v>673</v>
      </c>
    </row>
    <row r="31" spans="1:7" ht="15" customHeight="1">
      <c r="A31" s="213" t="s">
        <v>674</v>
      </c>
      <c r="B31" s="197" t="s">
        <v>675</v>
      </c>
      <c r="C31" s="198" t="s">
        <v>651</v>
      </c>
      <c r="D31" s="199">
        <v>68000</v>
      </c>
      <c r="E31" s="200">
        <v>0</v>
      </c>
      <c r="F31" s="201">
        <f t="shared" si="0"/>
        <v>68000</v>
      </c>
      <c r="G31" s="214" t="s">
        <v>676</v>
      </c>
    </row>
    <row r="32" spans="1:7" ht="15" customHeight="1">
      <c r="A32" s="215" t="s">
        <v>677</v>
      </c>
      <c r="B32" s="202" t="s">
        <v>678</v>
      </c>
      <c r="C32" s="203" t="s">
        <v>651</v>
      </c>
      <c r="D32" s="204">
        <v>112000</v>
      </c>
      <c r="E32" s="205">
        <v>0</v>
      </c>
      <c r="F32" s="206">
        <f t="shared" si="0"/>
        <v>112000</v>
      </c>
      <c r="G32" s="216" t="s">
        <v>679</v>
      </c>
    </row>
    <row r="33" spans="1:16384" ht="15" customHeight="1">
      <c r="A33" s="213" t="s">
        <v>680</v>
      </c>
      <c r="B33" s="197" t="s">
        <v>681</v>
      </c>
      <c r="C33" s="198" t="s">
        <v>651</v>
      </c>
      <c r="D33" s="199">
        <v>195000</v>
      </c>
      <c r="E33" s="200">
        <v>0</v>
      </c>
      <c r="F33" s="201">
        <f t="shared" si="0"/>
        <v>195000</v>
      </c>
      <c r="G33" s="214" t="s">
        <v>682</v>
      </c>
    </row>
    <row r="34" spans="1:16384" ht="15" customHeight="1">
      <c r="A34" s="215" t="s">
        <v>683</v>
      </c>
      <c r="B34" s="202" t="s">
        <v>684</v>
      </c>
      <c r="C34" s="203" t="s">
        <v>651</v>
      </c>
      <c r="D34" s="204">
        <v>68000</v>
      </c>
      <c r="E34" s="205">
        <v>0.05</v>
      </c>
      <c r="F34" s="206">
        <f t="shared" si="0"/>
        <v>71400</v>
      </c>
      <c r="G34" s="216" t="s">
        <v>685</v>
      </c>
    </row>
    <row r="35" spans="1:16384" ht="15" customHeight="1">
      <c r="A35" s="213" t="s">
        <v>686</v>
      </c>
      <c r="B35" s="197" t="s">
        <v>687</v>
      </c>
      <c r="C35" s="198" t="s">
        <v>651</v>
      </c>
      <c r="D35" s="199">
        <v>34000</v>
      </c>
      <c r="E35" s="200">
        <v>0.05</v>
      </c>
      <c r="F35" s="201">
        <f t="shared" si="0"/>
        <v>35700</v>
      </c>
      <c r="G35" s="214" t="s">
        <v>688</v>
      </c>
    </row>
    <row r="36" spans="1:16384" customFormat="1" ht="18" customHeight="1">
      <c r="A36" s="537" t="s">
        <v>689</v>
      </c>
      <c r="B36" s="538"/>
      <c r="C36" s="538"/>
      <c r="D36" s="538"/>
      <c r="E36" s="538"/>
      <c r="F36" s="538"/>
      <c r="G36" s="539"/>
      <c r="O36" s="544"/>
      <c r="P36" s="545"/>
      <c r="Q36" s="545"/>
      <c r="R36" s="545"/>
      <c r="S36" s="545"/>
      <c r="T36" s="545"/>
      <c r="U36" s="545"/>
      <c r="V36" s="544"/>
      <c r="W36" s="545"/>
      <c r="X36" s="545"/>
      <c r="Y36" s="545"/>
      <c r="Z36" s="545"/>
      <c r="AA36" s="545"/>
      <c r="AB36" s="545"/>
      <c r="AC36" s="544"/>
      <c r="AD36" s="545"/>
      <c r="AE36" s="545"/>
      <c r="AF36" s="545"/>
      <c r="AG36" s="545"/>
      <c r="AH36" s="545"/>
      <c r="AI36" s="545"/>
      <c r="AJ36" s="544"/>
      <c r="AK36" s="545"/>
      <c r="AL36" s="545"/>
      <c r="AM36" s="545"/>
      <c r="AN36" s="545"/>
      <c r="AO36" s="545"/>
      <c r="AP36" s="545"/>
      <c r="AQ36" s="544"/>
      <c r="AR36" s="545"/>
      <c r="AS36" s="545"/>
      <c r="AT36" s="545"/>
      <c r="AU36" s="545"/>
      <c r="AV36" s="545"/>
      <c r="AW36" s="545"/>
      <c r="AX36" s="544"/>
      <c r="AY36" s="545"/>
      <c r="AZ36" s="545"/>
      <c r="BA36" s="545"/>
      <c r="BB36" s="545"/>
      <c r="BC36" s="545"/>
      <c r="BD36" s="545"/>
      <c r="BE36" s="544"/>
      <c r="BF36" s="545"/>
      <c r="BG36" s="545"/>
      <c r="BH36" s="545"/>
      <c r="BI36" s="545"/>
      <c r="BJ36" s="545"/>
      <c r="BK36" s="545"/>
      <c r="BL36" s="544"/>
      <c r="BM36" s="545"/>
      <c r="BN36" s="545"/>
      <c r="BO36" s="545"/>
      <c r="BP36" s="545"/>
      <c r="BQ36" s="545"/>
      <c r="BR36" s="545"/>
      <c r="BS36" s="544"/>
      <c r="BT36" s="545"/>
      <c r="BU36" s="545"/>
      <c r="BV36" s="545"/>
      <c r="BW36" s="545"/>
      <c r="BX36" s="545"/>
      <c r="BY36" s="545"/>
      <c r="BZ36" s="544"/>
      <c r="CA36" s="545"/>
      <c r="CB36" s="545"/>
      <c r="CC36" s="545"/>
      <c r="CD36" s="545"/>
      <c r="CE36" s="545"/>
      <c r="CF36" s="545"/>
      <c r="CG36" s="544"/>
      <c r="CH36" s="545"/>
      <c r="CI36" s="545"/>
      <c r="CJ36" s="545"/>
      <c r="CK36" s="545"/>
      <c r="CL36" s="545"/>
      <c r="CM36" s="545"/>
      <c r="CN36" s="544"/>
      <c r="CO36" s="545"/>
      <c r="CP36" s="545"/>
      <c r="CQ36" s="545"/>
      <c r="CR36" s="545"/>
      <c r="CS36" s="545"/>
      <c r="CT36" s="545"/>
      <c r="CU36" s="544"/>
      <c r="CV36" s="545"/>
      <c r="CW36" s="545"/>
      <c r="CX36" s="545"/>
      <c r="CY36" s="545"/>
      <c r="CZ36" s="545"/>
      <c r="DA36" s="545"/>
      <c r="DB36" s="544"/>
      <c r="DC36" s="545"/>
      <c r="DD36" s="545"/>
      <c r="DE36" s="545"/>
      <c r="DF36" s="545"/>
      <c r="DG36" s="545"/>
      <c r="DH36" s="545"/>
      <c r="DI36" s="544"/>
      <c r="DJ36" s="545"/>
      <c r="DK36" s="545"/>
      <c r="DL36" s="545"/>
      <c r="DM36" s="545"/>
      <c r="DN36" s="545"/>
      <c r="DO36" s="545"/>
      <c r="DP36" s="544"/>
      <c r="DQ36" s="545"/>
      <c r="DR36" s="545"/>
      <c r="DS36" s="545"/>
      <c r="DT36" s="545"/>
      <c r="DU36" s="545"/>
      <c r="DV36" s="545"/>
      <c r="DW36" s="544"/>
      <c r="DX36" s="545"/>
      <c r="DY36" s="545"/>
      <c r="DZ36" s="545"/>
      <c r="EA36" s="545"/>
      <c r="EB36" s="545"/>
      <c r="EC36" s="545"/>
      <c r="ED36" s="544"/>
      <c r="EE36" s="545"/>
      <c r="EF36" s="545"/>
      <c r="EG36" s="545"/>
      <c r="EH36" s="545"/>
      <c r="EI36" s="545"/>
      <c r="EJ36" s="545"/>
      <c r="EK36" s="544"/>
      <c r="EL36" s="545"/>
      <c r="EM36" s="545"/>
      <c r="EN36" s="545"/>
      <c r="EO36" s="545"/>
      <c r="EP36" s="545"/>
      <c r="EQ36" s="545"/>
      <c r="ER36" s="544"/>
      <c r="ES36" s="545"/>
      <c r="ET36" s="545"/>
      <c r="EU36" s="545"/>
      <c r="EV36" s="545"/>
      <c r="EW36" s="545"/>
      <c r="EX36" s="545"/>
      <c r="EY36" s="544"/>
      <c r="EZ36" s="545"/>
      <c r="FA36" s="545"/>
      <c r="FB36" s="545"/>
      <c r="FC36" s="545"/>
      <c r="FD36" s="545"/>
      <c r="FE36" s="545"/>
      <c r="FF36" s="544"/>
      <c r="FG36" s="545"/>
      <c r="FH36" s="545"/>
      <c r="FI36" s="545"/>
      <c r="FJ36" s="545"/>
      <c r="FK36" s="545"/>
      <c r="FL36" s="545"/>
      <c r="FM36" s="544"/>
      <c r="FN36" s="545"/>
      <c r="FO36" s="545"/>
      <c r="FP36" s="545"/>
      <c r="FQ36" s="545"/>
      <c r="FR36" s="545"/>
      <c r="FS36" s="545"/>
      <c r="FT36" s="544"/>
      <c r="FU36" s="545"/>
      <c r="FV36" s="545"/>
      <c r="FW36" s="545"/>
      <c r="FX36" s="545"/>
      <c r="FY36" s="545"/>
      <c r="FZ36" s="545"/>
      <c r="GA36" s="544"/>
      <c r="GB36" s="545"/>
      <c r="GC36" s="545"/>
      <c r="GD36" s="545"/>
      <c r="GE36" s="545"/>
      <c r="GF36" s="545"/>
      <c r="GG36" s="545"/>
      <c r="GH36" s="544"/>
      <c r="GI36" s="545"/>
      <c r="GJ36" s="545"/>
      <c r="GK36" s="545"/>
      <c r="GL36" s="545"/>
      <c r="GM36" s="545"/>
      <c r="GN36" s="545"/>
      <c r="GO36" s="544"/>
      <c r="GP36" s="545"/>
      <c r="GQ36" s="545"/>
      <c r="GR36" s="545"/>
      <c r="GS36" s="545"/>
      <c r="GT36" s="545"/>
      <c r="GU36" s="545"/>
      <c r="GV36" s="544"/>
      <c r="GW36" s="545"/>
      <c r="GX36" s="545"/>
      <c r="GY36" s="545"/>
      <c r="GZ36" s="545"/>
      <c r="HA36" s="545"/>
      <c r="HB36" s="545"/>
      <c r="HC36" s="544"/>
      <c r="HD36" s="545"/>
      <c r="HE36" s="545"/>
      <c r="HF36" s="545"/>
      <c r="HG36" s="545"/>
      <c r="HH36" s="545"/>
      <c r="HI36" s="545"/>
      <c r="HJ36" s="544"/>
      <c r="HK36" s="545"/>
      <c r="HL36" s="545"/>
      <c r="HM36" s="545"/>
      <c r="HN36" s="545"/>
      <c r="HO36" s="545"/>
      <c r="HP36" s="545"/>
      <c r="HQ36" s="544"/>
      <c r="HR36" s="545"/>
      <c r="HS36" s="545"/>
      <c r="HT36" s="545"/>
      <c r="HU36" s="545"/>
      <c r="HV36" s="545"/>
      <c r="HW36" s="545"/>
      <c r="HX36" s="544"/>
      <c r="HY36" s="545"/>
      <c r="HZ36" s="545"/>
      <c r="IA36" s="545"/>
      <c r="IB36" s="545"/>
      <c r="IC36" s="545"/>
      <c r="ID36" s="545"/>
      <c r="IE36" s="544"/>
      <c r="IF36" s="545"/>
      <c r="IG36" s="545"/>
      <c r="IH36" s="545"/>
      <c r="II36" s="545"/>
      <c r="IJ36" s="545"/>
      <c r="IK36" s="545"/>
      <c r="IL36" s="544"/>
      <c r="IM36" s="545"/>
      <c r="IN36" s="545"/>
      <c r="IO36" s="545"/>
      <c r="IP36" s="545"/>
      <c r="IQ36" s="545"/>
      <c r="IR36" s="545"/>
      <c r="IS36" s="544"/>
      <c r="IT36" s="545"/>
      <c r="IU36" s="545"/>
      <c r="IV36" s="545"/>
      <c r="IW36" s="545"/>
      <c r="IX36" s="545"/>
      <c r="IY36" s="545"/>
      <c r="IZ36" s="544"/>
      <c r="JA36" s="545"/>
      <c r="JB36" s="545"/>
      <c r="JC36" s="545"/>
      <c r="JD36" s="545"/>
      <c r="JE36" s="545"/>
      <c r="JF36" s="545"/>
      <c r="JG36" s="544"/>
      <c r="JH36" s="545"/>
      <c r="JI36" s="545"/>
      <c r="JJ36" s="545"/>
      <c r="JK36" s="545"/>
      <c r="JL36" s="545"/>
      <c r="JM36" s="545"/>
      <c r="JN36" s="544"/>
      <c r="JO36" s="545"/>
      <c r="JP36" s="545"/>
      <c r="JQ36" s="545"/>
      <c r="JR36" s="545"/>
      <c r="JS36" s="545"/>
      <c r="JT36" s="545"/>
      <c r="JU36" s="544"/>
      <c r="JV36" s="545"/>
      <c r="JW36" s="545"/>
      <c r="JX36" s="545"/>
      <c r="JY36" s="545"/>
      <c r="JZ36" s="545"/>
      <c r="KA36" s="545"/>
      <c r="KB36" s="544"/>
      <c r="KC36" s="545"/>
      <c r="KD36" s="545"/>
      <c r="KE36" s="545"/>
      <c r="KF36" s="545"/>
      <c r="KG36" s="545"/>
      <c r="KH36" s="545"/>
      <c r="KI36" s="544"/>
      <c r="KJ36" s="545"/>
      <c r="KK36" s="545"/>
      <c r="KL36" s="545"/>
      <c r="KM36" s="545"/>
      <c r="KN36" s="545"/>
      <c r="KO36" s="545"/>
      <c r="KP36" s="544"/>
      <c r="KQ36" s="545"/>
      <c r="KR36" s="545"/>
      <c r="KS36" s="545"/>
      <c r="KT36" s="545"/>
      <c r="KU36" s="545"/>
      <c r="KV36" s="545"/>
      <c r="KW36" s="544"/>
      <c r="KX36" s="545"/>
      <c r="KY36" s="545"/>
      <c r="KZ36" s="545"/>
      <c r="LA36" s="545"/>
      <c r="LB36" s="545"/>
      <c r="LC36" s="545"/>
      <c r="LD36" s="544"/>
      <c r="LE36" s="545"/>
      <c r="LF36" s="545"/>
      <c r="LG36" s="545"/>
      <c r="LH36" s="545"/>
      <c r="LI36" s="545"/>
      <c r="LJ36" s="545"/>
      <c r="LK36" s="544"/>
      <c r="LL36" s="545"/>
      <c r="LM36" s="545"/>
      <c r="LN36" s="545"/>
      <c r="LO36" s="545"/>
      <c r="LP36" s="545"/>
      <c r="LQ36" s="545"/>
      <c r="LR36" s="544"/>
      <c r="LS36" s="545"/>
      <c r="LT36" s="545"/>
      <c r="LU36" s="545"/>
      <c r="LV36" s="545"/>
      <c r="LW36" s="545"/>
      <c r="LX36" s="545"/>
      <c r="LY36" s="544"/>
      <c r="LZ36" s="545"/>
      <c r="MA36" s="545"/>
      <c r="MB36" s="545"/>
      <c r="MC36" s="545"/>
      <c r="MD36" s="545"/>
      <c r="ME36" s="545"/>
      <c r="MF36" s="544"/>
      <c r="MG36" s="545"/>
      <c r="MH36" s="545"/>
      <c r="MI36" s="545"/>
      <c r="MJ36" s="545"/>
      <c r="MK36" s="545"/>
      <c r="ML36" s="545"/>
      <c r="MM36" s="544"/>
      <c r="MN36" s="545"/>
      <c r="MO36" s="545"/>
      <c r="MP36" s="545"/>
      <c r="MQ36" s="545"/>
      <c r="MR36" s="545"/>
      <c r="MS36" s="545"/>
      <c r="MT36" s="544"/>
      <c r="MU36" s="545"/>
      <c r="MV36" s="545"/>
      <c r="MW36" s="545"/>
      <c r="MX36" s="545"/>
      <c r="MY36" s="545"/>
      <c r="MZ36" s="545"/>
      <c r="NA36" s="544"/>
      <c r="NB36" s="545"/>
      <c r="NC36" s="545"/>
      <c r="ND36" s="545"/>
      <c r="NE36" s="545"/>
      <c r="NF36" s="545"/>
      <c r="NG36" s="545"/>
      <c r="NH36" s="544"/>
      <c r="NI36" s="545"/>
      <c r="NJ36" s="545"/>
      <c r="NK36" s="545"/>
      <c r="NL36" s="545"/>
      <c r="NM36" s="545"/>
      <c r="NN36" s="545"/>
      <c r="NO36" s="544"/>
      <c r="NP36" s="545"/>
      <c r="NQ36" s="545"/>
      <c r="NR36" s="545"/>
      <c r="NS36" s="545"/>
      <c r="NT36" s="545"/>
      <c r="NU36" s="545"/>
      <c r="NV36" s="544"/>
      <c r="NW36" s="545"/>
      <c r="NX36" s="545"/>
      <c r="NY36" s="545"/>
      <c r="NZ36" s="545"/>
      <c r="OA36" s="545"/>
      <c r="OB36" s="545"/>
      <c r="OC36" s="544"/>
      <c r="OD36" s="545"/>
      <c r="OE36" s="545"/>
      <c r="OF36" s="545"/>
      <c r="OG36" s="545"/>
      <c r="OH36" s="545"/>
      <c r="OI36" s="545"/>
      <c r="OJ36" s="544"/>
      <c r="OK36" s="545"/>
      <c r="OL36" s="545"/>
      <c r="OM36" s="545"/>
      <c r="ON36" s="545"/>
      <c r="OO36" s="545"/>
      <c r="OP36" s="545"/>
      <c r="OQ36" s="544"/>
      <c r="OR36" s="545"/>
      <c r="OS36" s="545"/>
      <c r="OT36" s="545"/>
      <c r="OU36" s="545"/>
      <c r="OV36" s="545"/>
      <c r="OW36" s="545"/>
      <c r="OX36" s="544"/>
      <c r="OY36" s="545"/>
      <c r="OZ36" s="545"/>
      <c r="PA36" s="545"/>
      <c r="PB36" s="545"/>
      <c r="PC36" s="545"/>
      <c r="PD36" s="545"/>
      <c r="PE36" s="544"/>
      <c r="PF36" s="545"/>
      <c r="PG36" s="545"/>
      <c r="PH36" s="545"/>
      <c r="PI36" s="545"/>
      <c r="PJ36" s="545"/>
      <c r="PK36" s="545"/>
      <c r="PL36" s="544"/>
      <c r="PM36" s="545"/>
      <c r="PN36" s="545"/>
      <c r="PO36" s="545"/>
      <c r="PP36" s="545"/>
      <c r="PQ36" s="545"/>
      <c r="PR36" s="545"/>
      <c r="PS36" s="544"/>
      <c r="PT36" s="545"/>
      <c r="PU36" s="545"/>
      <c r="PV36" s="545"/>
      <c r="PW36" s="545"/>
      <c r="PX36" s="545"/>
      <c r="PY36" s="545"/>
      <c r="PZ36" s="544"/>
      <c r="QA36" s="545"/>
      <c r="QB36" s="545"/>
      <c r="QC36" s="545"/>
      <c r="QD36" s="545"/>
      <c r="QE36" s="545"/>
      <c r="QF36" s="545"/>
      <c r="QG36" s="544"/>
      <c r="QH36" s="545"/>
      <c r="QI36" s="545"/>
      <c r="QJ36" s="545"/>
      <c r="QK36" s="545"/>
      <c r="QL36" s="545"/>
      <c r="QM36" s="545"/>
      <c r="QN36" s="544"/>
      <c r="QO36" s="545"/>
      <c r="QP36" s="545"/>
      <c r="QQ36" s="545"/>
      <c r="QR36" s="545"/>
      <c r="QS36" s="545"/>
      <c r="QT36" s="545"/>
      <c r="QU36" s="544"/>
      <c r="QV36" s="545"/>
      <c r="QW36" s="545"/>
      <c r="QX36" s="545"/>
      <c r="QY36" s="545"/>
      <c r="QZ36" s="545"/>
      <c r="RA36" s="545"/>
      <c r="RB36" s="544"/>
      <c r="RC36" s="545"/>
      <c r="RD36" s="545"/>
      <c r="RE36" s="545"/>
      <c r="RF36" s="545"/>
      <c r="RG36" s="545"/>
      <c r="RH36" s="545"/>
      <c r="RI36" s="544"/>
      <c r="RJ36" s="545"/>
      <c r="RK36" s="545"/>
      <c r="RL36" s="545"/>
      <c r="RM36" s="545"/>
      <c r="RN36" s="545"/>
      <c r="RO36" s="545"/>
      <c r="RP36" s="544"/>
      <c r="RQ36" s="545"/>
      <c r="RR36" s="545"/>
      <c r="RS36" s="545"/>
      <c r="RT36" s="545"/>
      <c r="RU36" s="545"/>
      <c r="RV36" s="545"/>
      <c r="RW36" s="544"/>
      <c r="RX36" s="545"/>
      <c r="RY36" s="545"/>
      <c r="RZ36" s="545"/>
      <c r="SA36" s="545"/>
      <c r="SB36" s="545"/>
      <c r="SC36" s="545"/>
      <c r="SD36" s="544"/>
      <c r="SE36" s="545"/>
      <c r="SF36" s="545"/>
      <c r="SG36" s="545"/>
      <c r="SH36" s="545"/>
      <c r="SI36" s="545"/>
      <c r="SJ36" s="545"/>
      <c r="SK36" s="544"/>
      <c r="SL36" s="545"/>
      <c r="SM36" s="545"/>
      <c r="SN36" s="545"/>
      <c r="SO36" s="545"/>
      <c r="SP36" s="545"/>
      <c r="SQ36" s="545"/>
      <c r="SR36" s="544"/>
      <c r="SS36" s="545"/>
      <c r="ST36" s="545"/>
      <c r="SU36" s="545"/>
      <c r="SV36" s="545"/>
      <c r="SW36" s="545"/>
      <c r="SX36" s="545"/>
      <c r="SY36" s="544"/>
      <c r="SZ36" s="545"/>
      <c r="TA36" s="545"/>
      <c r="TB36" s="545"/>
      <c r="TC36" s="545"/>
      <c r="TD36" s="545"/>
      <c r="TE36" s="545"/>
      <c r="TF36" s="544"/>
      <c r="TG36" s="545"/>
      <c r="TH36" s="545"/>
      <c r="TI36" s="545"/>
      <c r="TJ36" s="545"/>
      <c r="TK36" s="545"/>
      <c r="TL36" s="545"/>
      <c r="TM36" s="544"/>
      <c r="TN36" s="545"/>
      <c r="TO36" s="545"/>
      <c r="TP36" s="545"/>
      <c r="TQ36" s="545"/>
      <c r="TR36" s="545"/>
      <c r="TS36" s="545"/>
      <c r="TT36" s="544"/>
      <c r="TU36" s="545"/>
      <c r="TV36" s="545"/>
      <c r="TW36" s="545"/>
      <c r="TX36" s="545"/>
      <c r="TY36" s="545"/>
      <c r="TZ36" s="545"/>
      <c r="UA36" s="544"/>
      <c r="UB36" s="545"/>
      <c r="UC36" s="545"/>
      <c r="UD36" s="545"/>
      <c r="UE36" s="545"/>
      <c r="UF36" s="545"/>
      <c r="UG36" s="545"/>
      <c r="UH36" s="544"/>
      <c r="UI36" s="545"/>
      <c r="UJ36" s="545"/>
      <c r="UK36" s="545"/>
      <c r="UL36" s="545"/>
      <c r="UM36" s="545"/>
      <c r="UN36" s="545"/>
      <c r="UO36" s="544"/>
      <c r="UP36" s="545"/>
      <c r="UQ36" s="545"/>
      <c r="UR36" s="545"/>
      <c r="US36" s="545"/>
      <c r="UT36" s="545"/>
      <c r="UU36" s="545"/>
      <c r="UV36" s="544"/>
      <c r="UW36" s="545"/>
      <c r="UX36" s="545"/>
      <c r="UY36" s="545"/>
      <c r="UZ36" s="545"/>
      <c r="VA36" s="545"/>
      <c r="VB36" s="545"/>
      <c r="VC36" s="544"/>
      <c r="VD36" s="545"/>
      <c r="VE36" s="545"/>
      <c r="VF36" s="545"/>
      <c r="VG36" s="545"/>
      <c r="VH36" s="545"/>
      <c r="VI36" s="545"/>
      <c r="VJ36" s="544"/>
      <c r="VK36" s="545"/>
      <c r="VL36" s="545"/>
      <c r="VM36" s="545"/>
      <c r="VN36" s="545"/>
      <c r="VO36" s="545"/>
      <c r="VP36" s="545"/>
      <c r="VQ36" s="544"/>
      <c r="VR36" s="545"/>
      <c r="VS36" s="545"/>
      <c r="VT36" s="545"/>
      <c r="VU36" s="545"/>
      <c r="VV36" s="545"/>
      <c r="VW36" s="545"/>
      <c r="VX36" s="544"/>
      <c r="VY36" s="545"/>
      <c r="VZ36" s="545"/>
      <c r="WA36" s="545"/>
      <c r="WB36" s="545"/>
      <c r="WC36" s="545"/>
      <c r="WD36" s="545"/>
      <c r="WE36" s="544"/>
      <c r="WF36" s="545"/>
      <c r="WG36" s="545"/>
      <c r="WH36" s="545"/>
      <c r="WI36" s="545"/>
      <c r="WJ36" s="545"/>
      <c r="WK36" s="545"/>
      <c r="WL36" s="544"/>
      <c r="WM36" s="545"/>
      <c r="WN36" s="545"/>
      <c r="WO36" s="545"/>
      <c r="WP36" s="545"/>
      <c r="WQ36" s="545"/>
      <c r="WR36" s="545"/>
      <c r="WS36" s="544"/>
      <c r="WT36" s="545"/>
      <c r="WU36" s="545"/>
      <c r="WV36" s="545"/>
      <c r="WW36" s="545"/>
      <c r="WX36" s="545"/>
      <c r="WY36" s="545"/>
      <c r="WZ36" s="544"/>
      <c r="XA36" s="545"/>
      <c r="XB36" s="545"/>
      <c r="XC36" s="545"/>
      <c r="XD36" s="545"/>
      <c r="XE36" s="545"/>
      <c r="XF36" s="545"/>
      <c r="XG36" s="544"/>
      <c r="XH36" s="545"/>
      <c r="XI36" s="545"/>
      <c r="XJ36" s="545"/>
      <c r="XK36" s="545"/>
      <c r="XL36" s="545"/>
      <c r="XM36" s="545"/>
      <c r="XN36" s="544"/>
      <c r="XO36" s="545"/>
      <c r="XP36" s="545"/>
      <c r="XQ36" s="545"/>
      <c r="XR36" s="545"/>
      <c r="XS36" s="545"/>
      <c r="XT36" s="545"/>
      <c r="XU36" s="544"/>
      <c r="XV36" s="545"/>
      <c r="XW36" s="545"/>
      <c r="XX36" s="545"/>
      <c r="XY36" s="545"/>
      <c r="XZ36" s="545"/>
      <c r="YA36" s="545"/>
      <c r="YB36" s="544"/>
      <c r="YC36" s="545"/>
      <c r="YD36" s="545"/>
      <c r="YE36" s="545"/>
      <c r="YF36" s="545"/>
      <c r="YG36" s="545"/>
      <c r="YH36" s="545"/>
      <c r="YI36" s="544"/>
      <c r="YJ36" s="545"/>
      <c r="YK36" s="545"/>
      <c r="YL36" s="545"/>
      <c r="YM36" s="545"/>
      <c r="YN36" s="545"/>
      <c r="YO36" s="545"/>
      <c r="YP36" s="544"/>
      <c r="YQ36" s="545"/>
      <c r="YR36" s="545"/>
      <c r="YS36" s="545"/>
      <c r="YT36" s="545"/>
      <c r="YU36" s="545"/>
      <c r="YV36" s="545"/>
      <c r="YW36" s="544"/>
      <c r="YX36" s="545"/>
      <c r="YY36" s="545"/>
      <c r="YZ36" s="545"/>
      <c r="ZA36" s="545"/>
      <c r="ZB36" s="545"/>
      <c r="ZC36" s="545"/>
      <c r="ZD36" s="544"/>
      <c r="ZE36" s="545"/>
      <c r="ZF36" s="545"/>
      <c r="ZG36" s="545"/>
      <c r="ZH36" s="545"/>
      <c r="ZI36" s="545"/>
      <c r="ZJ36" s="545"/>
      <c r="ZK36" s="544"/>
      <c r="ZL36" s="545"/>
      <c r="ZM36" s="545"/>
      <c r="ZN36" s="545"/>
      <c r="ZO36" s="545"/>
      <c r="ZP36" s="545"/>
      <c r="ZQ36" s="545"/>
      <c r="ZR36" s="544"/>
      <c r="ZS36" s="545"/>
      <c r="ZT36" s="545"/>
      <c r="ZU36" s="545"/>
      <c r="ZV36" s="545"/>
      <c r="ZW36" s="545"/>
      <c r="ZX36" s="545"/>
      <c r="ZY36" s="544"/>
      <c r="ZZ36" s="545"/>
      <c r="AAA36" s="545"/>
      <c r="AAB36" s="545"/>
      <c r="AAC36" s="545"/>
      <c r="AAD36" s="545"/>
      <c r="AAE36" s="545"/>
      <c r="AAF36" s="544"/>
      <c r="AAG36" s="545"/>
      <c r="AAH36" s="545"/>
      <c r="AAI36" s="545"/>
      <c r="AAJ36" s="545"/>
      <c r="AAK36" s="545"/>
      <c r="AAL36" s="545"/>
      <c r="AAM36" s="544"/>
      <c r="AAN36" s="545"/>
      <c r="AAO36" s="545"/>
      <c r="AAP36" s="545"/>
      <c r="AAQ36" s="545"/>
      <c r="AAR36" s="545"/>
      <c r="AAS36" s="545"/>
      <c r="AAT36" s="544"/>
      <c r="AAU36" s="545"/>
      <c r="AAV36" s="545"/>
      <c r="AAW36" s="545"/>
      <c r="AAX36" s="545"/>
      <c r="AAY36" s="545"/>
      <c r="AAZ36" s="545"/>
      <c r="ABA36" s="544"/>
      <c r="ABB36" s="545"/>
      <c r="ABC36" s="545"/>
      <c r="ABD36" s="545"/>
      <c r="ABE36" s="545"/>
      <c r="ABF36" s="545"/>
      <c r="ABG36" s="545"/>
      <c r="ABH36" s="544"/>
      <c r="ABI36" s="545"/>
      <c r="ABJ36" s="545"/>
      <c r="ABK36" s="545"/>
      <c r="ABL36" s="545"/>
      <c r="ABM36" s="545"/>
      <c r="ABN36" s="545"/>
      <c r="ABO36" s="544"/>
      <c r="ABP36" s="545"/>
      <c r="ABQ36" s="545"/>
      <c r="ABR36" s="545"/>
      <c r="ABS36" s="545"/>
      <c r="ABT36" s="545"/>
      <c r="ABU36" s="545"/>
      <c r="ABV36" s="544"/>
      <c r="ABW36" s="545"/>
      <c r="ABX36" s="545"/>
      <c r="ABY36" s="545"/>
      <c r="ABZ36" s="545"/>
      <c r="ACA36" s="545"/>
      <c r="ACB36" s="545"/>
      <c r="ACC36" s="544"/>
      <c r="ACD36" s="545"/>
      <c r="ACE36" s="545"/>
      <c r="ACF36" s="545"/>
      <c r="ACG36" s="545"/>
      <c r="ACH36" s="545"/>
      <c r="ACI36" s="545"/>
      <c r="ACJ36" s="544"/>
      <c r="ACK36" s="545"/>
      <c r="ACL36" s="545"/>
      <c r="ACM36" s="545"/>
      <c r="ACN36" s="545"/>
      <c r="ACO36" s="545"/>
      <c r="ACP36" s="545"/>
      <c r="ACQ36" s="544"/>
      <c r="ACR36" s="545"/>
      <c r="ACS36" s="545"/>
      <c r="ACT36" s="545"/>
      <c r="ACU36" s="545"/>
      <c r="ACV36" s="545"/>
      <c r="ACW36" s="545"/>
      <c r="ACX36" s="544"/>
      <c r="ACY36" s="545"/>
      <c r="ACZ36" s="545"/>
      <c r="ADA36" s="545"/>
      <c r="ADB36" s="545"/>
      <c r="ADC36" s="545"/>
      <c r="ADD36" s="545"/>
      <c r="ADE36" s="544"/>
      <c r="ADF36" s="545"/>
      <c r="ADG36" s="545"/>
      <c r="ADH36" s="545"/>
      <c r="ADI36" s="545"/>
      <c r="ADJ36" s="545"/>
      <c r="ADK36" s="545"/>
      <c r="ADL36" s="544"/>
      <c r="ADM36" s="545"/>
      <c r="ADN36" s="545"/>
      <c r="ADO36" s="545"/>
      <c r="ADP36" s="545"/>
      <c r="ADQ36" s="545"/>
      <c r="ADR36" s="545"/>
      <c r="ADS36" s="544"/>
      <c r="ADT36" s="545"/>
      <c r="ADU36" s="545"/>
      <c r="ADV36" s="545"/>
      <c r="ADW36" s="545"/>
      <c r="ADX36" s="545"/>
      <c r="ADY36" s="545"/>
      <c r="ADZ36" s="544"/>
      <c r="AEA36" s="545"/>
      <c r="AEB36" s="545"/>
      <c r="AEC36" s="545"/>
      <c r="AED36" s="545"/>
      <c r="AEE36" s="545"/>
      <c r="AEF36" s="545"/>
      <c r="AEG36" s="544"/>
      <c r="AEH36" s="545"/>
      <c r="AEI36" s="545"/>
      <c r="AEJ36" s="545"/>
      <c r="AEK36" s="545"/>
      <c r="AEL36" s="545"/>
      <c r="AEM36" s="545"/>
      <c r="AEN36" s="544"/>
      <c r="AEO36" s="545"/>
      <c r="AEP36" s="545"/>
      <c r="AEQ36" s="545"/>
      <c r="AER36" s="545"/>
      <c r="AES36" s="545"/>
      <c r="AET36" s="545"/>
      <c r="AEU36" s="544"/>
      <c r="AEV36" s="545"/>
      <c r="AEW36" s="545"/>
      <c r="AEX36" s="545"/>
      <c r="AEY36" s="545"/>
      <c r="AEZ36" s="545"/>
      <c r="AFA36" s="545"/>
      <c r="AFB36" s="544"/>
      <c r="AFC36" s="545"/>
      <c r="AFD36" s="545"/>
      <c r="AFE36" s="545"/>
      <c r="AFF36" s="545"/>
      <c r="AFG36" s="545"/>
      <c r="AFH36" s="545"/>
      <c r="AFI36" s="544"/>
      <c r="AFJ36" s="545"/>
      <c r="AFK36" s="545"/>
      <c r="AFL36" s="545"/>
      <c r="AFM36" s="545"/>
      <c r="AFN36" s="545"/>
      <c r="AFO36" s="545"/>
      <c r="AFP36" s="544"/>
      <c r="AFQ36" s="545"/>
      <c r="AFR36" s="545"/>
      <c r="AFS36" s="545"/>
      <c r="AFT36" s="545"/>
      <c r="AFU36" s="545"/>
      <c r="AFV36" s="545"/>
      <c r="AFW36" s="544"/>
      <c r="AFX36" s="545"/>
      <c r="AFY36" s="545"/>
      <c r="AFZ36" s="545"/>
      <c r="AGA36" s="545"/>
      <c r="AGB36" s="545"/>
      <c r="AGC36" s="545"/>
      <c r="AGD36" s="544"/>
      <c r="AGE36" s="545"/>
      <c r="AGF36" s="545"/>
      <c r="AGG36" s="545"/>
      <c r="AGH36" s="545"/>
      <c r="AGI36" s="545"/>
      <c r="AGJ36" s="545"/>
      <c r="AGK36" s="544"/>
      <c r="AGL36" s="545"/>
      <c r="AGM36" s="545"/>
      <c r="AGN36" s="545"/>
      <c r="AGO36" s="545"/>
      <c r="AGP36" s="545"/>
      <c r="AGQ36" s="545"/>
      <c r="AGR36" s="544"/>
      <c r="AGS36" s="545"/>
      <c r="AGT36" s="545"/>
      <c r="AGU36" s="545"/>
      <c r="AGV36" s="545"/>
      <c r="AGW36" s="545"/>
      <c r="AGX36" s="545"/>
      <c r="AGY36" s="544"/>
      <c r="AGZ36" s="545"/>
      <c r="AHA36" s="545"/>
      <c r="AHB36" s="545"/>
      <c r="AHC36" s="545"/>
      <c r="AHD36" s="545"/>
      <c r="AHE36" s="545"/>
      <c r="AHF36" s="544"/>
      <c r="AHG36" s="545"/>
      <c r="AHH36" s="545"/>
      <c r="AHI36" s="545"/>
      <c r="AHJ36" s="545"/>
      <c r="AHK36" s="545"/>
      <c r="AHL36" s="545"/>
      <c r="AHM36" s="544"/>
      <c r="AHN36" s="545"/>
      <c r="AHO36" s="545"/>
      <c r="AHP36" s="545"/>
      <c r="AHQ36" s="545"/>
      <c r="AHR36" s="545"/>
      <c r="AHS36" s="545"/>
      <c r="AHT36" s="544"/>
      <c r="AHU36" s="545"/>
      <c r="AHV36" s="545"/>
      <c r="AHW36" s="545"/>
      <c r="AHX36" s="545"/>
      <c r="AHY36" s="545"/>
      <c r="AHZ36" s="545"/>
      <c r="AIA36" s="544"/>
      <c r="AIB36" s="545"/>
      <c r="AIC36" s="545"/>
      <c r="AID36" s="545"/>
      <c r="AIE36" s="545"/>
      <c r="AIF36" s="545"/>
      <c r="AIG36" s="545"/>
      <c r="AIH36" s="544"/>
      <c r="AII36" s="545"/>
      <c r="AIJ36" s="545"/>
      <c r="AIK36" s="545"/>
      <c r="AIL36" s="545"/>
      <c r="AIM36" s="545"/>
      <c r="AIN36" s="545"/>
      <c r="AIO36" s="544"/>
      <c r="AIP36" s="545"/>
      <c r="AIQ36" s="545"/>
      <c r="AIR36" s="545"/>
      <c r="AIS36" s="545"/>
      <c r="AIT36" s="545"/>
      <c r="AIU36" s="545"/>
      <c r="AIV36" s="544"/>
      <c r="AIW36" s="545"/>
      <c r="AIX36" s="545"/>
      <c r="AIY36" s="545"/>
      <c r="AIZ36" s="545"/>
      <c r="AJA36" s="545"/>
      <c r="AJB36" s="545"/>
      <c r="AJC36" s="544"/>
      <c r="AJD36" s="545"/>
      <c r="AJE36" s="545"/>
      <c r="AJF36" s="545"/>
      <c r="AJG36" s="545"/>
      <c r="AJH36" s="545"/>
      <c r="AJI36" s="545"/>
      <c r="AJJ36" s="544"/>
      <c r="AJK36" s="545"/>
      <c r="AJL36" s="545"/>
      <c r="AJM36" s="545"/>
      <c r="AJN36" s="545"/>
      <c r="AJO36" s="545"/>
      <c r="AJP36" s="545"/>
      <c r="AJQ36" s="544"/>
      <c r="AJR36" s="545"/>
      <c r="AJS36" s="545"/>
      <c r="AJT36" s="545"/>
      <c r="AJU36" s="545"/>
      <c r="AJV36" s="545"/>
      <c r="AJW36" s="545"/>
      <c r="AJX36" s="544"/>
      <c r="AJY36" s="545"/>
      <c r="AJZ36" s="545"/>
      <c r="AKA36" s="545"/>
      <c r="AKB36" s="545"/>
      <c r="AKC36" s="545"/>
      <c r="AKD36" s="545"/>
      <c r="AKE36" s="544"/>
      <c r="AKF36" s="545"/>
      <c r="AKG36" s="545"/>
      <c r="AKH36" s="545"/>
      <c r="AKI36" s="545"/>
      <c r="AKJ36" s="545"/>
      <c r="AKK36" s="545"/>
      <c r="AKL36" s="544"/>
      <c r="AKM36" s="545"/>
      <c r="AKN36" s="545"/>
      <c r="AKO36" s="545"/>
      <c r="AKP36" s="545"/>
      <c r="AKQ36" s="545"/>
      <c r="AKR36" s="545"/>
      <c r="AKS36" s="544"/>
      <c r="AKT36" s="545"/>
      <c r="AKU36" s="545"/>
      <c r="AKV36" s="545"/>
      <c r="AKW36" s="545"/>
      <c r="AKX36" s="545"/>
      <c r="AKY36" s="545"/>
      <c r="AKZ36" s="544"/>
      <c r="ALA36" s="545"/>
      <c r="ALB36" s="545"/>
      <c r="ALC36" s="545"/>
      <c r="ALD36" s="545"/>
      <c r="ALE36" s="545"/>
      <c r="ALF36" s="545"/>
      <c r="ALG36" s="544"/>
      <c r="ALH36" s="545"/>
      <c r="ALI36" s="545"/>
      <c r="ALJ36" s="545"/>
      <c r="ALK36" s="545"/>
      <c r="ALL36" s="545"/>
      <c r="ALM36" s="545"/>
      <c r="ALN36" s="544"/>
      <c r="ALO36" s="545"/>
      <c r="ALP36" s="545"/>
      <c r="ALQ36" s="545"/>
      <c r="ALR36" s="545"/>
      <c r="ALS36" s="545"/>
      <c r="ALT36" s="545"/>
      <c r="ALU36" s="544"/>
      <c r="ALV36" s="545"/>
      <c r="ALW36" s="545"/>
      <c r="ALX36" s="545"/>
      <c r="ALY36" s="545"/>
      <c r="ALZ36" s="545"/>
      <c r="AMA36" s="545"/>
      <c r="AMB36" s="544"/>
      <c r="AMC36" s="545"/>
      <c r="AMD36" s="545"/>
      <c r="AME36" s="545"/>
      <c r="AMF36" s="545"/>
      <c r="AMG36" s="545"/>
      <c r="AMH36" s="545"/>
      <c r="AMI36" s="544"/>
      <c r="AMJ36" s="545"/>
      <c r="AMK36" s="545"/>
      <c r="AML36" s="545"/>
      <c r="AMM36" s="545"/>
      <c r="AMN36" s="545"/>
      <c r="AMO36" s="545"/>
      <c r="AMP36" s="544"/>
      <c r="AMQ36" s="545"/>
      <c r="AMR36" s="545"/>
      <c r="AMS36" s="545"/>
      <c r="AMT36" s="545"/>
      <c r="AMU36" s="545"/>
      <c r="AMV36" s="545"/>
      <c r="AMW36" s="544"/>
      <c r="AMX36" s="545"/>
      <c r="AMY36" s="545"/>
      <c r="AMZ36" s="545"/>
      <c r="ANA36" s="545"/>
      <c r="ANB36" s="545"/>
      <c r="ANC36" s="545"/>
      <c r="AND36" s="544"/>
      <c r="ANE36" s="545"/>
      <c r="ANF36" s="545"/>
      <c r="ANG36" s="545"/>
      <c r="ANH36" s="545"/>
      <c r="ANI36" s="545"/>
      <c r="ANJ36" s="545"/>
      <c r="ANK36" s="544"/>
      <c r="ANL36" s="545"/>
      <c r="ANM36" s="545"/>
      <c r="ANN36" s="545"/>
      <c r="ANO36" s="545"/>
      <c r="ANP36" s="545"/>
      <c r="ANQ36" s="545"/>
      <c r="ANR36" s="544"/>
      <c r="ANS36" s="545"/>
      <c r="ANT36" s="545"/>
      <c r="ANU36" s="545"/>
      <c r="ANV36" s="545"/>
      <c r="ANW36" s="545"/>
      <c r="ANX36" s="545"/>
      <c r="ANY36" s="544"/>
      <c r="ANZ36" s="545"/>
      <c r="AOA36" s="545"/>
      <c r="AOB36" s="545"/>
      <c r="AOC36" s="545"/>
      <c r="AOD36" s="545"/>
      <c r="AOE36" s="545"/>
      <c r="AOF36" s="544"/>
      <c r="AOG36" s="545"/>
      <c r="AOH36" s="545"/>
      <c r="AOI36" s="545"/>
      <c r="AOJ36" s="545"/>
      <c r="AOK36" s="545"/>
      <c r="AOL36" s="545"/>
      <c r="AOM36" s="544"/>
      <c r="AON36" s="545"/>
      <c r="AOO36" s="545"/>
      <c r="AOP36" s="545"/>
      <c r="AOQ36" s="545"/>
      <c r="AOR36" s="545"/>
      <c r="AOS36" s="545"/>
      <c r="AOT36" s="544"/>
      <c r="AOU36" s="545"/>
      <c r="AOV36" s="545"/>
      <c r="AOW36" s="545"/>
      <c r="AOX36" s="545"/>
      <c r="AOY36" s="545"/>
      <c r="AOZ36" s="545"/>
      <c r="APA36" s="544"/>
      <c r="APB36" s="545"/>
      <c r="APC36" s="545"/>
      <c r="APD36" s="545"/>
      <c r="APE36" s="545"/>
      <c r="APF36" s="545"/>
      <c r="APG36" s="545"/>
      <c r="APH36" s="544"/>
      <c r="API36" s="545"/>
      <c r="APJ36" s="545"/>
      <c r="APK36" s="545"/>
      <c r="APL36" s="545"/>
      <c r="APM36" s="545"/>
      <c r="APN36" s="545"/>
      <c r="APO36" s="544"/>
      <c r="APP36" s="545"/>
      <c r="APQ36" s="545"/>
      <c r="APR36" s="545"/>
      <c r="APS36" s="545"/>
      <c r="APT36" s="545"/>
      <c r="APU36" s="545"/>
      <c r="APV36" s="544"/>
      <c r="APW36" s="545"/>
      <c r="APX36" s="545"/>
      <c r="APY36" s="545"/>
      <c r="APZ36" s="545"/>
      <c r="AQA36" s="545"/>
      <c r="AQB36" s="545"/>
      <c r="AQC36" s="544"/>
      <c r="AQD36" s="545"/>
      <c r="AQE36" s="545"/>
      <c r="AQF36" s="545"/>
      <c r="AQG36" s="545"/>
      <c r="AQH36" s="545"/>
      <c r="AQI36" s="545"/>
      <c r="AQJ36" s="544"/>
      <c r="AQK36" s="545"/>
      <c r="AQL36" s="545"/>
      <c r="AQM36" s="545"/>
      <c r="AQN36" s="545"/>
      <c r="AQO36" s="545"/>
      <c r="AQP36" s="545"/>
      <c r="AQQ36" s="544"/>
      <c r="AQR36" s="545"/>
      <c r="AQS36" s="545"/>
      <c r="AQT36" s="545"/>
      <c r="AQU36" s="545"/>
      <c r="AQV36" s="545"/>
      <c r="AQW36" s="545"/>
      <c r="AQX36" s="544"/>
      <c r="AQY36" s="545"/>
      <c r="AQZ36" s="545"/>
      <c r="ARA36" s="545"/>
      <c r="ARB36" s="545"/>
      <c r="ARC36" s="545"/>
      <c r="ARD36" s="545"/>
      <c r="ARE36" s="544"/>
      <c r="ARF36" s="545"/>
      <c r="ARG36" s="545"/>
      <c r="ARH36" s="545"/>
      <c r="ARI36" s="545"/>
      <c r="ARJ36" s="545"/>
      <c r="ARK36" s="545"/>
      <c r="ARL36" s="544"/>
      <c r="ARM36" s="545"/>
      <c r="ARN36" s="545"/>
      <c r="ARO36" s="545"/>
      <c r="ARP36" s="545"/>
      <c r="ARQ36" s="545"/>
      <c r="ARR36" s="545"/>
      <c r="ARS36" s="544"/>
      <c r="ART36" s="545"/>
      <c r="ARU36" s="545"/>
      <c r="ARV36" s="545"/>
      <c r="ARW36" s="545"/>
      <c r="ARX36" s="545"/>
      <c r="ARY36" s="545"/>
      <c r="ARZ36" s="544"/>
      <c r="ASA36" s="545"/>
      <c r="ASB36" s="545"/>
      <c r="ASC36" s="545"/>
      <c r="ASD36" s="545"/>
      <c r="ASE36" s="545"/>
      <c r="ASF36" s="545"/>
      <c r="ASG36" s="544"/>
      <c r="ASH36" s="545"/>
      <c r="ASI36" s="545"/>
      <c r="ASJ36" s="545"/>
      <c r="ASK36" s="545"/>
      <c r="ASL36" s="545"/>
      <c r="ASM36" s="545"/>
      <c r="ASN36" s="544"/>
      <c r="ASO36" s="545"/>
      <c r="ASP36" s="545"/>
      <c r="ASQ36" s="545"/>
      <c r="ASR36" s="545"/>
      <c r="ASS36" s="545"/>
      <c r="AST36" s="545"/>
      <c r="ASU36" s="544"/>
      <c r="ASV36" s="545"/>
      <c r="ASW36" s="545"/>
      <c r="ASX36" s="545"/>
      <c r="ASY36" s="545"/>
      <c r="ASZ36" s="545"/>
      <c r="ATA36" s="545"/>
      <c r="ATB36" s="544"/>
      <c r="ATC36" s="545"/>
      <c r="ATD36" s="545"/>
      <c r="ATE36" s="545"/>
      <c r="ATF36" s="545"/>
      <c r="ATG36" s="545"/>
      <c r="ATH36" s="545"/>
      <c r="ATI36" s="544"/>
      <c r="ATJ36" s="545"/>
      <c r="ATK36" s="545"/>
      <c r="ATL36" s="545"/>
      <c r="ATM36" s="545"/>
      <c r="ATN36" s="545"/>
      <c r="ATO36" s="545"/>
      <c r="ATP36" s="544"/>
      <c r="ATQ36" s="545"/>
      <c r="ATR36" s="545"/>
      <c r="ATS36" s="545"/>
      <c r="ATT36" s="545"/>
      <c r="ATU36" s="545"/>
      <c r="ATV36" s="545"/>
      <c r="ATW36" s="544"/>
      <c r="ATX36" s="545"/>
      <c r="ATY36" s="545"/>
      <c r="ATZ36" s="545"/>
      <c r="AUA36" s="545"/>
      <c r="AUB36" s="545"/>
      <c r="AUC36" s="545"/>
      <c r="AUD36" s="544"/>
      <c r="AUE36" s="545"/>
      <c r="AUF36" s="545"/>
      <c r="AUG36" s="545"/>
      <c r="AUH36" s="545"/>
      <c r="AUI36" s="545"/>
      <c r="AUJ36" s="545"/>
      <c r="AUK36" s="544"/>
      <c r="AUL36" s="545"/>
      <c r="AUM36" s="545"/>
      <c r="AUN36" s="545"/>
      <c r="AUO36" s="545"/>
      <c r="AUP36" s="545"/>
      <c r="AUQ36" s="545"/>
      <c r="AUR36" s="544"/>
      <c r="AUS36" s="545"/>
      <c r="AUT36" s="545"/>
      <c r="AUU36" s="545"/>
      <c r="AUV36" s="545"/>
      <c r="AUW36" s="545"/>
      <c r="AUX36" s="545"/>
      <c r="AUY36" s="544"/>
      <c r="AUZ36" s="545"/>
      <c r="AVA36" s="545"/>
      <c r="AVB36" s="545"/>
      <c r="AVC36" s="545"/>
      <c r="AVD36" s="545"/>
      <c r="AVE36" s="545"/>
      <c r="AVF36" s="544"/>
      <c r="AVG36" s="545"/>
      <c r="AVH36" s="545"/>
      <c r="AVI36" s="545"/>
      <c r="AVJ36" s="545"/>
      <c r="AVK36" s="545"/>
      <c r="AVL36" s="545"/>
      <c r="AVM36" s="544"/>
      <c r="AVN36" s="545"/>
      <c r="AVO36" s="545"/>
      <c r="AVP36" s="545"/>
      <c r="AVQ36" s="545"/>
      <c r="AVR36" s="545"/>
      <c r="AVS36" s="545"/>
      <c r="AVT36" s="544"/>
      <c r="AVU36" s="545"/>
      <c r="AVV36" s="545"/>
      <c r="AVW36" s="545"/>
      <c r="AVX36" s="545"/>
      <c r="AVY36" s="545"/>
      <c r="AVZ36" s="545"/>
      <c r="AWA36" s="544"/>
      <c r="AWB36" s="545"/>
      <c r="AWC36" s="545"/>
      <c r="AWD36" s="545"/>
      <c r="AWE36" s="545"/>
      <c r="AWF36" s="545"/>
      <c r="AWG36" s="545"/>
      <c r="AWH36" s="544"/>
      <c r="AWI36" s="545"/>
      <c r="AWJ36" s="545"/>
      <c r="AWK36" s="545"/>
      <c r="AWL36" s="545"/>
      <c r="AWM36" s="545"/>
      <c r="AWN36" s="545"/>
      <c r="AWO36" s="544"/>
      <c r="AWP36" s="545"/>
      <c r="AWQ36" s="545"/>
      <c r="AWR36" s="545"/>
      <c r="AWS36" s="545"/>
      <c r="AWT36" s="545"/>
      <c r="AWU36" s="545"/>
      <c r="AWV36" s="544"/>
      <c r="AWW36" s="545"/>
      <c r="AWX36" s="545"/>
      <c r="AWY36" s="545"/>
      <c r="AWZ36" s="545"/>
      <c r="AXA36" s="545"/>
      <c r="AXB36" s="545"/>
      <c r="AXC36" s="544"/>
      <c r="AXD36" s="545"/>
      <c r="AXE36" s="545"/>
      <c r="AXF36" s="545"/>
      <c r="AXG36" s="545"/>
      <c r="AXH36" s="545"/>
      <c r="AXI36" s="545"/>
      <c r="AXJ36" s="544"/>
      <c r="AXK36" s="545"/>
      <c r="AXL36" s="545"/>
      <c r="AXM36" s="545"/>
      <c r="AXN36" s="545"/>
      <c r="AXO36" s="545"/>
      <c r="AXP36" s="545"/>
      <c r="AXQ36" s="544"/>
      <c r="AXR36" s="545"/>
      <c r="AXS36" s="545"/>
      <c r="AXT36" s="545"/>
      <c r="AXU36" s="545"/>
      <c r="AXV36" s="545"/>
      <c r="AXW36" s="545"/>
      <c r="AXX36" s="544"/>
      <c r="AXY36" s="545"/>
      <c r="AXZ36" s="545"/>
      <c r="AYA36" s="545"/>
      <c r="AYB36" s="545"/>
      <c r="AYC36" s="545"/>
      <c r="AYD36" s="545"/>
      <c r="AYE36" s="544"/>
      <c r="AYF36" s="545"/>
      <c r="AYG36" s="545"/>
      <c r="AYH36" s="545"/>
      <c r="AYI36" s="545"/>
      <c r="AYJ36" s="545"/>
      <c r="AYK36" s="545"/>
      <c r="AYL36" s="544"/>
      <c r="AYM36" s="545"/>
      <c r="AYN36" s="545"/>
      <c r="AYO36" s="545"/>
      <c r="AYP36" s="545"/>
      <c r="AYQ36" s="545"/>
      <c r="AYR36" s="545"/>
      <c r="AYS36" s="544"/>
      <c r="AYT36" s="545"/>
      <c r="AYU36" s="545"/>
      <c r="AYV36" s="545"/>
      <c r="AYW36" s="545"/>
      <c r="AYX36" s="545"/>
      <c r="AYY36" s="545"/>
      <c r="AYZ36" s="544"/>
      <c r="AZA36" s="545"/>
      <c r="AZB36" s="545"/>
      <c r="AZC36" s="545"/>
      <c r="AZD36" s="545"/>
      <c r="AZE36" s="545"/>
      <c r="AZF36" s="545"/>
      <c r="AZG36" s="544"/>
      <c r="AZH36" s="545"/>
      <c r="AZI36" s="545"/>
      <c r="AZJ36" s="545"/>
      <c r="AZK36" s="545"/>
      <c r="AZL36" s="545"/>
      <c r="AZM36" s="545"/>
      <c r="AZN36" s="544"/>
      <c r="AZO36" s="545"/>
      <c r="AZP36" s="545"/>
      <c r="AZQ36" s="545"/>
      <c r="AZR36" s="545"/>
      <c r="AZS36" s="545"/>
      <c r="AZT36" s="545"/>
      <c r="AZU36" s="544"/>
      <c r="AZV36" s="545"/>
      <c r="AZW36" s="545"/>
      <c r="AZX36" s="545"/>
      <c r="AZY36" s="545"/>
      <c r="AZZ36" s="545"/>
      <c r="BAA36" s="545"/>
      <c r="BAB36" s="544"/>
      <c r="BAC36" s="545"/>
      <c r="BAD36" s="545"/>
      <c r="BAE36" s="545"/>
      <c r="BAF36" s="545"/>
      <c r="BAG36" s="545"/>
      <c r="BAH36" s="545"/>
      <c r="BAI36" s="544"/>
      <c r="BAJ36" s="545"/>
      <c r="BAK36" s="545"/>
      <c r="BAL36" s="545"/>
      <c r="BAM36" s="545"/>
      <c r="BAN36" s="545"/>
      <c r="BAO36" s="545"/>
      <c r="BAP36" s="544"/>
      <c r="BAQ36" s="545"/>
      <c r="BAR36" s="545"/>
      <c r="BAS36" s="545"/>
      <c r="BAT36" s="545"/>
      <c r="BAU36" s="545"/>
      <c r="BAV36" s="545"/>
      <c r="BAW36" s="544"/>
      <c r="BAX36" s="545"/>
      <c r="BAY36" s="545"/>
      <c r="BAZ36" s="545"/>
      <c r="BBA36" s="545"/>
      <c r="BBB36" s="545"/>
      <c r="BBC36" s="545"/>
      <c r="BBD36" s="544"/>
      <c r="BBE36" s="545"/>
      <c r="BBF36" s="545"/>
      <c r="BBG36" s="545"/>
      <c r="BBH36" s="545"/>
      <c r="BBI36" s="545"/>
      <c r="BBJ36" s="545"/>
      <c r="BBK36" s="544"/>
      <c r="BBL36" s="545"/>
      <c r="BBM36" s="545"/>
      <c r="BBN36" s="545"/>
      <c r="BBO36" s="545"/>
      <c r="BBP36" s="545"/>
      <c r="BBQ36" s="545"/>
      <c r="BBR36" s="544"/>
      <c r="BBS36" s="545"/>
      <c r="BBT36" s="545"/>
      <c r="BBU36" s="545"/>
      <c r="BBV36" s="545"/>
      <c r="BBW36" s="545"/>
      <c r="BBX36" s="545"/>
      <c r="BBY36" s="544"/>
      <c r="BBZ36" s="545"/>
      <c r="BCA36" s="545"/>
      <c r="BCB36" s="545"/>
      <c r="BCC36" s="545"/>
      <c r="BCD36" s="545"/>
      <c r="BCE36" s="545"/>
      <c r="BCF36" s="544"/>
      <c r="BCG36" s="545"/>
      <c r="BCH36" s="545"/>
      <c r="BCI36" s="545"/>
      <c r="BCJ36" s="545"/>
      <c r="BCK36" s="545"/>
      <c r="BCL36" s="545"/>
      <c r="BCM36" s="544"/>
      <c r="BCN36" s="545"/>
      <c r="BCO36" s="545"/>
      <c r="BCP36" s="545"/>
      <c r="BCQ36" s="545"/>
      <c r="BCR36" s="545"/>
      <c r="BCS36" s="545"/>
      <c r="BCT36" s="544"/>
      <c r="BCU36" s="545"/>
      <c r="BCV36" s="545"/>
      <c r="BCW36" s="545"/>
      <c r="BCX36" s="545"/>
      <c r="BCY36" s="545"/>
      <c r="BCZ36" s="545"/>
      <c r="BDA36" s="544"/>
      <c r="BDB36" s="545"/>
      <c r="BDC36" s="545"/>
      <c r="BDD36" s="545"/>
      <c r="BDE36" s="545"/>
      <c r="BDF36" s="545"/>
      <c r="BDG36" s="545"/>
      <c r="BDH36" s="544"/>
      <c r="BDI36" s="545"/>
      <c r="BDJ36" s="545"/>
      <c r="BDK36" s="545"/>
      <c r="BDL36" s="545"/>
      <c r="BDM36" s="545"/>
      <c r="BDN36" s="545"/>
      <c r="BDO36" s="544"/>
      <c r="BDP36" s="545"/>
      <c r="BDQ36" s="545"/>
      <c r="BDR36" s="545"/>
      <c r="BDS36" s="545"/>
      <c r="BDT36" s="545"/>
      <c r="BDU36" s="545"/>
      <c r="BDV36" s="544"/>
      <c r="BDW36" s="545"/>
      <c r="BDX36" s="545"/>
      <c r="BDY36" s="545"/>
      <c r="BDZ36" s="545"/>
      <c r="BEA36" s="545"/>
      <c r="BEB36" s="545"/>
      <c r="BEC36" s="544"/>
      <c r="BED36" s="545"/>
      <c r="BEE36" s="545"/>
      <c r="BEF36" s="545"/>
      <c r="BEG36" s="545"/>
      <c r="BEH36" s="545"/>
      <c r="BEI36" s="545"/>
      <c r="BEJ36" s="544"/>
      <c r="BEK36" s="545"/>
      <c r="BEL36" s="545"/>
      <c r="BEM36" s="545"/>
      <c r="BEN36" s="545"/>
      <c r="BEO36" s="545"/>
      <c r="BEP36" s="545"/>
      <c r="BEQ36" s="544"/>
      <c r="BER36" s="545"/>
      <c r="BES36" s="545"/>
      <c r="BET36" s="545"/>
      <c r="BEU36" s="545"/>
      <c r="BEV36" s="545"/>
      <c r="BEW36" s="545"/>
      <c r="BEX36" s="544"/>
      <c r="BEY36" s="545"/>
      <c r="BEZ36" s="545"/>
      <c r="BFA36" s="545"/>
      <c r="BFB36" s="545"/>
      <c r="BFC36" s="545"/>
      <c r="BFD36" s="545"/>
      <c r="BFE36" s="544"/>
      <c r="BFF36" s="545"/>
      <c r="BFG36" s="545"/>
      <c r="BFH36" s="545"/>
      <c r="BFI36" s="545"/>
      <c r="BFJ36" s="545"/>
      <c r="BFK36" s="545"/>
      <c r="BFL36" s="544"/>
      <c r="BFM36" s="545"/>
      <c r="BFN36" s="545"/>
      <c r="BFO36" s="545"/>
      <c r="BFP36" s="545"/>
      <c r="BFQ36" s="545"/>
      <c r="BFR36" s="545"/>
      <c r="BFS36" s="544"/>
      <c r="BFT36" s="545"/>
      <c r="BFU36" s="545"/>
      <c r="BFV36" s="545"/>
      <c r="BFW36" s="545"/>
      <c r="BFX36" s="545"/>
      <c r="BFY36" s="545"/>
      <c r="BFZ36" s="544"/>
      <c r="BGA36" s="545"/>
      <c r="BGB36" s="545"/>
      <c r="BGC36" s="545"/>
      <c r="BGD36" s="545"/>
      <c r="BGE36" s="545"/>
      <c r="BGF36" s="545"/>
      <c r="BGG36" s="544"/>
      <c r="BGH36" s="545"/>
      <c r="BGI36" s="545"/>
      <c r="BGJ36" s="545"/>
      <c r="BGK36" s="545"/>
      <c r="BGL36" s="545"/>
      <c r="BGM36" s="545"/>
      <c r="BGN36" s="544"/>
      <c r="BGO36" s="545"/>
      <c r="BGP36" s="545"/>
      <c r="BGQ36" s="545"/>
      <c r="BGR36" s="545"/>
      <c r="BGS36" s="545"/>
      <c r="BGT36" s="545"/>
      <c r="BGU36" s="544"/>
      <c r="BGV36" s="545"/>
      <c r="BGW36" s="545"/>
      <c r="BGX36" s="545"/>
      <c r="BGY36" s="545"/>
      <c r="BGZ36" s="545"/>
      <c r="BHA36" s="545"/>
      <c r="BHB36" s="544"/>
      <c r="BHC36" s="545"/>
      <c r="BHD36" s="545"/>
      <c r="BHE36" s="545"/>
      <c r="BHF36" s="545"/>
      <c r="BHG36" s="545"/>
      <c r="BHH36" s="545"/>
      <c r="BHI36" s="544"/>
      <c r="BHJ36" s="545"/>
      <c r="BHK36" s="545"/>
      <c r="BHL36" s="545"/>
      <c r="BHM36" s="545"/>
      <c r="BHN36" s="545"/>
      <c r="BHO36" s="545"/>
      <c r="BHP36" s="544"/>
      <c r="BHQ36" s="545"/>
      <c r="BHR36" s="545"/>
      <c r="BHS36" s="545"/>
      <c r="BHT36" s="545"/>
      <c r="BHU36" s="545"/>
      <c r="BHV36" s="545"/>
      <c r="BHW36" s="544"/>
      <c r="BHX36" s="545"/>
      <c r="BHY36" s="545"/>
      <c r="BHZ36" s="545"/>
      <c r="BIA36" s="545"/>
      <c r="BIB36" s="545"/>
      <c r="BIC36" s="545"/>
      <c r="BID36" s="544"/>
      <c r="BIE36" s="545"/>
      <c r="BIF36" s="545"/>
      <c r="BIG36" s="545"/>
      <c r="BIH36" s="545"/>
      <c r="BII36" s="545"/>
      <c r="BIJ36" s="545"/>
      <c r="BIK36" s="544"/>
      <c r="BIL36" s="545"/>
      <c r="BIM36" s="545"/>
      <c r="BIN36" s="545"/>
      <c r="BIO36" s="545"/>
      <c r="BIP36" s="545"/>
      <c r="BIQ36" s="545"/>
      <c r="BIR36" s="544"/>
      <c r="BIS36" s="545"/>
      <c r="BIT36" s="545"/>
      <c r="BIU36" s="545"/>
      <c r="BIV36" s="545"/>
      <c r="BIW36" s="545"/>
      <c r="BIX36" s="545"/>
      <c r="BIY36" s="544"/>
      <c r="BIZ36" s="545"/>
      <c r="BJA36" s="545"/>
      <c r="BJB36" s="545"/>
      <c r="BJC36" s="545"/>
      <c r="BJD36" s="545"/>
      <c r="BJE36" s="545"/>
      <c r="BJF36" s="544"/>
      <c r="BJG36" s="545"/>
      <c r="BJH36" s="545"/>
      <c r="BJI36" s="545"/>
      <c r="BJJ36" s="545"/>
      <c r="BJK36" s="545"/>
      <c r="BJL36" s="545"/>
      <c r="BJM36" s="544"/>
      <c r="BJN36" s="545"/>
      <c r="BJO36" s="545"/>
      <c r="BJP36" s="545"/>
      <c r="BJQ36" s="545"/>
      <c r="BJR36" s="545"/>
      <c r="BJS36" s="545"/>
      <c r="BJT36" s="544"/>
      <c r="BJU36" s="545"/>
      <c r="BJV36" s="545"/>
      <c r="BJW36" s="545"/>
      <c r="BJX36" s="545"/>
      <c r="BJY36" s="545"/>
      <c r="BJZ36" s="545"/>
      <c r="BKA36" s="544"/>
      <c r="BKB36" s="545"/>
      <c r="BKC36" s="545"/>
      <c r="BKD36" s="545"/>
      <c r="BKE36" s="545"/>
      <c r="BKF36" s="545"/>
      <c r="BKG36" s="545"/>
      <c r="BKH36" s="544"/>
      <c r="BKI36" s="545"/>
      <c r="BKJ36" s="545"/>
      <c r="BKK36" s="545"/>
      <c r="BKL36" s="545"/>
      <c r="BKM36" s="545"/>
      <c r="BKN36" s="545"/>
      <c r="BKO36" s="544"/>
      <c r="BKP36" s="545"/>
      <c r="BKQ36" s="545"/>
      <c r="BKR36" s="545"/>
      <c r="BKS36" s="545"/>
      <c r="BKT36" s="545"/>
      <c r="BKU36" s="545"/>
      <c r="BKV36" s="544"/>
      <c r="BKW36" s="545"/>
      <c r="BKX36" s="545"/>
      <c r="BKY36" s="545"/>
      <c r="BKZ36" s="545"/>
      <c r="BLA36" s="545"/>
      <c r="BLB36" s="545"/>
      <c r="BLC36" s="544"/>
      <c r="BLD36" s="545"/>
      <c r="BLE36" s="545"/>
      <c r="BLF36" s="545"/>
      <c r="BLG36" s="545"/>
      <c r="BLH36" s="545"/>
      <c r="BLI36" s="545"/>
      <c r="BLJ36" s="544"/>
      <c r="BLK36" s="545"/>
      <c r="BLL36" s="545"/>
      <c r="BLM36" s="545"/>
      <c r="BLN36" s="545"/>
      <c r="BLO36" s="545"/>
      <c r="BLP36" s="545"/>
      <c r="BLQ36" s="544"/>
      <c r="BLR36" s="545"/>
      <c r="BLS36" s="545"/>
      <c r="BLT36" s="545"/>
      <c r="BLU36" s="545"/>
      <c r="BLV36" s="545"/>
      <c r="BLW36" s="545"/>
      <c r="BLX36" s="544"/>
      <c r="BLY36" s="545"/>
      <c r="BLZ36" s="545"/>
      <c r="BMA36" s="545"/>
      <c r="BMB36" s="545"/>
      <c r="BMC36" s="545"/>
      <c r="BMD36" s="545"/>
      <c r="BME36" s="544"/>
      <c r="BMF36" s="545"/>
      <c r="BMG36" s="545"/>
      <c r="BMH36" s="545"/>
      <c r="BMI36" s="545"/>
      <c r="BMJ36" s="545"/>
      <c r="BMK36" s="545"/>
      <c r="BML36" s="544"/>
      <c r="BMM36" s="545"/>
      <c r="BMN36" s="545"/>
      <c r="BMO36" s="545"/>
      <c r="BMP36" s="545"/>
      <c r="BMQ36" s="545"/>
      <c r="BMR36" s="545"/>
      <c r="BMS36" s="544"/>
      <c r="BMT36" s="545"/>
      <c r="BMU36" s="545"/>
      <c r="BMV36" s="545"/>
      <c r="BMW36" s="545"/>
      <c r="BMX36" s="545"/>
      <c r="BMY36" s="545"/>
      <c r="BMZ36" s="544"/>
      <c r="BNA36" s="545"/>
      <c r="BNB36" s="545"/>
      <c r="BNC36" s="545"/>
      <c r="BND36" s="545"/>
      <c r="BNE36" s="545"/>
      <c r="BNF36" s="545"/>
      <c r="BNG36" s="544"/>
      <c r="BNH36" s="545"/>
      <c r="BNI36" s="545"/>
      <c r="BNJ36" s="545"/>
      <c r="BNK36" s="545"/>
      <c r="BNL36" s="545"/>
      <c r="BNM36" s="545"/>
      <c r="BNN36" s="544"/>
      <c r="BNO36" s="545"/>
      <c r="BNP36" s="545"/>
      <c r="BNQ36" s="545"/>
      <c r="BNR36" s="545"/>
      <c r="BNS36" s="545"/>
      <c r="BNT36" s="545"/>
      <c r="BNU36" s="544"/>
      <c r="BNV36" s="545"/>
      <c r="BNW36" s="545"/>
      <c r="BNX36" s="545"/>
      <c r="BNY36" s="545"/>
      <c r="BNZ36" s="545"/>
      <c r="BOA36" s="545"/>
      <c r="BOB36" s="544"/>
      <c r="BOC36" s="545"/>
      <c r="BOD36" s="545"/>
      <c r="BOE36" s="545"/>
      <c r="BOF36" s="545"/>
      <c r="BOG36" s="545"/>
      <c r="BOH36" s="545"/>
      <c r="BOI36" s="544"/>
      <c r="BOJ36" s="545"/>
      <c r="BOK36" s="545"/>
      <c r="BOL36" s="545"/>
      <c r="BOM36" s="545"/>
      <c r="BON36" s="545"/>
      <c r="BOO36" s="545"/>
      <c r="BOP36" s="544"/>
      <c r="BOQ36" s="545"/>
      <c r="BOR36" s="545"/>
      <c r="BOS36" s="545"/>
      <c r="BOT36" s="545"/>
      <c r="BOU36" s="545"/>
      <c r="BOV36" s="545"/>
      <c r="BOW36" s="544"/>
      <c r="BOX36" s="545"/>
      <c r="BOY36" s="545"/>
      <c r="BOZ36" s="545"/>
      <c r="BPA36" s="545"/>
      <c r="BPB36" s="545"/>
      <c r="BPC36" s="545"/>
      <c r="BPD36" s="544"/>
      <c r="BPE36" s="545"/>
      <c r="BPF36" s="545"/>
      <c r="BPG36" s="545"/>
      <c r="BPH36" s="545"/>
      <c r="BPI36" s="545"/>
      <c r="BPJ36" s="545"/>
      <c r="BPK36" s="544"/>
      <c r="BPL36" s="545"/>
      <c r="BPM36" s="545"/>
      <c r="BPN36" s="545"/>
      <c r="BPO36" s="545"/>
      <c r="BPP36" s="545"/>
      <c r="BPQ36" s="545"/>
      <c r="BPR36" s="544"/>
      <c r="BPS36" s="545"/>
      <c r="BPT36" s="545"/>
      <c r="BPU36" s="545"/>
      <c r="BPV36" s="545"/>
      <c r="BPW36" s="545"/>
      <c r="BPX36" s="545"/>
      <c r="BPY36" s="544"/>
      <c r="BPZ36" s="545"/>
      <c r="BQA36" s="545"/>
      <c r="BQB36" s="545"/>
      <c r="BQC36" s="545"/>
      <c r="BQD36" s="545"/>
      <c r="BQE36" s="545"/>
      <c r="BQF36" s="544"/>
      <c r="BQG36" s="545"/>
      <c r="BQH36" s="545"/>
      <c r="BQI36" s="545"/>
      <c r="BQJ36" s="545"/>
      <c r="BQK36" s="545"/>
      <c r="BQL36" s="545"/>
      <c r="BQM36" s="544"/>
      <c r="BQN36" s="545"/>
      <c r="BQO36" s="545"/>
      <c r="BQP36" s="545"/>
      <c r="BQQ36" s="545"/>
      <c r="BQR36" s="545"/>
      <c r="BQS36" s="545"/>
      <c r="BQT36" s="544"/>
      <c r="BQU36" s="545"/>
      <c r="BQV36" s="545"/>
      <c r="BQW36" s="545"/>
      <c r="BQX36" s="545"/>
      <c r="BQY36" s="545"/>
      <c r="BQZ36" s="545"/>
      <c r="BRA36" s="544"/>
      <c r="BRB36" s="545"/>
      <c r="BRC36" s="545"/>
      <c r="BRD36" s="545"/>
      <c r="BRE36" s="545"/>
      <c r="BRF36" s="545"/>
      <c r="BRG36" s="545"/>
      <c r="BRH36" s="544"/>
      <c r="BRI36" s="545"/>
      <c r="BRJ36" s="545"/>
      <c r="BRK36" s="545"/>
      <c r="BRL36" s="545"/>
      <c r="BRM36" s="545"/>
      <c r="BRN36" s="545"/>
      <c r="BRO36" s="544"/>
      <c r="BRP36" s="545"/>
      <c r="BRQ36" s="545"/>
      <c r="BRR36" s="545"/>
      <c r="BRS36" s="545"/>
      <c r="BRT36" s="545"/>
      <c r="BRU36" s="545"/>
      <c r="BRV36" s="544"/>
      <c r="BRW36" s="545"/>
      <c r="BRX36" s="545"/>
      <c r="BRY36" s="545"/>
      <c r="BRZ36" s="545"/>
      <c r="BSA36" s="545"/>
      <c r="BSB36" s="545"/>
      <c r="BSC36" s="544"/>
      <c r="BSD36" s="545"/>
      <c r="BSE36" s="545"/>
      <c r="BSF36" s="545"/>
      <c r="BSG36" s="545"/>
      <c r="BSH36" s="545"/>
      <c r="BSI36" s="545"/>
      <c r="BSJ36" s="544"/>
      <c r="BSK36" s="545"/>
      <c r="BSL36" s="545"/>
      <c r="BSM36" s="545"/>
      <c r="BSN36" s="545"/>
      <c r="BSO36" s="545"/>
      <c r="BSP36" s="545"/>
      <c r="BSQ36" s="544"/>
      <c r="BSR36" s="545"/>
      <c r="BSS36" s="545"/>
      <c r="BST36" s="545"/>
      <c r="BSU36" s="545"/>
      <c r="BSV36" s="545"/>
      <c r="BSW36" s="545"/>
      <c r="BSX36" s="544"/>
      <c r="BSY36" s="545"/>
      <c r="BSZ36" s="545"/>
      <c r="BTA36" s="545"/>
      <c r="BTB36" s="545"/>
      <c r="BTC36" s="545"/>
      <c r="BTD36" s="545"/>
      <c r="BTE36" s="544"/>
      <c r="BTF36" s="545"/>
      <c r="BTG36" s="545"/>
      <c r="BTH36" s="545"/>
      <c r="BTI36" s="545"/>
      <c r="BTJ36" s="545"/>
      <c r="BTK36" s="545"/>
      <c r="BTL36" s="544"/>
      <c r="BTM36" s="545"/>
      <c r="BTN36" s="545"/>
      <c r="BTO36" s="545"/>
      <c r="BTP36" s="545"/>
      <c r="BTQ36" s="545"/>
      <c r="BTR36" s="545"/>
      <c r="BTS36" s="544"/>
      <c r="BTT36" s="545"/>
      <c r="BTU36" s="545"/>
      <c r="BTV36" s="545"/>
      <c r="BTW36" s="545"/>
      <c r="BTX36" s="545"/>
      <c r="BTY36" s="545"/>
      <c r="BTZ36" s="544"/>
      <c r="BUA36" s="545"/>
      <c r="BUB36" s="545"/>
      <c r="BUC36" s="545"/>
      <c r="BUD36" s="545"/>
      <c r="BUE36" s="545"/>
      <c r="BUF36" s="545"/>
      <c r="BUG36" s="544"/>
      <c r="BUH36" s="545"/>
      <c r="BUI36" s="545"/>
      <c r="BUJ36" s="545"/>
      <c r="BUK36" s="545"/>
      <c r="BUL36" s="545"/>
      <c r="BUM36" s="545"/>
      <c r="BUN36" s="544"/>
      <c r="BUO36" s="545"/>
      <c r="BUP36" s="545"/>
      <c r="BUQ36" s="545"/>
      <c r="BUR36" s="545"/>
      <c r="BUS36" s="545"/>
      <c r="BUT36" s="545"/>
      <c r="BUU36" s="544"/>
      <c r="BUV36" s="545"/>
      <c r="BUW36" s="545"/>
      <c r="BUX36" s="545"/>
      <c r="BUY36" s="545"/>
      <c r="BUZ36" s="545"/>
      <c r="BVA36" s="545"/>
      <c r="BVB36" s="544"/>
      <c r="BVC36" s="545"/>
      <c r="BVD36" s="545"/>
      <c r="BVE36" s="545"/>
      <c r="BVF36" s="545"/>
      <c r="BVG36" s="545"/>
      <c r="BVH36" s="545"/>
      <c r="BVI36" s="544"/>
      <c r="BVJ36" s="545"/>
      <c r="BVK36" s="545"/>
      <c r="BVL36" s="545"/>
      <c r="BVM36" s="545"/>
      <c r="BVN36" s="545"/>
      <c r="BVO36" s="545"/>
      <c r="BVP36" s="544"/>
      <c r="BVQ36" s="545"/>
      <c r="BVR36" s="545"/>
      <c r="BVS36" s="545"/>
      <c r="BVT36" s="545"/>
      <c r="BVU36" s="545"/>
      <c r="BVV36" s="545"/>
      <c r="BVW36" s="544"/>
      <c r="BVX36" s="545"/>
      <c r="BVY36" s="545"/>
      <c r="BVZ36" s="545"/>
      <c r="BWA36" s="545"/>
      <c r="BWB36" s="545"/>
      <c r="BWC36" s="545"/>
      <c r="BWD36" s="544"/>
      <c r="BWE36" s="545"/>
      <c r="BWF36" s="545"/>
      <c r="BWG36" s="545"/>
      <c r="BWH36" s="545"/>
      <c r="BWI36" s="545"/>
      <c r="BWJ36" s="545"/>
      <c r="BWK36" s="544"/>
      <c r="BWL36" s="545"/>
      <c r="BWM36" s="545"/>
      <c r="BWN36" s="545"/>
      <c r="BWO36" s="545"/>
      <c r="BWP36" s="545"/>
      <c r="BWQ36" s="545"/>
      <c r="BWR36" s="544"/>
      <c r="BWS36" s="545"/>
      <c r="BWT36" s="545"/>
      <c r="BWU36" s="545"/>
      <c r="BWV36" s="545"/>
      <c r="BWW36" s="545"/>
      <c r="BWX36" s="545"/>
      <c r="BWY36" s="544"/>
      <c r="BWZ36" s="545"/>
      <c r="BXA36" s="545"/>
      <c r="BXB36" s="545"/>
      <c r="BXC36" s="545"/>
      <c r="BXD36" s="545"/>
      <c r="BXE36" s="545"/>
      <c r="BXF36" s="544"/>
      <c r="BXG36" s="545"/>
      <c r="BXH36" s="545"/>
      <c r="BXI36" s="545"/>
      <c r="BXJ36" s="545"/>
      <c r="BXK36" s="545"/>
      <c r="BXL36" s="545"/>
      <c r="BXM36" s="544"/>
      <c r="BXN36" s="545"/>
      <c r="BXO36" s="545"/>
      <c r="BXP36" s="545"/>
      <c r="BXQ36" s="545"/>
      <c r="BXR36" s="545"/>
      <c r="BXS36" s="545"/>
      <c r="BXT36" s="544"/>
      <c r="BXU36" s="545"/>
      <c r="BXV36" s="545"/>
      <c r="BXW36" s="545"/>
      <c r="BXX36" s="545"/>
      <c r="BXY36" s="545"/>
      <c r="BXZ36" s="545"/>
      <c r="BYA36" s="544"/>
      <c r="BYB36" s="545"/>
      <c r="BYC36" s="545"/>
      <c r="BYD36" s="545"/>
      <c r="BYE36" s="545"/>
      <c r="BYF36" s="545"/>
      <c r="BYG36" s="545"/>
      <c r="BYH36" s="544"/>
      <c r="BYI36" s="545"/>
      <c r="BYJ36" s="545"/>
      <c r="BYK36" s="545"/>
      <c r="BYL36" s="545"/>
      <c r="BYM36" s="545"/>
      <c r="BYN36" s="545"/>
      <c r="BYO36" s="544"/>
      <c r="BYP36" s="545"/>
      <c r="BYQ36" s="545"/>
      <c r="BYR36" s="545"/>
      <c r="BYS36" s="545"/>
      <c r="BYT36" s="545"/>
      <c r="BYU36" s="545"/>
      <c r="BYV36" s="544"/>
      <c r="BYW36" s="545"/>
      <c r="BYX36" s="545"/>
      <c r="BYY36" s="545"/>
      <c r="BYZ36" s="545"/>
      <c r="BZA36" s="545"/>
      <c r="BZB36" s="545"/>
      <c r="BZC36" s="544"/>
      <c r="BZD36" s="545"/>
      <c r="BZE36" s="545"/>
      <c r="BZF36" s="545"/>
      <c r="BZG36" s="545"/>
      <c r="BZH36" s="545"/>
      <c r="BZI36" s="545"/>
      <c r="BZJ36" s="544"/>
      <c r="BZK36" s="545"/>
      <c r="BZL36" s="545"/>
      <c r="BZM36" s="545"/>
      <c r="BZN36" s="545"/>
      <c r="BZO36" s="545"/>
      <c r="BZP36" s="545"/>
      <c r="BZQ36" s="544"/>
      <c r="BZR36" s="545"/>
      <c r="BZS36" s="545"/>
      <c r="BZT36" s="545"/>
      <c r="BZU36" s="545"/>
      <c r="BZV36" s="545"/>
      <c r="BZW36" s="545"/>
      <c r="BZX36" s="544"/>
      <c r="BZY36" s="545"/>
      <c r="BZZ36" s="545"/>
      <c r="CAA36" s="545"/>
      <c r="CAB36" s="545"/>
      <c r="CAC36" s="545"/>
      <c r="CAD36" s="545"/>
      <c r="CAE36" s="544"/>
      <c r="CAF36" s="545"/>
      <c r="CAG36" s="545"/>
      <c r="CAH36" s="545"/>
      <c r="CAI36" s="545"/>
      <c r="CAJ36" s="545"/>
      <c r="CAK36" s="545"/>
      <c r="CAL36" s="544"/>
      <c r="CAM36" s="545"/>
      <c r="CAN36" s="545"/>
      <c r="CAO36" s="545"/>
      <c r="CAP36" s="545"/>
      <c r="CAQ36" s="545"/>
      <c r="CAR36" s="545"/>
      <c r="CAS36" s="544"/>
      <c r="CAT36" s="545"/>
      <c r="CAU36" s="545"/>
      <c r="CAV36" s="545"/>
      <c r="CAW36" s="545"/>
      <c r="CAX36" s="545"/>
      <c r="CAY36" s="545"/>
      <c r="CAZ36" s="544"/>
      <c r="CBA36" s="545"/>
      <c r="CBB36" s="545"/>
      <c r="CBC36" s="545"/>
      <c r="CBD36" s="545"/>
      <c r="CBE36" s="545"/>
      <c r="CBF36" s="545"/>
      <c r="CBG36" s="544"/>
      <c r="CBH36" s="545"/>
      <c r="CBI36" s="545"/>
      <c r="CBJ36" s="545"/>
      <c r="CBK36" s="545"/>
      <c r="CBL36" s="545"/>
      <c r="CBM36" s="545"/>
      <c r="CBN36" s="544"/>
      <c r="CBO36" s="545"/>
      <c r="CBP36" s="545"/>
      <c r="CBQ36" s="545"/>
      <c r="CBR36" s="545"/>
      <c r="CBS36" s="545"/>
      <c r="CBT36" s="545"/>
      <c r="CBU36" s="544"/>
      <c r="CBV36" s="545"/>
      <c r="CBW36" s="545"/>
      <c r="CBX36" s="545"/>
      <c r="CBY36" s="545"/>
      <c r="CBZ36" s="545"/>
      <c r="CCA36" s="545"/>
      <c r="CCB36" s="544"/>
      <c r="CCC36" s="545"/>
      <c r="CCD36" s="545"/>
      <c r="CCE36" s="545"/>
      <c r="CCF36" s="545"/>
      <c r="CCG36" s="545"/>
      <c r="CCH36" s="545"/>
      <c r="CCI36" s="544"/>
      <c r="CCJ36" s="545"/>
      <c r="CCK36" s="545"/>
      <c r="CCL36" s="545"/>
      <c r="CCM36" s="545"/>
      <c r="CCN36" s="545"/>
      <c r="CCO36" s="545"/>
      <c r="CCP36" s="544"/>
      <c r="CCQ36" s="545"/>
      <c r="CCR36" s="545"/>
      <c r="CCS36" s="545"/>
      <c r="CCT36" s="545"/>
      <c r="CCU36" s="545"/>
      <c r="CCV36" s="545"/>
      <c r="CCW36" s="544"/>
      <c r="CCX36" s="545"/>
      <c r="CCY36" s="545"/>
      <c r="CCZ36" s="545"/>
      <c r="CDA36" s="545"/>
      <c r="CDB36" s="545"/>
      <c r="CDC36" s="545"/>
      <c r="CDD36" s="544"/>
      <c r="CDE36" s="545"/>
      <c r="CDF36" s="545"/>
      <c r="CDG36" s="545"/>
      <c r="CDH36" s="545"/>
      <c r="CDI36" s="545"/>
      <c r="CDJ36" s="545"/>
      <c r="CDK36" s="544"/>
      <c r="CDL36" s="545"/>
      <c r="CDM36" s="545"/>
      <c r="CDN36" s="545"/>
      <c r="CDO36" s="545"/>
      <c r="CDP36" s="545"/>
      <c r="CDQ36" s="545"/>
      <c r="CDR36" s="544"/>
      <c r="CDS36" s="545"/>
      <c r="CDT36" s="545"/>
      <c r="CDU36" s="545"/>
      <c r="CDV36" s="545"/>
      <c r="CDW36" s="545"/>
      <c r="CDX36" s="545"/>
      <c r="CDY36" s="544"/>
      <c r="CDZ36" s="545"/>
      <c r="CEA36" s="545"/>
      <c r="CEB36" s="545"/>
      <c r="CEC36" s="545"/>
      <c r="CED36" s="545"/>
      <c r="CEE36" s="545"/>
      <c r="CEF36" s="544"/>
      <c r="CEG36" s="545"/>
      <c r="CEH36" s="545"/>
      <c r="CEI36" s="545"/>
      <c r="CEJ36" s="545"/>
      <c r="CEK36" s="545"/>
      <c r="CEL36" s="545"/>
      <c r="CEM36" s="544"/>
      <c r="CEN36" s="545"/>
      <c r="CEO36" s="545"/>
      <c r="CEP36" s="545"/>
      <c r="CEQ36" s="545"/>
      <c r="CER36" s="545"/>
      <c r="CES36" s="545"/>
      <c r="CET36" s="544"/>
      <c r="CEU36" s="545"/>
      <c r="CEV36" s="545"/>
      <c r="CEW36" s="545"/>
      <c r="CEX36" s="545"/>
      <c r="CEY36" s="545"/>
      <c r="CEZ36" s="545"/>
      <c r="CFA36" s="544"/>
      <c r="CFB36" s="545"/>
      <c r="CFC36" s="545"/>
      <c r="CFD36" s="545"/>
      <c r="CFE36" s="545"/>
      <c r="CFF36" s="545"/>
      <c r="CFG36" s="545"/>
      <c r="CFH36" s="544"/>
      <c r="CFI36" s="545"/>
      <c r="CFJ36" s="545"/>
      <c r="CFK36" s="545"/>
      <c r="CFL36" s="545"/>
      <c r="CFM36" s="545"/>
      <c r="CFN36" s="545"/>
      <c r="CFO36" s="544"/>
      <c r="CFP36" s="545"/>
      <c r="CFQ36" s="545"/>
      <c r="CFR36" s="545"/>
      <c r="CFS36" s="545"/>
      <c r="CFT36" s="545"/>
      <c r="CFU36" s="545"/>
      <c r="CFV36" s="544"/>
      <c r="CFW36" s="545"/>
      <c r="CFX36" s="545"/>
      <c r="CFY36" s="545"/>
      <c r="CFZ36" s="545"/>
      <c r="CGA36" s="545"/>
      <c r="CGB36" s="545"/>
      <c r="CGC36" s="544"/>
      <c r="CGD36" s="545"/>
      <c r="CGE36" s="545"/>
      <c r="CGF36" s="545"/>
      <c r="CGG36" s="545"/>
      <c r="CGH36" s="545"/>
      <c r="CGI36" s="545"/>
      <c r="CGJ36" s="544"/>
      <c r="CGK36" s="545"/>
      <c r="CGL36" s="545"/>
      <c r="CGM36" s="545"/>
      <c r="CGN36" s="545"/>
      <c r="CGO36" s="545"/>
      <c r="CGP36" s="545"/>
      <c r="CGQ36" s="544"/>
      <c r="CGR36" s="545"/>
      <c r="CGS36" s="545"/>
      <c r="CGT36" s="545"/>
      <c r="CGU36" s="545"/>
      <c r="CGV36" s="545"/>
      <c r="CGW36" s="545"/>
      <c r="CGX36" s="544"/>
      <c r="CGY36" s="545"/>
      <c r="CGZ36" s="545"/>
      <c r="CHA36" s="545"/>
      <c r="CHB36" s="545"/>
      <c r="CHC36" s="545"/>
      <c r="CHD36" s="545"/>
      <c r="CHE36" s="544"/>
      <c r="CHF36" s="545"/>
      <c r="CHG36" s="545"/>
      <c r="CHH36" s="545"/>
      <c r="CHI36" s="545"/>
      <c r="CHJ36" s="545"/>
      <c r="CHK36" s="545"/>
      <c r="CHL36" s="544"/>
      <c r="CHM36" s="545"/>
      <c r="CHN36" s="545"/>
      <c r="CHO36" s="545"/>
      <c r="CHP36" s="545"/>
      <c r="CHQ36" s="545"/>
      <c r="CHR36" s="545"/>
      <c r="CHS36" s="544"/>
      <c r="CHT36" s="545"/>
      <c r="CHU36" s="545"/>
      <c r="CHV36" s="545"/>
      <c r="CHW36" s="545"/>
      <c r="CHX36" s="545"/>
      <c r="CHY36" s="545"/>
      <c r="CHZ36" s="544"/>
      <c r="CIA36" s="545"/>
      <c r="CIB36" s="545"/>
      <c r="CIC36" s="545"/>
      <c r="CID36" s="545"/>
      <c r="CIE36" s="545"/>
      <c r="CIF36" s="545"/>
      <c r="CIG36" s="544"/>
      <c r="CIH36" s="545"/>
      <c r="CII36" s="545"/>
      <c r="CIJ36" s="545"/>
      <c r="CIK36" s="545"/>
      <c r="CIL36" s="545"/>
      <c r="CIM36" s="545"/>
      <c r="CIN36" s="544"/>
      <c r="CIO36" s="545"/>
      <c r="CIP36" s="545"/>
      <c r="CIQ36" s="545"/>
      <c r="CIR36" s="545"/>
      <c r="CIS36" s="545"/>
      <c r="CIT36" s="545"/>
      <c r="CIU36" s="544"/>
      <c r="CIV36" s="545"/>
      <c r="CIW36" s="545"/>
      <c r="CIX36" s="545"/>
      <c r="CIY36" s="545"/>
      <c r="CIZ36" s="545"/>
      <c r="CJA36" s="545"/>
      <c r="CJB36" s="544"/>
      <c r="CJC36" s="545"/>
      <c r="CJD36" s="545"/>
      <c r="CJE36" s="545"/>
      <c r="CJF36" s="545"/>
      <c r="CJG36" s="545"/>
      <c r="CJH36" s="545"/>
      <c r="CJI36" s="544"/>
      <c r="CJJ36" s="545"/>
      <c r="CJK36" s="545"/>
      <c r="CJL36" s="545"/>
      <c r="CJM36" s="545"/>
      <c r="CJN36" s="545"/>
      <c r="CJO36" s="545"/>
      <c r="CJP36" s="544"/>
      <c r="CJQ36" s="545"/>
      <c r="CJR36" s="545"/>
      <c r="CJS36" s="545"/>
      <c r="CJT36" s="545"/>
      <c r="CJU36" s="545"/>
      <c r="CJV36" s="545"/>
      <c r="CJW36" s="544"/>
      <c r="CJX36" s="545"/>
      <c r="CJY36" s="545"/>
      <c r="CJZ36" s="545"/>
      <c r="CKA36" s="545"/>
      <c r="CKB36" s="545"/>
      <c r="CKC36" s="545"/>
      <c r="CKD36" s="544"/>
      <c r="CKE36" s="545"/>
      <c r="CKF36" s="545"/>
      <c r="CKG36" s="545"/>
      <c r="CKH36" s="545"/>
      <c r="CKI36" s="545"/>
      <c r="CKJ36" s="545"/>
      <c r="CKK36" s="544"/>
      <c r="CKL36" s="545"/>
      <c r="CKM36" s="545"/>
      <c r="CKN36" s="545"/>
      <c r="CKO36" s="545"/>
      <c r="CKP36" s="545"/>
      <c r="CKQ36" s="545"/>
      <c r="CKR36" s="544"/>
      <c r="CKS36" s="545"/>
      <c r="CKT36" s="545"/>
      <c r="CKU36" s="545"/>
      <c r="CKV36" s="545"/>
      <c r="CKW36" s="545"/>
      <c r="CKX36" s="545"/>
      <c r="CKY36" s="544"/>
      <c r="CKZ36" s="545"/>
      <c r="CLA36" s="545"/>
      <c r="CLB36" s="545"/>
      <c r="CLC36" s="545"/>
      <c r="CLD36" s="545"/>
      <c r="CLE36" s="545"/>
      <c r="CLF36" s="544"/>
      <c r="CLG36" s="545"/>
      <c r="CLH36" s="545"/>
      <c r="CLI36" s="545"/>
      <c r="CLJ36" s="545"/>
      <c r="CLK36" s="545"/>
      <c r="CLL36" s="545"/>
      <c r="CLM36" s="544"/>
      <c r="CLN36" s="545"/>
      <c r="CLO36" s="545"/>
      <c r="CLP36" s="545"/>
      <c r="CLQ36" s="545"/>
      <c r="CLR36" s="545"/>
      <c r="CLS36" s="545"/>
      <c r="CLT36" s="544"/>
      <c r="CLU36" s="545"/>
      <c r="CLV36" s="545"/>
      <c r="CLW36" s="545"/>
      <c r="CLX36" s="545"/>
      <c r="CLY36" s="545"/>
      <c r="CLZ36" s="545"/>
      <c r="CMA36" s="544"/>
      <c r="CMB36" s="545"/>
      <c r="CMC36" s="545"/>
      <c r="CMD36" s="545"/>
      <c r="CME36" s="545"/>
      <c r="CMF36" s="545"/>
      <c r="CMG36" s="545"/>
      <c r="CMH36" s="544"/>
      <c r="CMI36" s="545"/>
      <c r="CMJ36" s="545"/>
      <c r="CMK36" s="545"/>
      <c r="CML36" s="545"/>
      <c r="CMM36" s="545"/>
      <c r="CMN36" s="545"/>
      <c r="CMO36" s="544"/>
      <c r="CMP36" s="545"/>
      <c r="CMQ36" s="545"/>
      <c r="CMR36" s="545"/>
      <c r="CMS36" s="545"/>
      <c r="CMT36" s="545"/>
      <c r="CMU36" s="545"/>
      <c r="CMV36" s="544"/>
      <c r="CMW36" s="545"/>
      <c r="CMX36" s="545"/>
      <c r="CMY36" s="545"/>
      <c r="CMZ36" s="545"/>
      <c r="CNA36" s="545"/>
      <c r="CNB36" s="545"/>
      <c r="CNC36" s="544"/>
      <c r="CND36" s="545"/>
      <c r="CNE36" s="545"/>
      <c r="CNF36" s="545"/>
      <c r="CNG36" s="545"/>
      <c r="CNH36" s="545"/>
      <c r="CNI36" s="545"/>
      <c r="CNJ36" s="544"/>
      <c r="CNK36" s="545"/>
      <c r="CNL36" s="545"/>
      <c r="CNM36" s="545"/>
      <c r="CNN36" s="545"/>
      <c r="CNO36" s="545"/>
      <c r="CNP36" s="545"/>
      <c r="CNQ36" s="544"/>
      <c r="CNR36" s="545"/>
      <c r="CNS36" s="545"/>
      <c r="CNT36" s="545"/>
      <c r="CNU36" s="545"/>
      <c r="CNV36" s="545"/>
      <c r="CNW36" s="545"/>
      <c r="CNX36" s="544"/>
      <c r="CNY36" s="545"/>
      <c r="CNZ36" s="545"/>
      <c r="COA36" s="545"/>
      <c r="COB36" s="545"/>
      <c r="COC36" s="545"/>
      <c r="COD36" s="545"/>
      <c r="COE36" s="544"/>
      <c r="COF36" s="545"/>
      <c r="COG36" s="545"/>
      <c r="COH36" s="545"/>
      <c r="COI36" s="545"/>
      <c r="COJ36" s="545"/>
      <c r="COK36" s="545"/>
      <c r="COL36" s="544"/>
      <c r="COM36" s="545"/>
      <c r="CON36" s="545"/>
      <c r="COO36" s="545"/>
      <c r="COP36" s="545"/>
      <c r="COQ36" s="545"/>
      <c r="COR36" s="545"/>
      <c r="COS36" s="544"/>
      <c r="COT36" s="545"/>
      <c r="COU36" s="545"/>
      <c r="COV36" s="545"/>
      <c r="COW36" s="545"/>
      <c r="COX36" s="545"/>
      <c r="COY36" s="545"/>
      <c r="COZ36" s="544"/>
      <c r="CPA36" s="545"/>
      <c r="CPB36" s="545"/>
      <c r="CPC36" s="545"/>
      <c r="CPD36" s="545"/>
      <c r="CPE36" s="545"/>
      <c r="CPF36" s="545"/>
      <c r="CPG36" s="544"/>
      <c r="CPH36" s="545"/>
      <c r="CPI36" s="545"/>
      <c r="CPJ36" s="545"/>
      <c r="CPK36" s="545"/>
      <c r="CPL36" s="545"/>
      <c r="CPM36" s="545"/>
      <c r="CPN36" s="544"/>
      <c r="CPO36" s="545"/>
      <c r="CPP36" s="545"/>
      <c r="CPQ36" s="545"/>
      <c r="CPR36" s="545"/>
      <c r="CPS36" s="545"/>
      <c r="CPT36" s="545"/>
      <c r="CPU36" s="544"/>
      <c r="CPV36" s="545"/>
      <c r="CPW36" s="545"/>
      <c r="CPX36" s="545"/>
      <c r="CPY36" s="545"/>
      <c r="CPZ36" s="545"/>
      <c r="CQA36" s="545"/>
      <c r="CQB36" s="544"/>
      <c r="CQC36" s="545"/>
      <c r="CQD36" s="545"/>
      <c r="CQE36" s="545"/>
      <c r="CQF36" s="545"/>
      <c r="CQG36" s="545"/>
      <c r="CQH36" s="545"/>
      <c r="CQI36" s="544"/>
      <c r="CQJ36" s="545"/>
      <c r="CQK36" s="545"/>
      <c r="CQL36" s="545"/>
      <c r="CQM36" s="545"/>
      <c r="CQN36" s="545"/>
      <c r="CQO36" s="545"/>
      <c r="CQP36" s="544"/>
      <c r="CQQ36" s="545"/>
      <c r="CQR36" s="545"/>
      <c r="CQS36" s="545"/>
      <c r="CQT36" s="545"/>
      <c r="CQU36" s="545"/>
      <c r="CQV36" s="545"/>
      <c r="CQW36" s="544"/>
      <c r="CQX36" s="545"/>
      <c r="CQY36" s="545"/>
      <c r="CQZ36" s="545"/>
      <c r="CRA36" s="545"/>
      <c r="CRB36" s="545"/>
      <c r="CRC36" s="545"/>
      <c r="CRD36" s="544"/>
      <c r="CRE36" s="545"/>
      <c r="CRF36" s="545"/>
      <c r="CRG36" s="545"/>
      <c r="CRH36" s="545"/>
      <c r="CRI36" s="545"/>
      <c r="CRJ36" s="545"/>
      <c r="CRK36" s="544"/>
      <c r="CRL36" s="545"/>
      <c r="CRM36" s="545"/>
      <c r="CRN36" s="545"/>
      <c r="CRO36" s="545"/>
      <c r="CRP36" s="545"/>
      <c r="CRQ36" s="545"/>
      <c r="CRR36" s="544"/>
      <c r="CRS36" s="545"/>
      <c r="CRT36" s="545"/>
      <c r="CRU36" s="545"/>
      <c r="CRV36" s="545"/>
      <c r="CRW36" s="545"/>
      <c r="CRX36" s="545"/>
      <c r="CRY36" s="544"/>
      <c r="CRZ36" s="545"/>
      <c r="CSA36" s="545"/>
      <c r="CSB36" s="545"/>
      <c r="CSC36" s="545"/>
      <c r="CSD36" s="545"/>
      <c r="CSE36" s="545"/>
      <c r="CSF36" s="544"/>
      <c r="CSG36" s="545"/>
      <c r="CSH36" s="545"/>
      <c r="CSI36" s="545"/>
      <c r="CSJ36" s="545"/>
      <c r="CSK36" s="545"/>
      <c r="CSL36" s="545"/>
      <c r="CSM36" s="544"/>
      <c r="CSN36" s="545"/>
      <c r="CSO36" s="545"/>
      <c r="CSP36" s="545"/>
      <c r="CSQ36" s="545"/>
      <c r="CSR36" s="545"/>
      <c r="CSS36" s="545"/>
      <c r="CST36" s="544"/>
      <c r="CSU36" s="545"/>
      <c r="CSV36" s="545"/>
      <c r="CSW36" s="545"/>
      <c r="CSX36" s="545"/>
      <c r="CSY36" s="545"/>
      <c r="CSZ36" s="545"/>
      <c r="CTA36" s="544"/>
      <c r="CTB36" s="545"/>
      <c r="CTC36" s="545"/>
      <c r="CTD36" s="545"/>
      <c r="CTE36" s="545"/>
      <c r="CTF36" s="545"/>
      <c r="CTG36" s="545"/>
      <c r="CTH36" s="544"/>
      <c r="CTI36" s="545"/>
      <c r="CTJ36" s="545"/>
      <c r="CTK36" s="545"/>
      <c r="CTL36" s="545"/>
      <c r="CTM36" s="545"/>
      <c r="CTN36" s="545"/>
      <c r="CTO36" s="544"/>
      <c r="CTP36" s="545"/>
      <c r="CTQ36" s="545"/>
      <c r="CTR36" s="545"/>
      <c r="CTS36" s="545"/>
      <c r="CTT36" s="545"/>
      <c r="CTU36" s="545"/>
      <c r="CTV36" s="544"/>
      <c r="CTW36" s="545"/>
      <c r="CTX36" s="545"/>
      <c r="CTY36" s="545"/>
      <c r="CTZ36" s="545"/>
      <c r="CUA36" s="545"/>
      <c r="CUB36" s="545"/>
      <c r="CUC36" s="544"/>
      <c r="CUD36" s="545"/>
      <c r="CUE36" s="545"/>
      <c r="CUF36" s="545"/>
      <c r="CUG36" s="545"/>
      <c r="CUH36" s="545"/>
      <c r="CUI36" s="545"/>
      <c r="CUJ36" s="544"/>
      <c r="CUK36" s="545"/>
      <c r="CUL36" s="545"/>
      <c r="CUM36" s="545"/>
      <c r="CUN36" s="545"/>
      <c r="CUO36" s="545"/>
      <c r="CUP36" s="545"/>
      <c r="CUQ36" s="544"/>
      <c r="CUR36" s="545"/>
      <c r="CUS36" s="545"/>
      <c r="CUT36" s="545"/>
      <c r="CUU36" s="545"/>
      <c r="CUV36" s="545"/>
      <c r="CUW36" s="545"/>
      <c r="CUX36" s="544"/>
      <c r="CUY36" s="545"/>
      <c r="CUZ36" s="545"/>
      <c r="CVA36" s="545"/>
      <c r="CVB36" s="545"/>
      <c r="CVC36" s="545"/>
      <c r="CVD36" s="545"/>
      <c r="CVE36" s="544"/>
      <c r="CVF36" s="545"/>
      <c r="CVG36" s="545"/>
      <c r="CVH36" s="545"/>
      <c r="CVI36" s="545"/>
      <c r="CVJ36" s="545"/>
      <c r="CVK36" s="545"/>
      <c r="CVL36" s="544"/>
      <c r="CVM36" s="545"/>
      <c r="CVN36" s="545"/>
      <c r="CVO36" s="545"/>
      <c r="CVP36" s="545"/>
      <c r="CVQ36" s="545"/>
      <c r="CVR36" s="545"/>
      <c r="CVS36" s="544"/>
      <c r="CVT36" s="545"/>
      <c r="CVU36" s="545"/>
      <c r="CVV36" s="545"/>
      <c r="CVW36" s="545"/>
      <c r="CVX36" s="545"/>
      <c r="CVY36" s="545"/>
      <c r="CVZ36" s="544"/>
      <c r="CWA36" s="545"/>
      <c r="CWB36" s="545"/>
      <c r="CWC36" s="545"/>
      <c r="CWD36" s="545"/>
      <c r="CWE36" s="545"/>
      <c r="CWF36" s="545"/>
      <c r="CWG36" s="544"/>
      <c r="CWH36" s="545"/>
      <c r="CWI36" s="545"/>
      <c r="CWJ36" s="545"/>
      <c r="CWK36" s="545"/>
      <c r="CWL36" s="545"/>
      <c r="CWM36" s="545"/>
      <c r="CWN36" s="544"/>
      <c r="CWO36" s="545"/>
      <c r="CWP36" s="545"/>
      <c r="CWQ36" s="545"/>
      <c r="CWR36" s="545"/>
      <c r="CWS36" s="545"/>
      <c r="CWT36" s="545"/>
      <c r="CWU36" s="544"/>
      <c r="CWV36" s="545"/>
      <c r="CWW36" s="545"/>
      <c r="CWX36" s="545"/>
      <c r="CWY36" s="545"/>
      <c r="CWZ36" s="545"/>
      <c r="CXA36" s="545"/>
      <c r="CXB36" s="544"/>
      <c r="CXC36" s="545"/>
      <c r="CXD36" s="545"/>
      <c r="CXE36" s="545"/>
      <c r="CXF36" s="545"/>
      <c r="CXG36" s="545"/>
      <c r="CXH36" s="545"/>
      <c r="CXI36" s="544"/>
      <c r="CXJ36" s="545"/>
      <c r="CXK36" s="545"/>
      <c r="CXL36" s="545"/>
      <c r="CXM36" s="545"/>
      <c r="CXN36" s="545"/>
      <c r="CXO36" s="545"/>
      <c r="CXP36" s="544"/>
      <c r="CXQ36" s="545"/>
      <c r="CXR36" s="545"/>
      <c r="CXS36" s="545"/>
      <c r="CXT36" s="545"/>
      <c r="CXU36" s="545"/>
      <c r="CXV36" s="545"/>
      <c r="CXW36" s="544"/>
      <c r="CXX36" s="545"/>
      <c r="CXY36" s="545"/>
      <c r="CXZ36" s="545"/>
      <c r="CYA36" s="545"/>
      <c r="CYB36" s="545"/>
      <c r="CYC36" s="545"/>
      <c r="CYD36" s="544"/>
      <c r="CYE36" s="545"/>
      <c r="CYF36" s="545"/>
      <c r="CYG36" s="545"/>
      <c r="CYH36" s="545"/>
      <c r="CYI36" s="545"/>
      <c r="CYJ36" s="545"/>
      <c r="CYK36" s="544"/>
      <c r="CYL36" s="545"/>
      <c r="CYM36" s="545"/>
      <c r="CYN36" s="545"/>
      <c r="CYO36" s="545"/>
      <c r="CYP36" s="545"/>
      <c r="CYQ36" s="545"/>
      <c r="CYR36" s="544"/>
      <c r="CYS36" s="545"/>
      <c r="CYT36" s="545"/>
      <c r="CYU36" s="545"/>
      <c r="CYV36" s="545"/>
      <c r="CYW36" s="545"/>
      <c r="CYX36" s="545"/>
      <c r="CYY36" s="544"/>
      <c r="CYZ36" s="545"/>
      <c r="CZA36" s="545"/>
      <c r="CZB36" s="545"/>
      <c r="CZC36" s="545"/>
      <c r="CZD36" s="545"/>
      <c r="CZE36" s="545"/>
      <c r="CZF36" s="544"/>
      <c r="CZG36" s="545"/>
      <c r="CZH36" s="545"/>
      <c r="CZI36" s="545"/>
      <c r="CZJ36" s="545"/>
      <c r="CZK36" s="545"/>
      <c r="CZL36" s="545"/>
      <c r="CZM36" s="544"/>
      <c r="CZN36" s="545"/>
      <c r="CZO36" s="545"/>
      <c r="CZP36" s="545"/>
      <c r="CZQ36" s="545"/>
      <c r="CZR36" s="545"/>
      <c r="CZS36" s="545"/>
      <c r="CZT36" s="544"/>
      <c r="CZU36" s="545"/>
      <c r="CZV36" s="545"/>
      <c r="CZW36" s="545"/>
      <c r="CZX36" s="545"/>
      <c r="CZY36" s="545"/>
      <c r="CZZ36" s="545"/>
      <c r="DAA36" s="544"/>
      <c r="DAB36" s="545"/>
      <c r="DAC36" s="545"/>
      <c r="DAD36" s="545"/>
      <c r="DAE36" s="545"/>
      <c r="DAF36" s="545"/>
      <c r="DAG36" s="545"/>
      <c r="DAH36" s="544"/>
      <c r="DAI36" s="545"/>
      <c r="DAJ36" s="545"/>
      <c r="DAK36" s="545"/>
      <c r="DAL36" s="545"/>
      <c r="DAM36" s="545"/>
      <c r="DAN36" s="545"/>
      <c r="DAO36" s="544"/>
      <c r="DAP36" s="545"/>
      <c r="DAQ36" s="545"/>
      <c r="DAR36" s="545"/>
      <c r="DAS36" s="545"/>
      <c r="DAT36" s="545"/>
      <c r="DAU36" s="545"/>
      <c r="DAV36" s="544"/>
      <c r="DAW36" s="545"/>
      <c r="DAX36" s="545"/>
      <c r="DAY36" s="545"/>
      <c r="DAZ36" s="545"/>
      <c r="DBA36" s="545"/>
      <c r="DBB36" s="545"/>
      <c r="DBC36" s="544"/>
      <c r="DBD36" s="545"/>
      <c r="DBE36" s="545"/>
      <c r="DBF36" s="545"/>
      <c r="DBG36" s="545"/>
      <c r="DBH36" s="545"/>
      <c r="DBI36" s="545"/>
      <c r="DBJ36" s="544"/>
      <c r="DBK36" s="545"/>
      <c r="DBL36" s="545"/>
      <c r="DBM36" s="545"/>
      <c r="DBN36" s="545"/>
      <c r="DBO36" s="545"/>
      <c r="DBP36" s="545"/>
      <c r="DBQ36" s="544"/>
      <c r="DBR36" s="545"/>
      <c r="DBS36" s="545"/>
      <c r="DBT36" s="545"/>
      <c r="DBU36" s="545"/>
      <c r="DBV36" s="545"/>
      <c r="DBW36" s="545"/>
      <c r="DBX36" s="544"/>
      <c r="DBY36" s="545"/>
      <c r="DBZ36" s="545"/>
      <c r="DCA36" s="545"/>
      <c r="DCB36" s="545"/>
      <c r="DCC36" s="545"/>
      <c r="DCD36" s="545"/>
      <c r="DCE36" s="544"/>
      <c r="DCF36" s="545"/>
      <c r="DCG36" s="545"/>
      <c r="DCH36" s="545"/>
      <c r="DCI36" s="545"/>
      <c r="DCJ36" s="545"/>
      <c r="DCK36" s="545"/>
      <c r="DCL36" s="544"/>
      <c r="DCM36" s="545"/>
      <c r="DCN36" s="545"/>
      <c r="DCO36" s="545"/>
      <c r="DCP36" s="545"/>
      <c r="DCQ36" s="545"/>
      <c r="DCR36" s="545"/>
      <c r="DCS36" s="544"/>
      <c r="DCT36" s="545"/>
      <c r="DCU36" s="545"/>
      <c r="DCV36" s="545"/>
      <c r="DCW36" s="545"/>
      <c r="DCX36" s="545"/>
      <c r="DCY36" s="545"/>
      <c r="DCZ36" s="544"/>
      <c r="DDA36" s="545"/>
      <c r="DDB36" s="545"/>
      <c r="DDC36" s="545"/>
      <c r="DDD36" s="545"/>
      <c r="DDE36" s="545"/>
      <c r="DDF36" s="545"/>
      <c r="DDG36" s="544"/>
      <c r="DDH36" s="545"/>
      <c r="DDI36" s="545"/>
      <c r="DDJ36" s="545"/>
      <c r="DDK36" s="545"/>
      <c r="DDL36" s="545"/>
      <c r="DDM36" s="545"/>
      <c r="DDN36" s="544"/>
      <c r="DDO36" s="545"/>
      <c r="DDP36" s="545"/>
      <c r="DDQ36" s="545"/>
      <c r="DDR36" s="545"/>
      <c r="DDS36" s="545"/>
      <c r="DDT36" s="545"/>
      <c r="DDU36" s="544"/>
      <c r="DDV36" s="545"/>
      <c r="DDW36" s="545"/>
      <c r="DDX36" s="545"/>
      <c r="DDY36" s="545"/>
      <c r="DDZ36" s="545"/>
      <c r="DEA36" s="545"/>
      <c r="DEB36" s="544"/>
      <c r="DEC36" s="545"/>
      <c r="DED36" s="545"/>
      <c r="DEE36" s="545"/>
      <c r="DEF36" s="545"/>
      <c r="DEG36" s="545"/>
      <c r="DEH36" s="545"/>
      <c r="DEI36" s="544"/>
      <c r="DEJ36" s="545"/>
      <c r="DEK36" s="545"/>
      <c r="DEL36" s="545"/>
      <c r="DEM36" s="545"/>
      <c r="DEN36" s="545"/>
      <c r="DEO36" s="545"/>
      <c r="DEP36" s="544"/>
      <c r="DEQ36" s="545"/>
      <c r="DER36" s="545"/>
      <c r="DES36" s="545"/>
      <c r="DET36" s="545"/>
      <c r="DEU36" s="545"/>
      <c r="DEV36" s="545"/>
      <c r="DEW36" s="544"/>
      <c r="DEX36" s="545"/>
      <c r="DEY36" s="545"/>
      <c r="DEZ36" s="545"/>
      <c r="DFA36" s="545"/>
      <c r="DFB36" s="545"/>
      <c r="DFC36" s="545"/>
      <c r="DFD36" s="544"/>
      <c r="DFE36" s="545"/>
      <c r="DFF36" s="545"/>
      <c r="DFG36" s="545"/>
      <c r="DFH36" s="545"/>
      <c r="DFI36" s="545"/>
      <c r="DFJ36" s="545"/>
      <c r="DFK36" s="544"/>
      <c r="DFL36" s="545"/>
      <c r="DFM36" s="545"/>
      <c r="DFN36" s="545"/>
      <c r="DFO36" s="545"/>
      <c r="DFP36" s="545"/>
      <c r="DFQ36" s="545"/>
      <c r="DFR36" s="544"/>
      <c r="DFS36" s="545"/>
      <c r="DFT36" s="545"/>
      <c r="DFU36" s="545"/>
      <c r="DFV36" s="545"/>
      <c r="DFW36" s="545"/>
      <c r="DFX36" s="545"/>
      <c r="DFY36" s="544"/>
      <c r="DFZ36" s="545"/>
      <c r="DGA36" s="545"/>
      <c r="DGB36" s="545"/>
      <c r="DGC36" s="545"/>
      <c r="DGD36" s="545"/>
      <c r="DGE36" s="545"/>
      <c r="DGF36" s="544"/>
      <c r="DGG36" s="545"/>
      <c r="DGH36" s="545"/>
      <c r="DGI36" s="545"/>
      <c r="DGJ36" s="545"/>
      <c r="DGK36" s="545"/>
      <c r="DGL36" s="545"/>
      <c r="DGM36" s="544"/>
      <c r="DGN36" s="545"/>
      <c r="DGO36" s="545"/>
      <c r="DGP36" s="545"/>
      <c r="DGQ36" s="545"/>
      <c r="DGR36" s="545"/>
      <c r="DGS36" s="545"/>
      <c r="DGT36" s="544"/>
      <c r="DGU36" s="545"/>
      <c r="DGV36" s="545"/>
      <c r="DGW36" s="545"/>
      <c r="DGX36" s="545"/>
      <c r="DGY36" s="545"/>
      <c r="DGZ36" s="545"/>
      <c r="DHA36" s="544"/>
      <c r="DHB36" s="545"/>
      <c r="DHC36" s="545"/>
      <c r="DHD36" s="545"/>
      <c r="DHE36" s="545"/>
      <c r="DHF36" s="545"/>
      <c r="DHG36" s="545"/>
      <c r="DHH36" s="544"/>
      <c r="DHI36" s="545"/>
      <c r="DHJ36" s="545"/>
      <c r="DHK36" s="545"/>
      <c r="DHL36" s="545"/>
      <c r="DHM36" s="545"/>
      <c r="DHN36" s="545"/>
      <c r="DHO36" s="544"/>
      <c r="DHP36" s="545"/>
      <c r="DHQ36" s="545"/>
      <c r="DHR36" s="545"/>
      <c r="DHS36" s="545"/>
      <c r="DHT36" s="545"/>
      <c r="DHU36" s="545"/>
      <c r="DHV36" s="544"/>
      <c r="DHW36" s="545"/>
      <c r="DHX36" s="545"/>
      <c r="DHY36" s="545"/>
      <c r="DHZ36" s="545"/>
      <c r="DIA36" s="545"/>
      <c r="DIB36" s="545"/>
      <c r="DIC36" s="544"/>
      <c r="DID36" s="545"/>
      <c r="DIE36" s="545"/>
      <c r="DIF36" s="545"/>
      <c r="DIG36" s="545"/>
      <c r="DIH36" s="545"/>
      <c r="DII36" s="545"/>
      <c r="DIJ36" s="544"/>
      <c r="DIK36" s="545"/>
      <c r="DIL36" s="545"/>
      <c r="DIM36" s="545"/>
      <c r="DIN36" s="545"/>
      <c r="DIO36" s="545"/>
      <c r="DIP36" s="545"/>
      <c r="DIQ36" s="544"/>
      <c r="DIR36" s="545"/>
      <c r="DIS36" s="545"/>
      <c r="DIT36" s="545"/>
      <c r="DIU36" s="545"/>
      <c r="DIV36" s="545"/>
      <c r="DIW36" s="545"/>
      <c r="DIX36" s="544"/>
      <c r="DIY36" s="545"/>
      <c r="DIZ36" s="545"/>
      <c r="DJA36" s="545"/>
      <c r="DJB36" s="545"/>
      <c r="DJC36" s="545"/>
      <c r="DJD36" s="545"/>
      <c r="DJE36" s="544"/>
      <c r="DJF36" s="545"/>
      <c r="DJG36" s="545"/>
      <c r="DJH36" s="545"/>
      <c r="DJI36" s="545"/>
      <c r="DJJ36" s="545"/>
      <c r="DJK36" s="545"/>
      <c r="DJL36" s="544"/>
      <c r="DJM36" s="545"/>
      <c r="DJN36" s="545"/>
      <c r="DJO36" s="545"/>
      <c r="DJP36" s="545"/>
      <c r="DJQ36" s="545"/>
      <c r="DJR36" s="545"/>
      <c r="DJS36" s="544"/>
      <c r="DJT36" s="545"/>
      <c r="DJU36" s="545"/>
      <c r="DJV36" s="545"/>
      <c r="DJW36" s="545"/>
      <c r="DJX36" s="545"/>
      <c r="DJY36" s="545"/>
      <c r="DJZ36" s="544"/>
      <c r="DKA36" s="545"/>
      <c r="DKB36" s="545"/>
      <c r="DKC36" s="545"/>
      <c r="DKD36" s="545"/>
      <c r="DKE36" s="545"/>
      <c r="DKF36" s="545"/>
      <c r="DKG36" s="544"/>
      <c r="DKH36" s="545"/>
      <c r="DKI36" s="545"/>
      <c r="DKJ36" s="545"/>
      <c r="DKK36" s="545"/>
      <c r="DKL36" s="545"/>
      <c r="DKM36" s="545"/>
      <c r="DKN36" s="544"/>
      <c r="DKO36" s="545"/>
      <c r="DKP36" s="545"/>
      <c r="DKQ36" s="545"/>
      <c r="DKR36" s="545"/>
      <c r="DKS36" s="545"/>
      <c r="DKT36" s="545"/>
      <c r="DKU36" s="544"/>
      <c r="DKV36" s="545"/>
      <c r="DKW36" s="545"/>
      <c r="DKX36" s="545"/>
      <c r="DKY36" s="545"/>
      <c r="DKZ36" s="545"/>
      <c r="DLA36" s="545"/>
      <c r="DLB36" s="544"/>
      <c r="DLC36" s="545"/>
      <c r="DLD36" s="545"/>
      <c r="DLE36" s="545"/>
      <c r="DLF36" s="545"/>
      <c r="DLG36" s="545"/>
      <c r="DLH36" s="545"/>
      <c r="DLI36" s="544"/>
      <c r="DLJ36" s="545"/>
      <c r="DLK36" s="545"/>
      <c r="DLL36" s="545"/>
      <c r="DLM36" s="545"/>
      <c r="DLN36" s="545"/>
      <c r="DLO36" s="545"/>
      <c r="DLP36" s="544"/>
      <c r="DLQ36" s="545"/>
      <c r="DLR36" s="545"/>
      <c r="DLS36" s="545"/>
      <c r="DLT36" s="545"/>
      <c r="DLU36" s="545"/>
      <c r="DLV36" s="545"/>
      <c r="DLW36" s="544"/>
      <c r="DLX36" s="545"/>
      <c r="DLY36" s="545"/>
      <c r="DLZ36" s="545"/>
      <c r="DMA36" s="545"/>
      <c r="DMB36" s="545"/>
      <c r="DMC36" s="545"/>
      <c r="DMD36" s="544"/>
      <c r="DME36" s="545"/>
      <c r="DMF36" s="545"/>
      <c r="DMG36" s="545"/>
      <c r="DMH36" s="545"/>
      <c r="DMI36" s="545"/>
      <c r="DMJ36" s="545"/>
      <c r="DMK36" s="544"/>
      <c r="DML36" s="545"/>
      <c r="DMM36" s="545"/>
      <c r="DMN36" s="545"/>
      <c r="DMO36" s="545"/>
      <c r="DMP36" s="545"/>
      <c r="DMQ36" s="545"/>
      <c r="DMR36" s="544"/>
      <c r="DMS36" s="545"/>
      <c r="DMT36" s="545"/>
      <c r="DMU36" s="545"/>
      <c r="DMV36" s="545"/>
      <c r="DMW36" s="545"/>
      <c r="DMX36" s="545"/>
      <c r="DMY36" s="544"/>
      <c r="DMZ36" s="545"/>
      <c r="DNA36" s="545"/>
      <c r="DNB36" s="545"/>
      <c r="DNC36" s="545"/>
      <c r="DND36" s="545"/>
      <c r="DNE36" s="545"/>
      <c r="DNF36" s="544"/>
      <c r="DNG36" s="545"/>
      <c r="DNH36" s="545"/>
      <c r="DNI36" s="545"/>
      <c r="DNJ36" s="545"/>
      <c r="DNK36" s="545"/>
      <c r="DNL36" s="545"/>
      <c r="DNM36" s="544"/>
      <c r="DNN36" s="545"/>
      <c r="DNO36" s="545"/>
      <c r="DNP36" s="545"/>
      <c r="DNQ36" s="545"/>
      <c r="DNR36" s="545"/>
      <c r="DNS36" s="545"/>
      <c r="DNT36" s="544"/>
      <c r="DNU36" s="545"/>
      <c r="DNV36" s="545"/>
      <c r="DNW36" s="545"/>
      <c r="DNX36" s="545"/>
      <c r="DNY36" s="545"/>
      <c r="DNZ36" s="545"/>
      <c r="DOA36" s="544"/>
      <c r="DOB36" s="545"/>
      <c r="DOC36" s="545"/>
      <c r="DOD36" s="545"/>
      <c r="DOE36" s="545"/>
      <c r="DOF36" s="545"/>
      <c r="DOG36" s="545"/>
      <c r="DOH36" s="544"/>
      <c r="DOI36" s="545"/>
      <c r="DOJ36" s="545"/>
      <c r="DOK36" s="545"/>
      <c r="DOL36" s="545"/>
      <c r="DOM36" s="545"/>
      <c r="DON36" s="545"/>
      <c r="DOO36" s="544"/>
      <c r="DOP36" s="545"/>
      <c r="DOQ36" s="545"/>
      <c r="DOR36" s="545"/>
      <c r="DOS36" s="545"/>
      <c r="DOT36" s="545"/>
      <c r="DOU36" s="545"/>
      <c r="DOV36" s="544"/>
      <c r="DOW36" s="545"/>
      <c r="DOX36" s="545"/>
      <c r="DOY36" s="545"/>
      <c r="DOZ36" s="545"/>
      <c r="DPA36" s="545"/>
      <c r="DPB36" s="545"/>
      <c r="DPC36" s="544"/>
      <c r="DPD36" s="545"/>
      <c r="DPE36" s="545"/>
      <c r="DPF36" s="545"/>
      <c r="DPG36" s="545"/>
      <c r="DPH36" s="545"/>
      <c r="DPI36" s="545"/>
      <c r="DPJ36" s="544"/>
      <c r="DPK36" s="545"/>
      <c r="DPL36" s="545"/>
      <c r="DPM36" s="545"/>
      <c r="DPN36" s="545"/>
      <c r="DPO36" s="545"/>
      <c r="DPP36" s="545"/>
      <c r="DPQ36" s="544"/>
      <c r="DPR36" s="545"/>
      <c r="DPS36" s="545"/>
      <c r="DPT36" s="545"/>
      <c r="DPU36" s="545"/>
      <c r="DPV36" s="545"/>
      <c r="DPW36" s="545"/>
      <c r="DPX36" s="544"/>
      <c r="DPY36" s="545"/>
      <c r="DPZ36" s="545"/>
      <c r="DQA36" s="545"/>
      <c r="DQB36" s="545"/>
      <c r="DQC36" s="545"/>
      <c r="DQD36" s="545"/>
      <c r="DQE36" s="544"/>
      <c r="DQF36" s="545"/>
      <c r="DQG36" s="545"/>
      <c r="DQH36" s="545"/>
      <c r="DQI36" s="545"/>
      <c r="DQJ36" s="545"/>
      <c r="DQK36" s="545"/>
      <c r="DQL36" s="544"/>
      <c r="DQM36" s="545"/>
      <c r="DQN36" s="545"/>
      <c r="DQO36" s="545"/>
      <c r="DQP36" s="545"/>
      <c r="DQQ36" s="545"/>
      <c r="DQR36" s="545"/>
      <c r="DQS36" s="544"/>
      <c r="DQT36" s="545"/>
      <c r="DQU36" s="545"/>
      <c r="DQV36" s="545"/>
      <c r="DQW36" s="545"/>
      <c r="DQX36" s="545"/>
      <c r="DQY36" s="545"/>
      <c r="DQZ36" s="544"/>
      <c r="DRA36" s="545"/>
      <c r="DRB36" s="545"/>
      <c r="DRC36" s="545"/>
      <c r="DRD36" s="545"/>
      <c r="DRE36" s="545"/>
      <c r="DRF36" s="545"/>
      <c r="DRG36" s="544"/>
      <c r="DRH36" s="545"/>
      <c r="DRI36" s="545"/>
      <c r="DRJ36" s="545"/>
      <c r="DRK36" s="545"/>
      <c r="DRL36" s="545"/>
      <c r="DRM36" s="545"/>
      <c r="DRN36" s="544"/>
      <c r="DRO36" s="545"/>
      <c r="DRP36" s="545"/>
      <c r="DRQ36" s="545"/>
      <c r="DRR36" s="545"/>
      <c r="DRS36" s="545"/>
      <c r="DRT36" s="545"/>
      <c r="DRU36" s="544"/>
      <c r="DRV36" s="545"/>
      <c r="DRW36" s="545"/>
      <c r="DRX36" s="545"/>
      <c r="DRY36" s="545"/>
      <c r="DRZ36" s="545"/>
      <c r="DSA36" s="545"/>
      <c r="DSB36" s="544"/>
      <c r="DSC36" s="545"/>
      <c r="DSD36" s="545"/>
      <c r="DSE36" s="545"/>
      <c r="DSF36" s="545"/>
      <c r="DSG36" s="545"/>
      <c r="DSH36" s="545"/>
      <c r="DSI36" s="544"/>
      <c r="DSJ36" s="545"/>
      <c r="DSK36" s="545"/>
      <c r="DSL36" s="545"/>
      <c r="DSM36" s="545"/>
      <c r="DSN36" s="545"/>
      <c r="DSO36" s="545"/>
      <c r="DSP36" s="544"/>
      <c r="DSQ36" s="545"/>
      <c r="DSR36" s="545"/>
      <c r="DSS36" s="545"/>
      <c r="DST36" s="545"/>
      <c r="DSU36" s="545"/>
      <c r="DSV36" s="545"/>
      <c r="DSW36" s="544"/>
      <c r="DSX36" s="545"/>
      <c r="DSY36" s="545"/>
      <c r="DSZ36" s="545"/>
      <c r="DTA36" s="545"/>
      <c r="DTB36" s="545"/>
      <c r="DTC36" s="545"/>
      <c r="DTD36" s="544"/>
      <c r="DTE36" s="545"/>
      <c r="DTF36" s="545"/>
      <c r="DTG36" s="545"/>
      <c r="DTH36" s="545"/>
      <c r="DTI36" s="545"/>
      <c r="DTJ36" s="545"/>
      <c r="DTK36" s="544"/>
      <c r="DTL36" s="545"/>
      <c r="DTM36" s="545"/>
      <c r="DTN36" s="545"/>
      <c r="DTO36" s="545"/>
      <c r="DTP36" s="545"/>
      <c r="DTQ36" s="545"/>
      <c r="DTR36" s="544"/>
      <c r="DTS36" s="545"/>
      <c r="DTT36" s="545"/>
      <c r="DTU36" s="545"/>
      <c r="DTV36" s="545"/>
      <c r="DTW36" s="545"/>
      <c r="DTX36" s="545"/>
      <c r="DTY36" s="544"/>
      <c r="DTZ36" s="545"/>
      <c r="DUA36" s="545"/>
      <c r="DUB36" s="545"/>
      <c r="DUC36" s="545"/>
      <c r="DUD36" s="545"/>
      <c r="DUE36" s="545"/>
      <c r="DUF36" s="544"/>
      <c r="DUG36" s="545"/>
      <c r="DUH36" s="545"/>
      <c r="DUI36" s="545"/>
      <c r="DUJ36" s="545"/>
      <c r="DUK36" s="545"/>
      <c r="DUL36" s="545"/>
      <c r="DUM36" s="544"/>
      <c r="DUN36" s="545"/>
      <c r="DUO36" s="545"/>
      <c r="DUP36" s="545"/>
      <c r="DUQ36" s="545"/>
      <c r="DUR36" s="545"/>
      <c r="DUS36" s="545"/>
      <c r="DUT36" s="544"/>
      <c r="DUU36" s="545"/>
      <c r="DUV36" s="545"/>
      <c r="DUW36" s="545"/>
      <c r="DUX36" s="545"/>
      <c r="DUY36" s="545"/>
      <c r="DUZ36" s="545"/>
      <c r="DVA36" s="544"/>
      <c r="DVB36" s="545"/>
      <c r="DVC36" s="545"/>
      <c r="DVD36" s="545"/>
      <c r="DVE36" s="545"/>
      <c r="DVF36" s="545"/>
      <c r="DVG36" s="545"/>
      <c r="DVH36" s="544"/>
      <c r="DVI36" s="545"/>
      <c r="DVJ36" s="545"/>
      <c r="DVK36" s="545"/>
      <c r="DVL36" s="545"/>
      <c r="DVM36" s="545"/>
      <c r="DVN36" s="545"/>
      <c r="DVO36" s="544"/>
      <c r="DVP36" s="545"/>
      <c r="DVQ36" s="545"/>
      <c r="DVR36" s="545"/>
      <c r="DVS36" s="545"/>
      <c r="DVT36" s="545"/>
      <c r="DVU36" s="545"/>
      <c r="DVV36" s="544"/>
      <c r="DVW36" s="545"/>
      <c r="DVX36" s="545"/>
      <c r="DVY36" s="545"/>
      <c r="DVZ36" s="545"/>
      <c r="DWA36" s="545"/>
      <c r="DWB36" s="545"/>
      <c r="DWC36" s="544"/>
      <c r="DWD36" s="545"/>
      <c r="DWE36" s="545"/>
      <c r="DWF36" s="545"/>
      <c r="DWG36" s="545"/>
      <c r="DWH36" s="545"/>
      <c r="DWI36" s="545"/>
      <c r="DWJ36" s="544"/>
      <c r="DWK36" s="545"/>
      <c r="DWL36" s="545"/>
      <c r="DWM36" s="545"/>
      <c r="DWN36" s="545"/>
      <c r="DWO36" s="545"/>
      <c r="DWP36" s="545"/>
      <c r="DWQ36" s="544"/>
      <c r="DWR36" s="545"/>
      <c r="DWS36" s="545"/>
      <c r="DWT36" s="545"/>
      <c r="DWU36" s="545"/>
      <c r="DWV36" s="545"/>
      <c r="DWW36" s="545"/>
      <c r="DWX36" s="544"/>
      <c r="DWY36" s="545"/>
      <c r="DWZ36" s="545"/>
      <c r="DXA36" s="545"/>
      <c r="DXB36" s="545"/>
      <c r="DXC36" s="545"/>
      <c r="DXD36" s="545"/>
      <c r="DXE36" s="544"/>
      <c r="DXF36" s="545"/>
      <c r="DXG36" s="545"/>
      <c r="DXH36" s="545"/>
      <c r="DXI36" s="545"/>
      <c r="DXJ36" s="545"/>
      <c r="DXK36" s="545"/>
      <c r="DXL36" s="544"/>
      <c r="DXM36" s="545"/>
      <c r="DXN36" s="545"/>
      <c r="DXO36" s="545"/>
      <c r="DXP36" s="545"/>
      <c r="DXQ36" s="545"/>
      <c r="DXR36" s="545"/>
      <c r="DXS36" s="544"/>
      <c r="DXT36" s="545"/>
      <c r="DXU36" s="545"/>
      <c r="DXV36" s="545"/>
      <c r="DXW36" s="545"/>
      <c r="DXX36" s="545"/>
      <c r="DXY36" s="545"/>
      <c r="DXZ36" s="544"/>
      <c r="DYA36" s="545"/>
      <c r="DYB36" s="545"/>
      <c r="DYC36" s="545"/>
      <c r="DYD36" s="545"/>
      <c r="DYE36" s="545"/>
      <c r="DYF36" s="545"/>
      <c r="DYG36" s="544"/>
      <c r="DYH36" s="545"/>
      <c r="DYI36" s="545"/>
      <c r="DYJ36" s="545"/>
      <c r="DYK36" s="545"/>
      <c r="DYL36" s="545"/>
      <c r="DYM36" s="545"/>
      <c r="DYN36" s="544"/>
      <c r="DYO36" s="545"/>
      <c r="DYP36" s="545"/>
      <c r="DYQ36" s="545"/>
      <c r="DYR36" s="545"/>
      <c r="DYS36" s="545"/>
      <c r="DYT36" s="545"/>
      <c r="DYU36" s="544"/>
      <c r="DYV36" s="545"/>
      <c r="DYW36" s="545"/>
      <c r="DYX36" s="545"/>
      <c r="DYY36" s="545"/>
      <c r="DYZ36" s="545"/>
      <c r="DZA36" s="545"/>
      <c r="DZB36" s="544"/>
      <c r="DZC36" s="545"/>
      <c r="DZD36" s="545"/>
      <c r="DZE36" s="545"/>
      <c r="DZF36" s="545"/>
      <c r="DZG36" s="545"/>
      <c r="DZH36" s="545"/>
      <c r="DZI36" s="544"/>
      <c r="DZJ36" s="545"/>
      <c r="DZK36" s="545"/>
      <c r="DZL36" s="545"/>
      <c r="DZM36" s="545"/>
      <c r="DZN36" s="545"/>
      <c r="DZO36" s="545"/>
      <c r="DZP36" s="544"/>
      <c r="DZQ36" s="545"/>
      <c r="DZR36" s="545"/>
      <c r="DZS36" s="545"/>
      <c r="DZT36" s="545"/>
      <c r="DZU36" s="545"/>
      <c r="DZV36" s="545"/>
      <c r="DZW36" s="544"/>
      <c r="DZX36" s="545"/>
      <c r="DZY36" s="545"/>
      <c r="DZZ36" s="545"/>
      <c r="EAA36" s="545"/>
      <c r="EAB36" s="545"/>
      <c r="EAC36" s="545"/>
      <c r="EAD36" s="544"/>
      <c r="EAE36" s="545"/>
      <c r="EAF36" s="545"/>
      <c r="EAG36" s="545"/>
      <c r="EAH36" s="545"/>
      <c r="EAI36" s="545"/>
      <c r="EAJ36" s="545"/>
      <c r="EAK36" s="544"/>
      <c r="EAL36" s="545"/>
      <c r="EAM36" s="545"/>
      <c r="EAN36" s="545"/>
      <c r="EAO36" s="545"/>
      <c r="EAP36" s="545"/>
      <c r="EAQ36" s="545"/>
      <c r="EAR36" s="544"/>
      <c r="EAS36" s="545"/>
      <c r="EAT36" s="545"/>
      <c r="EAU36" s="545"/>
      <c r="EAV36" s="545"/>
      <c r="EAW36" s="545"/>
      <c r="EAX36" s="545"/>
      <c r="EAY36" s="544"/>
      <c r="EAZ36" s="545"/>
      <c r="EBA36" s="545"/>
      <c r="EBB36" s="545"/>
      <c r="EBC36" s="545"/>
      <c r="EBD36" s="545"/>
      <c r="EBE36" s="545"/>
      <c r="EBF36" s="544"/>
      <c r="EBG36" s="545"/>
      <c r="EBH36" s="545"/>
      <c r="EBI36" s="545"/>
      <c r="EBJ36" s="545"/>
      <c r="EBK36" s="545"/>
      <c r="EBL36" s="545"/>
      <c r="EBM36" s="544"/>
      <c r="EBN36" s="545"/>
      <c r="EBO36" s="545"/>
      <c r="EBP36" s="545"/>
      <c r="EBQ36" s="545"/>
      <c r="EBR36" s="545"/>
      <c r="EBS36" s="545"/>
      <c r="EBT36" s="544"/>
      <c r="EBU36" s="545"/>
      <c r="EBV36" s="545"/>
      <c r="EBW36" s="545"/>
      <c r="EBX36" s="545"/>
      <c r="EBY36" s="545"/>
      <c r="EBZ36" s="545"/>
      <c r="ECA36" s="544"/>
      <c r="ECB36" s="545"/>
      <c r="ECC36" s="545"/>
      <c r="ECD36" s="545"/>
      <c r="ECE36" s="545"/>
      <c r="ECF36" s="545"/>
      <c r="ECG36" s="545"/>
      <c r="ECH36" s="544"/>
      <c r="ECI36" s="545"/>
      <c r="ECJ36" s="545"/>
      <c r="ECK36" s="545"/>
      <c r="ECL36" s="545"/>
      <c r="ECM36" s="545"/>
      <c r="ECN36" s="545"/>
      <c r="ECO36" s="544"/>
      <c r="ECP36" s="545"/>
      <c r="ECQ36" s="545"/>
      <c r="ECR36" s="545"/>
      <c r="ECS36" s="545"/>
      <c r="ECT36" s="545"/>
      <c r="ECU36" s="545"/>
      <c r="ECV36" s="544"/>
      <c r="ECW36" s="545"/>
      <c r="ECX36" s="545"/>
      <c r="ECY36" s="545"/>
      <c r="ECZ36" s="545"/>
      <c r="EDA36" s="545"/>
      <c r="EDB36" s="545"/>
      <c r="EDC36" s="544"/>
      <c r="EDD36" s="545"/>
      <c r="EDE36" s="545"/>
      <c r="EDF36" s="545"/>
      <c r="EDG36" s="545"/>
      <c r="EDH36" s="545"/>
      <c r="EDI36" s="545"/>
      <c r="EDJ36" s="544"/>
      <c r="EDK36" s="545"/>
      <c r="EDL36" s="545"/>
      <c r="EDM36" s="545"/>
      <c r="EDN36" s="545"/>
      <c r="EDO36" s="545"/>
      <c r="EDP36" s="545"/>
      <c r="EDQ36" s="544"/>
      <c r="EDR36" s="545"/>
      <c r="EDS36" s="545"/>
      <c r="EDT36" s="545"/>
      <c r="EDU36" s="545"/>
      <c r="EDV36" s="545"/>
      <c r="EDW36" s="545"/>
      <c r="EDX36" s="544"/>
      <c r="EDY36" s="545"/>
      <c r="EDZ36" s="545"/>
      <c r="EEA36" s="545"/>
      <c r="EEB36" s="545"/>
      <c r="EEC36" s="545"/>
      <c r="EED36" s="545"/>
      <c r="EEE36" s="544"/>
      <c r="EEF36" s="545"/>
      <c r="EEG36" s="545"/>
      <c r="EEH36" s="545"/>
      <c r="EEI36" s="545"/>
      <c r="EEJ36" s="545"/>
      <c r="EEK36" s="545"/>
      <c r="EEL36" s="544"/>
      <c r="EEM36" s="545"/>
      <c r="EEN36" s="545"/>
      <c r="EEO36" s="545"/>
      <c r="EEP36" s="545"/>
      <c r="EEQ36" s="545"/>
      <c r="EER36" s="545"/>
      <c r="EES36" s="544"/>
      <c r="EET36" s="545"/>
      <c r="EEU36" s="545"/>
      <c r="EEV36" s="545"/>
      <c r="EEW36" s="545"/>
      <c r="EEX36" s="545"/>
      <c r="EEY36" s="545"/>
      <c r="EEZ36" s="544"/>
      <c r="EFA36" s="545"/>
      <c r="EFB36" s="545"/>
      <c r="EFC36" s="545"/>
      <c r="EFD36" s="545"/>
      <c r="EFE36" s="545"/>
      <c r="EFF36" s="545"/>
      <c r="EFG36" s="544"/>
      <c r="EFH36" s="545"/>
      <c r="EFI36" s="545"/>
      <c r="EFJ36" s="545"/>
      <c r="EFK36" s="545"/>
      <c r="EFL36" s="545"/>
      <c r="EFM36" s="545"/>
      <c r="EFN36" s="544"/>
      <c r="EFO36" s="545"/>
      <c r="EFP36" s="545"/>
      <c r="EFQ36" s="545"/>
      <c r="EFR36" s="545"/>
      <c r="EFS36" s="545"/>
      <c r="EFT36" s="545"/>
      <c r="EFU36" s="544"/>
      <c r="EFV36" s="545"/>
      <c r="EFW36" s="545"/>
      <c r="EFX36" s="545"/>
      <c r="EFY36" s="545"/>
      <c r="EFZ36" s="545"/>
      <c r="EGA36" s="545"/>
      <c r="EGB36" s="544"/>
      <c r="EGC36" s="545"/>
      <c r="EGD36" s="545"/>
      <c r="EGE36" s="545"/>
      <c r="EGF36" s="545"/>
      <c r="EGG36" s="545"/>
      <c r="EGH36" s="545"/>
      <c r="EGI36" s="544"/>
      <c r="EGJ36" s="545"/>
      <c r="EGK36" s="545"/>
      <c r="EGL36" s="545"/>
      <c r="EGM36" s="545"/>
      <c r="EGN36" s="545"/>
      <c r="EGO36" s="545"/>
      <c r="EGP36" s="544"/>
      <c r="EGQ36" s="545"/>
      <c r="EGR36" s="545"/>
      <c r="EGS36" s="545"/>
      <c r="EGT36" s="545"/>
      <c r="EGU36" s="545"/>
      <c r="EGV36" s="545"/>
      <c r="EGW36" s="544"/>
      <c r="EGX36" s="545"/>
      <c r="EGY36" s="545"/>
      <c r="EGZ36" s="545"/>
      <c r="EHA36" s="545"/>
      <c r="EHB36" s="545"/>
      <c r="EHC36" s="545"/>
      <c r="EHD36" s="544"/>
      <c r="EHE36" s="545"/>
      <c r="EHF36" s="545"/>
      <c r="EHG36" s="545"/>
      <c r="EHH36" s="545"/>
      <c r="EHI36" s="545"/>
      <c r="EHJ36" s="545"/>
      <c r="EHK36" s="544"/>
      <c r="EHL36" s="545"/>
      <c r="EHM36" s="545"/>
      <c r="EHN36" s="545"/>
      <c r="EHO36" s="545"/>
      <c r="EHP36" s="545"/>
      <c r="EHQ36" s="545"/>
      <c r="EHR36" s="544"/>
      <c r="EHS36" s="545"/>
      <c r="EHT36" s="545"/>
      <c r="EHU36" s="545"/>
      <c r="EHV36" s="545"/>
      <c r="EHW36" s="545"/>
      <c r="EHX36" s="545"/>
      <c r="EHY36" s="544"/>
      <c r="EHZ36" s="545"/>
      <c r="EIA36" s="545"/>
      <c r="EIB36" s="545"/>
      <c r="EIC36" s="545"/>
      <c r="EID36" s="545"/>
      <c r="EIE36" s="545"/>
      <c r="EIF36" s="544"/>
      <c r="EIG36" s="545"/>
      <c r="EIH36" s="545"/>
      <c r="EII36" s="545"/>
      <c r="EIJ36" s="545"/>
      <c r="EIK36" s="545"/>
      <c r="EIL36" s="545"/>
      <c r="EIM36" s="544"/>
      <c r="EIN36" s="545"/>
      <c r="EIO36" s="545"/>
      <c r="EIP36" s="545"/>
      <c r="EIQ36" s="545"/>
      <c r="EIR36" s="545"/>
      <c r="EIS36" s="545"/>
      <c r="EIT36" s="544"/>
      <c r="EIU36" s="545"/>
      <c r="EIV36" s="545"/>
      <c r="EIW36" s="545"/>
      <c r="EIX36" s="545"/>
      <c r="EIY36" s="545"/>
      <c r="EIZ36" s="545"/>
      <c r="EJA36" s="544"/>
      <c r="EJB36" s="545"/>
      <c r="EJC36" s="545"/>
      <c r="EJD36" s="545"/>
      <c r="EJE36" s="545"/>
      <c r="EJF36" s="545"/>
      <c r="EJG36" s="545"/>
      <c r="EJH36" s="544"/>
      <c r="EJI36" s="545"/>
      <c r="EJJ36" s="545"/>
      <c r="EJK36" s="545"/>
      <c r="EJL36" s="545"/>
      <c r="EJM36" s="545"/>
      <c r="EJN36" s="545"/>
      <c r="EJO36" s="544"/>
      <c r="EJP36" s="545"/>
      <c r="EJQ36" s="545"/>
      <c r="EJR36" s="545"/>
      <c r="EJS36" s="545"/>
      <c r="EJT36" s="545"/>
      <c r="EJU36" s="545"/>
      <c r="EJV36" s="544"/>
      <c r="EJW36" s="545"/>
      <c r="EJX36" s="545"/>
      <c r="EJY36" s="545"/>
      <c r="EJZ36" s="545"/>
      <c r="EKA36" s="545"/>
      <c r="EKB36" s="545"/>
      <c r="EKC36" s="544"/>
      <c r="EKD36" s="545"/>
      <c r="EKE36" s="545"/>
      <c r="EKF36" s="545"/>
      <c r="EKG36" s="545"/>
      <c r="EKH36" s="545"/>
      <c r="EKI36" s="545"/>
      <c r="EKJ36" s="544"/>
      <c r="EKK36" s="545"/>
      <c r="EKL36" s="545"/>
      <c r="EKM36" s="545"/>
      <c r="EKN36" s="545"/>
      <c r="EKO36" s="545"/>
      <c r="EKP36" s="545"/>
      <c r="EKQ36" s="544"/>
      <c r="EKR36" s="545"/>
      <c r="EKS36" s="545"/>
      <c r="EKT36" s="545"/>
      <c r="EKU36" s="545"/>
      <c r="EKV36" s="545"/>
      <c r="EKW36" s="545"/>
      <c r="EKX36" s="544"/>
      <c r="EKY36" s="545"/>
      <c r="EKZ36" s="545"/>
      <c r="ELA36" s="545"/>
      <c r="ELB36" s="545"/>
      <c r="ELC36" s="545"/>
      <c r="ELD36" s="545"/>
      <c r="ELE36" s="544"/>
      <c r="ELF36" s="545"/>
      <c r="ELG36" s="545"/>
      <c r="ELH36" s="545"/>
      <c r="ELI36" s="545"/>
      <c r="ELJ36" s="545"/>
      <c r="ELK36" s="545"/>
      <c r="ELL36" s="544"/>
      <c r="ELM36" s="545"/>
      <c r="ELN36" s="545"/>
      <c r="ELO36" s="545"/>
      <c r="ELP36" s="545"/>
      <c r="ELQ36" s="545"/>
      <c r="ELR36" s="545"/>
      <c r="ELS36" s="544"/>
      <c r="ELT36" s="545"/>
      <c r="ELU36" s="545"/>
      <c r="ELV36" s="545"/>
      <c r="ELW36" s="545"/>
      <c r="ELX36" s="545"/>
      <c r="ELY36" s="545"/>
      <c r="ELZ36" s="544"/>
      <c r="EMA36" s="545"/>
      <c r="EMB36" s="545"/>
      <c r="EMC36" s="545"/>
      <c r="EMD36" s="545"/>
      <c r="EME36" s="545"/>
      <c r="EMF36" s="545"/>
      <c r="EMG36" s="544"/>
      <c r="EMH36" s="545"/>
      <c r="EMI36" s="545"/>
      <c r="EMJ36" s="545"/>
      <c r="EMK36" s="545"/>
      <c r="EML36" s="545"/>
      <c r="EMM36" s="545"/>
      <c r="EMN36" s="544"/>
      <c r="EMO36" s="545"/>
      <c r="EMP36" s="545"/>
      <c r="EMQ36" s="545"/>
      <c r="EMR36" s="545"/>
      <c r="EMS36" s="545"/>
      <c r="EMT36" s="545"/>
      <c r="EMU36" s="544"/>
      <c r="EMV36" s="545"/>
      <c r="EMW36" s="545"/>
      <c r="EMX36" s="545"/>
      <c r="EMY36" s="545"/>
      <c r="EMZ36" s="545"/>
      <c r="ENA36" s="545"/>
      <c r="ENB36" s="544"/>
      <c r="ENC36" s="545"/>
      <c r="END36" s="545"/>
      <c r="ENE36" s="545"/>
      <c r="ENF36" s="545"/>
      <c r="ENG36" s="545"/>
      <c r="ENH36" s="545"/>
      <c r="ENI36" s="544"/>
      <c r="ENJ36" s="545"/>
      <c r="ENK36" s="545"/>
      <c r="ENL36" s="545"/>
      <c r="ENM36" s="545"/>
      <c r="ENN36" s="545"/>
      <c r="ENO36" s="545"/>
      <c r="ENP36" s="544"/>
      <c r="ENQ36" s="545"/>
      <c r="ENR36" s="545"/>
      <c r="ENS36" s="545"/>
      <c r="ENT36" s="545"/>
      <c r="ENU36" s="545"/>
      <c r="ENV36" s="545"/>
      <c r="ENW36" s="544"/>
      <c r="ENX36" s="545"/>
      <c r="ENY36" s="545"/>
      <c r="ENZ36" s="545"/>
      <c r="EOA36" s="545"/>
      <c r="EOB36" s="545"/>
      <c r="EOC36" s="545"/>
      <c r="EOD36" s="544"/>
      <c r="EOE36" s="545"/>
      <c r="EOF36" s="545"/>
      <c r="EOG36" s="545"/>
      <c r="EOH36" s="545"/>
      <c r="EOI36" s="545"/>
      <c r="EOJ36" s="545"/>
      <c r="EOK36" s="544"/>
      <c r="EOL36" s="545"/>
      <c r="EOM36" s="545"/>
      <c r="EON36" s="545"/>
      <c r="EOO36" s="545"/>
      <c r="EOP36" s="545"/>
      <c r="EOQ36" s="545"/>
      <c r="EOR36" s="544"/>
      <c r="EOS36" s="545"/>
      <c r="EOT36" s="545"/>
      <c r="EOU36" s="545"/>
      <c r="EOV36" s="545"/>
      <c r="EOW36" s="545"/>
      <c r="EOX36" s="545"/>
      <c r="EOY36" s="544"/>
      <c r="EOZ36" s="545"/>
      <c r="EPA36" s="545"/>
      <c r="EPB36" s="545"/>
      <c r="EPC36" s="545"/>
      <c r="EPD36" s="545"/>
      <c r="EPE36" s="545"/>
      <c r="EPF36" s="544"/>
      <c r="EPG36" s="545"/>
      <c r="EPH36" s="545"/>
      <c r="EPI36" s="545"/>
      <c r="EPJ36" s="545"/>
      <c r="EPK36" s="545"/>
      <c r="EPL36" s="545"/>
      <c r="EPM36" s="544"/>
      <c r="EPN36" s="545"/>
      <c r="EPO36" s="545"/>
      <c r="EPP36" s="545"/>
      <c r="EPQ36" s="545"/>
      <c r="EPR36" s="545"/>
      <c r="EPS36" s="545"/>
      <c r="EPT36" s="544"/>
      <c r="EPU36" s="545"/>
      <c r="EPV36" s="545"/>
      <c r="EPW36" s="545"/>
      <c r="EPX36" s="545"/>
      <c r="EPY36" s="545"/>
      <c r="EPZ36" s="545"/>
      <c r="EQA36" s="544"/>
      <c r="EQB36" s="545"/>
      <c r="EQC36" s="545"/>
      <c r="EQD36" s="545"/>
      <c r="EQE36" s="545"/>
      <c r="EQF36" s="545"/>
      <c r="EQG36" s="545"/>
      <c r="EQH36" s="544"/>
      <c r="EQI36" s="545"/>
      <c r="EQJ36" s="545"/>
      <c r="EQK36" s="545"/>
      <c r="EQL36" s="545"/>
      <c r="EQM36" s="545"/>
      <c r="EQN36" s="545"/>
      <c r="EQO36" s="544"/>
      <c r="EQP36" s="545"/>
      <c r="EQQ36" s="545"/>
      <c r="EQR36" s="545"/>
      <c r="EQS36" s="545"/>
      <c r="EQT36" s="545"/>
      <c r="EQU36" s="545"/>
      <c r="EQV36" s="544"/>
      <c r="EQW36" s="545"/>
      <c r="EQX36" s="545"/>
      <c r="EQY36" s="545"/>
      <c r="EQZ36" s="545"/>
      <c r="ERA36" s="545"/>
      <c r="ERB36" s="545"/>
      <c r="ERC36" s="544"/>
      <c r="ERD36" s="545"/>
      <c r="ERE36" s="545"/>
      <c r="ERF36" s="545"/>
      <c r="ERG36" s="545"/>
      <c r="ERH36" s="545"/>
      <c r="ERI36" s="545"/>
      <c r="ERJ36" s="544"/>
      <c r="ERK36" s="545"/>
      <c r="ERL36" s="545"/>
      <c r="ERM36" s="545"/>
      <c r="ERN36" s="545"/>
      <c r="ERO36" s="545"/>
      <c r="ERP36" s="545"/>
      <c r="ERQ36" s="544"/>
      <c r="ERR36" s="545"/>
      <c r="ERS36" s="545"/>
      <c r="ERT36" s="545"/>
      <c r="ERU36" s="545"/>
      <c r="ERV36" s="545"/>
      <c r="ERW36" s="545"/>
      <c r="ERX36" s="544"/>
      <c r="ERY36" s="545"/>
      <c r="ERZ36" s="545"/>
      <c r="ESA36" s="545"/>
      <c r="ESB36" s="545"/>
      <c r="ESC36" s="545"/>
      <c r="ESD36" s="545"/>
      <c r="ESE36" s="544"/>
      <c r="ESF36" s="545"/>
      <c r="ESG36" s="545"/>
      <c r="ESH36" s="545"/>
      <c r="ESI36" s="545"/>
      <c r="ESJ36" s="545"/>
      <c r="ESK36" s="545"/>
      <c r="ESL36" s="544"/>
      <c r="ESM36" s="545"/>
      <c r="ESN36" s="545"/>
      <c r="ESO36" s="545"/>
      <c r="ESP36" s="545"/>
      <c r="ESQ36" s="545"/>
      <c r="ESR36" s="545"/>
      <c r="ESS36" s="544"/>
      <c r="EST36" s="545"/>
      <c r="ESU36" s="545"/>
      <c r="ESV36" s="545"/>
      <c r="ESW36" s="545"/>
      <c r="ESX36" s="545"/>
      <c r="ESY36" s="545"/>
      <c r="ESZ36" s="544"/>
      <c r="ETA36" s="545"/>
      <c r="ETB36" s="545"/>
      <c r="ETC36" s="545"/>
      <c r="ETD36" s="545"/>
      <c r="ETE36" s="545"/>
      <c r="ETF36" s="545"/>
      <c r="ETG36" s="544"/>
      <c r="ETH36" s="545"/>
      <c r="ETI36" s="545"/>
      <c r="ETJ36" s="545"/>
      <c r="ETK36" s="545"/>
      <c r="ETL36" s="545"/>
      <c r="ETM36" s="545"/>
      <c r="ETN36" s="544"/>
      <c r="ETO36" s="545"/>
      <c r="ETP36" s="545"/>
      <c r="ETQ36" s="545"/>
      <c r="ETR36" s="545"/>
      <c r="ETS36" s="545"/>
      <c r="ETT36" s="545"/>
      <c r="ETU36" s="544"/>
      <c r="ETV36" s="545"/>
      <c r="ETW36" s="545"/>
      <c r="ETX36" s="545"/>
      <c r="ETY36" s="545"/>
      <c r="ETZ36" s="545"/>
      <c r="EUA36" s="545"/>
      <c r="EUB36" s="544"/>
      <c r="EUC36" s="545"/>
      <c r="EUD36" s="545"/>
      <c r="EUE36" s="545"/>
      <c r="EUF36" s="545"/>
      <c r="EUG36" s="545"/>
      <c r="EUH36" s="545"/>
      <c r="EUI36" s="544"/>
      <c r="EUJ36" s="545"/>
      <c r="EUK36" s="545"/>
      <c r="EUL36" s="545"/>
      <c r="EUM36" s="545"/>
      <c r="EUN36" s="545"/>
      <c r="EUO36" s="545"/>
      <c r="EUP36" s="544"/>
      <c r="EUQ36" s="545"/>
      <c r="EUR36" s="545"/>
      <c r="EUS36" s="545"/>
      <c r="EUT36" s="545"/>
      <c r="EUU36" s="545"/>
      <c r="EUV36" s="545"/>
      <c r="EUW36" s="544"/>
      <c r="EUX36" s="545"/>
      <c r="EUY36" s="545"/>
      <c r="EUZ36" s="545"/>
      <c r="EVA36" s="545"/>
      <c r="EVB36" s="545"/>
      <c r="EVC36" s="545"/>
      <c r="EVD36" s="544"/>
      <c r="EVE36" s="545"/>
      <c r="EVF36" s="545"/>
      <c r="EVG36" s="545"/>
      <c r="EVH36" s="545"/>
      <c r="EVI36" s="545"/>
      <c r="EVJ36" s="545"/>
      <c r="EVK36" s="544"/>
      <c r="EVL36" s="545"/>
      <c r="EVM36" s="545"/>
      <c r="EVN36" s="545"/>
      <c r="EVO36" s="545"/>
      <c r="EVP36" s="545"/>
      <c r="EVQ36" s="545"/>
      <c r="EVR36" s="544"/>
      <c r="EVS36" s="545"/>
      <c r="EVT36" s="545"/>
      <c r="EVU36" s="545"/>
      <c r="EVV36" s="545"/>
      <c r="EVW36" s="545"/>
      <c r="EVX36" s="545"/>
      <c r="EVY36" s="544"/>
      <c r="EVZ36" s="545"/>
      <c r="EWA36" s="545"/>
      <c r="EWB36" s="545"/>
      <c r="EWC36" s="545"/>
      <c r="EWD36" s="545"/>
      <c r="EWE36" s="545"/>
      <c r="EWF36" s="544"/>
      <c r="EWG36" s="545"/>
      <c r="EWH36" s="545"/>
      <c r="EWI36" s="545"/>
      <c r="EWJ36" s="545"/>
      <c r="EWK36" s="545"/>
      <c r="EWL36" s="545"/>
      <c r="EWM36" s="544"/>
      <c r="EWN36" s="545"/>
      <c r="EWO36" s="545"/>
      <c r="EWP36" s="545"/>
      <c r="EWQ36" s="545"/>
      <c r="EWR36" s="545"/>
      <c r="EWS36" s="545"/>
      <c r="EWT36" s="544"/>
      <c r="EWU36" s="545"/>
      <c r="EWV36" s="545"/>
      <c r="EWW36" s="545"/>
      <c r="EWX36" s="545"/>
      <c r="EWY36" s="545"/>
      <c r="EWZ36" s="545"/>
      <c r="EXA36" s="544"/>
      <c r="EXB36" s="545"/>
      <c r="EXC36" s="545"/>
      <c r="EXD36" s="545"/>
      <c r="EXE36" s="545"/>
      <c r="EXF36" s="545"/>
      <c r="EXG36" s="545"/>
      <c r="EXH36" s="544"/>
      <c r="EXI36" s="545"/>
      <c r="EXJ36" s="545"/>
      <c r="EXK36" s="545"/>
      <c r="EXL36" s="545"/>
      <c r="EXM36" s="545"/>
      <c r="EXN36" s="545"/>
      <c r="EXO36" s="544"/>
      <c r="EXP36" s="545"/>
      <c r="EXQ36" s="545"/>
      <c r="EXR36" s="545"/>
      <c r="EXS36" s="545"/>
      <c r="EXT36" s="545"/>
      <c r="EXU36" s="545"/>
      <c r="EXV36" s="544"/>
      <c r="EXW36" s="545"/>
      <c r="EXX36" s="545"/>
      <c r="EXY36" s="545"/>
      <c r="EXZ36" s="545"/>
      <c r="EYA36" s="545"/>
      <c r="EYB36" s="545"/>
      <c r="EYC36" s="544"/>
      <c r="EYD36" s="545"/>
      <c r="EYE36" s="545"/>
      <c r="EYF36" s="545"/>
      <c r="EYG36" s="545"/>
      <c r="EYH36" s="545"/>
      <c r="EYI36" s="545"/>
      <c r="EYJ36" s="544"/>
      <c r="EYK36" s="545"/>
      <c r="EYL36" s="545"/>
      <c r="EYM36" s="545"/>
      <c r="EYN36" s="545"/>
      <c r="EYO36" s="545"/>
      <c r="EYP36" s="545"/>
      <c r="EYQ36" s="544"/>
      <c r="EYR36" s="545"/>
      <c r="EYS36" s="545"/>
      <c r="EYT36" s="545"/>
      <c r="EYU36" s="545"/>
      <c r="EYV36" s="545"/>
      <c r="EYW36" s="545"/>
      <c r="EYX36" s="544"/>
      <c r="EYY36" s="545"/>
      <c r="EYZ36" s="545"/>
      <c r="EZA36" s="545"/>
      <c r="EZB36" s="545"/>
      <c r="EZC36" s="545"/>
      <c r="EZD36" s="545"/>
      <c r="EZE36" s="544"/>
      <c r="EZF36" s="545"/>
      <c r="EZG36" s="545"/>
      <c r="EZH36" s="545"/>
      <c r="EZI36" s="545"/>
      <c r="EZJ36" s="545"/>
      <c r="EZK36" s="545"/>
      <c r="EZL36" s="544"/>
      <c r="EZM36" s="545"/>
      <c r="EZN36" s="545"/>
      <c r="EZO36" s="545"/>
      <c r="EZP36" s="545"/>
      <c r="EZQ36" s="545"/>
      <c r="EZR36" s="545"/>
      <c r="EZS36" s="544"/>
      <c r="EZT36" s="545"/>
      <c r="EZU36" s="545"/>
      <c r="EZV36" s="545"/>
      <c r="EZW36" s="545"/>
      <c r="EZX36" s="545"/>
      <c r="EZY36" s="545"/>
      <c r="EZZ36" s="544"/>
      <c r="FAA36" s="545"/>
      <c r="FAB36" s="545"/>
      <c r="FAC36" s="545"/>
      <c r="FAD36" s="545"/>
      <c r="FAE36" s="545"/>
      <c r="FAF36" s="545"/>
      <c r="FAG36" s="544"/>
      <c r="FAH36" s="545"/>
      <c r="FAI36" s="545"/>
      <c r="FAJ36" s="545"/>
      <c r="FAK36" s="545"/>
      <c r="FAL36" s="545"/>
      <c r="FAM36" s="545"/>
      <c r="FAN36" s="544"/>
      <c r="FAO36" s="545"/>
      <c r="FAP36" s="545"/>
      <c r="FAQ36" s="545"/>
      <c r="FAR36" s="545"/>
      <c r="FAS36" s="545"/>
      <c r="FAT36" s="545"/>
      <c r="FAU36" s="544"/>
      <c r="FAV36" s="545"/>
      <c r="FAW36" s="545"/>
      <c r="FAX36" s="545"/>
      <c r="FAY36" s="545"/>
      <c r="FAZ36" s="545"/>
      <c r="FBA36" s="545"/>
      <c r="FBB36" s="544"/>
      <c r="FBC36" s="545"/>
      <c r="FBD36" s="545"/>
      <c r="FBE36" s="545"/>
      <c r="FBF36" s="545"/>
      <c r="FBG36" s="545"/>
      <c r="FBH36" s="545"/>
      <c r="FBI36" s="544"/>
      <c r="FBJ36" s="545"/>
      <c r="FBK36" s="545"/>
      <c r="FBL36" s="545"/>
      <c r="FBM36" s="545"/>
      <c r="FBN36" s="545"/>
      <c r="FBO36" s="545"/>
      <c r="FBP36" s="544"/>
      <c r="FBQ36" s="545"/>
      <c r="FBR36" s="545"/>
      <c r="FBS36" s="545"/>
      <c r="FBT36" s="545"/>
      <c r="FBU36" s="545"/>
      <c r="FBV36" s="545"/>
      <c r="FBW36" s="544"/>
      <c r="FBX36" s="545"/>
      <c r="FBY36" s="545"/>
      <c r="FBZ36" s="545"/>
      <c r="FCA36" s="545"/>
      <c r="FCB36" s="545"/>
      <c r="FCC36" s="545"/>
      <c r="FCD36" s="544"/>
      <c r="FCE36" s="545"/>
      <c r="FCF36" s="545"/>
      <c r="FCG36" s="545"/>
      <c r="FCH36" s="545"/>
      <c r="FCI36" s="545"/>
      <c r="FCJ36" s="545"/>
      <c r="FCK36" s="544"/>
      <c r="FCL36" s="545"/>
      <c r="FCM36" s="545"/>
      <c r="FCN36" s="545"/>
      <c r="FCO36" s="545"/>
      <c r="FCP36" s="545"/>
      <c r="FCQ36" s="545"/>
      <c r="FCR36" s="544"/>
      <c r="FCS36" s="545"/>
      <c r="FCT36" s="545"/>
      <c r="FCU36" s="545"/>
      <c r="FCV36" s="545"/>
      <c r="FCW36" s="545"/>
      <c r="FCX36" s="545"/>
      <c r="FCY36" s="544"/>
      <c r="FCZ36" s="545"/>
      <c r="FDA36" s="545"/>
      <c r="FDB36" s="545"/>
      <c r="FDC36" s="545"/>
      <c r="FDD36" s="545"/>
      <c r="FDE36" s="545"/>
      <c r="FDF36" s="544"/>
      <c r="FDG36" s="545"/>
      <c r="FDH36" s="545"/>
      <c r="FDI36" s="545"/>
      <c r="FDJ36" s="545"/>
      <c r="FDK36" s="545"/>
      <c r="FDL36" s="545"/>
      <c r="FDM36" s="544"/>
      <c r="FDN36" s="545"/>
      <c r="FDO36" s="545"/>
      <c r="FDP36" s="545"/>
      <c r="FDQ36" s="545"/>
      <c r="FDR36" s="545"/>
      <c r="FDS36" s="545"/>
      <c r="FDT36" s="544"/>
      <c r="FDU36" s="545"/>
      <c r="FDV36" s="545"/>
      <c r="FDW36" s="545"/>
      <c r="FDX36" s="545"/>
      <c r="FDY36" s="545"/>
      <c r="FDZ36" s="545"/>
      <c r="FEA36" s="544"/>
      <c r="FEB36" s="545"/>
      <c r="FEC36" s="545"/>
      <c r="FED36" s="545"/>
      <c r="FEE36" s="545"/>
      <c r="FEF36" s="545"/>
      <c r="FEG36" s="545"/>
      <c r="FEH36" s="544"/>
      <c r="FEI36" s="545"/>
      <c r="FEJ36" s="545"/>
      <c r="FEK36" s="545"/>
      <c r="FEL36" s="545"/>
      <c r="FEM36" s="545"/>
      <c r="FEN36" s="545"/>
      <c r="FEO36" s="544"/>
      <c r="FEP36" s="545"/>
      <c r="FEQ36" s="545"/>
      <c r="FER36" s="545"/>
      <c r="FES36" s="545"/>
      <c r="FET36" s="545"/>
      <c r="FEU36" s="545"/>
      <c r="FEV36" s="544"/>
      <c r="FEW36" s="545"/>
      <c r="FEX36" s="545"/>
      <c r="FEY36" s="545"/>
      <c r="FEZ36" s="545"/>
      <c r="FFA36" s="545"/>
      <c r="FFB36" s="545"/>
      <c r="FFC36" s="544"/>
      <c r="FFD36" s="545"/>
      <c r="FFE36" s="545"/>
      <c r="FFF36" s="545"/>
      <c r="FFG36" s="545"/>
      <c r="FFH36" s="545"/>
      <c r="FFI36" s="545"/>
      <c r="FFJ36" s="544"/>
      <c r="FFK36" s="545"/>
      <c r="FFL36" s="545"/>
      <c r="FFM36" s="545"/>
      <c r="FFN36" s="545"/>
      <c r="FFO36" s="545"/>
      <c r="FFP36" s="545"/>
      <c r="FFQ36" s="544"/>
      <c r="FFR36" s="545"/>
      <c r="FFS36" s="545"/>
      <c r="FFT36" s="545"/>
      <c r="FFU36" s="545"/>
      <c r="FFV36" s="545"/>
      <c r="FFW36" s="545"/>
      <c r="FFX36" s="544"/>
      <c r="FFY36" s="545"/>
      <c r="FFZ36" s="545"/>
      <c r="FGA36" s="545"/>
      <c r="FGB36" s="545"/>
      <c r="FGC36" s="545"/>
      <c r="FGD36" s="545"/>
      <c r="FGE36" s="544"/>
      <c r="FGF36" s="545"/>
      <c r="FGG36" s="545"/>
      <c r="FGH36" s="545"/>
      <c r="FGI36" s="545"/>
      <c r="FGJ36" s="545"/>
      <c r="FGK36" s="545"/>
      <c r="FGL36" s="544"/>
      <c r="FGM36" s="545"/>
      <c r="FGN36" s="545"/>
      <c r="FGO36" s="545"/>
      <c r="FGP36" s="545"/>
      <c r="FGQ36" s="545"/>
      <c r="FGR36" s="545"/>
      <c r="FGS36" s="544"/>
      <c r="FGT36" s="545"/>
      <c r="FGU36" s="545"/>
      <c r="FGV36" s="545"/>
      <c r="FGW36" s="545"/>
      <c r="FGX36" s="545"/>
      <c r="FGY36" s="545"/>
      <c r="FGZ36" s="544"/>
      <c r="FHA36" s="545"/>
      <c r="FHB36" s="545"/>
      <c r="FHC36" s="545"/>
      <c r="FHD36" s="545"/>
      <c r="FHE36" s="545"/>
      <c r="FHF36" s="545"/>
      <c r="FHG36" s="544"/>
      <c r="FHH36" s="545"/>
      <c r="FHI36" s="545"/>
      <c r="FHJ36" s="545"/>
      <c r="FHK36" s="545"/>
      <c r="FHL36" s="545"/>
      <c r="FHM36" s="545"/>
      <c r="FHN36" s="544"/>
      <c r="FHO36" s="545"/>
      <c r="FHP36" s="545"/>
      <c r="FHQ36" s="545"/>
      <c r="FHR36" s="545"/>
      <c r="FHS36" s="545"/>
      <c r="FHT36" s="545"/>
      <c r="FHU36" s="544"/>
      <c r="FHV36" s="545"/>
      <c r="FHW36" s="545"/>
      <c r="FHX36" s="545"/>
      <c r="FHY36" s="545"/>
      <c r="FHZ36" s="545"/>
      <c r="FIA36" s="545"/>
      <c r="FIB36" s="544"/>
      <c r="FIC36" s="545"/>
      <c r="FID36" s="545"/>
      <c r="FIE36" s="545"/>
      <c r="FIF36" s="545"/>
      <c r="FIG36" s="545"/>
      <c r="FIH36" s="545"/>
      <c r="FII36" s="544"/>
      <c r="FIJ36" s="545"/>
      <c r="FIK36" s="545"/>
      <c r="FIL36" s="545"/>
      <c r="FIM36" s="545"/>
      <c r="FIN36" s="545"/>
      <c r="FIO36" s="545"/>
      <c r="FIP36" s="544"/>
      <c r="FIQ36" s="545"/>
      <c r="FIR36" s="545"/>
      <c r="FIS36" s="545"/>
      <c r="FIT36" s="545"/>
      <c r="FIU36" s="545"/>
      <c r="FIV36" s="545"/>
      <c r="FIW36" s="544"/>
      <c r="FIX36" s="545"/>
      <c r="FIY36" s="545"/>
      <c r="FIZ36" s="545"/>
      <c r="FJA36" s="545"/>
      <c r="FJB36" s="545"/>
      <c r="FJC36" s="545"/>
      <c r="FJD36" s="544"/>
      <c r="FJE36" s="545"/>
      <c r="FJF36" s="545"/>
      <c r="FJG36" s="545"/>
      <c r="FJH36" s="545"/>
      <c r="FJI36" s="545"/>
      <c r="FJJ36" s="545"/>
      <c r="FJK36" s="544"/>
      <c r="FJL36" s="545"/>
      <c r="FJM36" s="545"/>
      <c r="FJN36" s="545"/>
      <c r="FJO36" s="545"/>
      <c r="FJP36" s="545"/>
      <c r="FJQ36" s="545"/>
      <c r="FJR36" s="544"/>
      <c r="FJS36" s="545"/>
      <c r="FJT36" s="545"/>
      <c r="FJU36" s="545"/>
      <c r="FJV36" s="545"/>
      <c r="FJW36" s="545"/>
      <c r="FJX36" s="545"/>
      <c r="FJY36" s="544"/>
      <c r="FJZ36" s="545"/>
      <c r="FKA36" s="545"/>
      <c r="FKB36" s="545"/>
      <c r="FKC36" s="545"/>
      <c r="FKD36" s="545"/>
      <c r="FKE36" s="545"/>
      <c r="FKF36" s="544"/>
      <c r="FKG36" s="545"/>
      <c r="FKH36" s="545"/>
      <c r="FKI36" s="545"/>
      <c r="FKJ36" s="545"/>
      <c r="FKK36" s="545"/>
      <c r="FKL36" s="545"/>
      <c r="FKM36" s="544"/>
      <c r="FKN36" s="545"/>
      <c r="FKO36" s="545"/>
      <c r="FKP36" s="545"/>
      <c r="FKQ36" s="545"/>
      <c r="FKR36" s="545"/>
      <c r="FKS36" s="545"/>
      <c r="FKT36" s="544"/>
      <c r="FKU36" s="545"/>
      <c r="FKV36" s="545"/>
      <c r="FKW36" s="545"/>
      <c r="FKX36" s="545"/>
      <c r="FKY36" s="545"/>
      <c r="FKZ36" s="545"/>
      <c r="FLA36" s="544"/>
      <c r="FLB36" s="545"/>
      <c r="FLC36" s="545"/>
      <c r="FLD36" s="545"/>
      <c r="FLE36" s="545"/>
      <c r="FLF36" s="545"/>
      <c r="FLG36" s="545"/>
      <c r="FLH36" s="544"/>
      <c r="FLI36" s="545"/>
      <c r="FLJ36" s="545"/>
      <c r="FLK36" s="545"/>
      <c r="FLL36" s="545"/>
      <c r="FLM36" s="545"/>
      <c r="FLN36" s="545"/>
      <c r="FLO36" s="544"/>
      <c r="FLP36" s="545"/>
      <c r="FLQ36" s="545"/>
      <c r="FLR36" s="545"/>
      <c r="FLS36" s="545"/>
      <c r="FLT36" s="545"/>
      <c r="FLU36" s="545"/>
      <c r="FLV36" s="544"/>
      <c r="FLW36" s="545"/>
      <c r="FLX36" s="545"/>
      <c r="FLY36" s="545"/>
      <c r="FLZ36" s="545"/>
      <c r="FMA36" s="545"/>
      <c r="FMB36" s="545"/>
      <c r="FMC36" s="544"/>
      <c r="FMD36" s="545"/>
      <c r="FME36" s="545"/>
      <c r="FMF36" s="545"/>
      <c r="FMG36" s="545"/>
      <c r="FMH36" s="545"/>
      <c r="FMI36" s="545"/>
      <c r="FMJ36" s="544"/>
      <c r="FMK36" s="545"/>
      <c r="FML36" s="545"/>
      <c r="FMM36" s="545"/>
      <c r="FMN36" s="545"/>
      <c r="FMO36" s="545"/>
      <c r="FMP36" s="545"/>
      <c r="FMQ36" s="544"/>
      <c r="FMR36" s="545"/>
      <c r="FMS36" s="545"/>
      <c r="FMT36" s="545"/>
      <c r="FMU36" s="545"/>
      <c r="FMV36" s="545"/>
      <c r="FMW36" s="545"/>
      <c r="FMX36" s="544"/>
      <c r="FMY36" s="545"/>
      <c r="FMZ36" s="545"/>
      <c r="FNA36" s="545"/>
      <c r="FNB36" s="545"/>
      <c r="FNC36" s="545"/>
      <c r="FND36" s="545"/>
      <c r="FNE36" s="544"/>
      <c r="FNF36" s="545"/>
      <c r="FNG36" s="545"/>
      <c r="FNH36" s="545"/>
      <c r="FNI36" s="545"/>
      <c r="FNJ36" s="545"/>
      <c r="FNK36" s="545"/>
      <c r="FNL36" s="544"/>
      <c r="FNM36" s="545"/>
      <c r="FNN36" s="545"/>
      <c r="FNO36" s="545"/>
      <c r="FNP36" s="545"/>
      <c r="FNQ36" s="545"/>
      <c r="FNR36" s="545"/>
      <c r="FNS36" s="544"/>
      <c r="FNT36" s="545"/>
      <c r="FNU36" s="545"/>
      <c r="FNV36" s="545"/>
      <c r="FNW36" s="545"/>
      <c r="FNX36" s="545"/>
      <c r="FNY36" s="545"/>
      <c r="FNZ36" s="544"/>
      <c r="FOA36" s="545"/>
      <c r="FOB36" s="545"/>
      <c r="FOC36" s="545"/>
      <c r="FOD36" s="545"/>
      <c r="FOE36" s="545"/>
      <c r="FOF36" s="545"/>
      <c r="FOG36" s="544"/>
      <c r="FOH36" s="545"/>
      <c r="FOI36" s="545"/>
      <c r="FOJ36" s="545"/>
      <c r="FOK36" s="545"/>
      <c r="FOL36" s="545"/>
      <c r="FOM36" s="545"/>
      <c r="FON36" s="544"/>
      <c r="FOO36" s="545"/>
      <c r="FOP36" s="545"/>
      <c r="FOQ36" s="545"/>
      <c r="FOR36" s="545"/>
      <c r="FOS36" s="545"/>
      <c r="FOT36" s="545"/>
      <c r="FOU36" s="544"/>
      <c r="FOV36" s="545"/>
      <c r="FOW36" s="545"/>
      <c r="FOX36" s="545"/>
      <c r="FOY36" s="545"/>
      <c r="FOZ36" s="545"/>
      <c r="FPA36" s="545"/>
      <c r="FPB36" s="544"/>
      <c r="FPC36" s="545"/>
      <c r="FPD36" s="545"/>
      <c r="FPE36" s="545"/>
      <c r="FPF36" s="545"/>
      <c r="FPG36" s="545"/>
      <c r="FPH36" s="545"/>
      <c r="FPI36" s="544"/>
      <c r="FPJ36" s="545"/>
      <c r="FPK36" s="545"/>
      <c r="FPL36" s="545"/>
      <c r="FPM36" s="545"/>
      <c r="FPN36" s="545"/>
      <c r="FPO36" s="545"/>
      <c r="FPP36" s="544"/>
      <c r="FPQ36" s="545"/>
      <c r="FPR36" s="545"/>
      <c r="FPS36" s="545"/>
      <c r="FPT36" s="545"/>
      <c r="FPU36" s="545"/>
      <c r="FPV36" s="545"/>
      <c r="FPW36" s="544"/>
      <c r="FPX36" s="545"/>
      <c r="FPY36" s="545"/>
      <c r="FPZ36" s="545"/>
      <c r="FQA36" s="545"/>
      <c r="FQB36" s="545"/>
      <c r="FQC36" s="545"/>
      <c r="FQD36" s="544"/>
      <c r="FQE36" s="545"/>
      <c r="FQF36" s="545"/>
      <c r="FQG36" s="545"/>
      <c r="FQH36" s="545"/>
      <c r="FQI36" s="545"/>
      <c r="FQJ36" s="545"/>
      <c r="FQK36" s="544"/>
      <c r="FQL36" s="545"/>
      <c r="FQM36" s="545"/>
      <c r="FQN36" s="545"/>
      <c r="FQO36" s="545"/>
      <c r="FQP36" s="545"/>
      <c r="FQQ36" s="545"/>
      <c r="FQR36" s="544"/>
      <c r="FQS36" s="545"/>
      <c r="FQT36" s="545"/>
      <c r="FQU36" s="545"/>
      <c r="FQV36" s="545"/>
      <c r="FQW36" s="545"/>
      <c r="FQX36" s="545"/>
      <c r="FQY36" s="544"/>
      <c r="FQZ36" s="545"/>
      <c r="FRA36" s="545"/>
      <c r="FRB36" s="545"/>
      <c r="FRC36" s="545"/>
      <c r="FRD36" s="545"/>
      <c r="FRE36" s="545"/>
      <c r="FRF36" s="544"/>
      <c r="FRG36" s="545"/>
      <c r="FRH36" s="545"/>
      <c r="FRI36" s="545"/>
      <c r="FRJ36" s="545"/>
      <c r="FRK36" s="545"/>
      <c r="FRL36" s="545"/>
      <c r="FRM36" s="544"/>
      <c r="FRN36" s="545"/>
      <c r="FRO36" s="545"/>
      <c r="FRP36" s="545"/>
      <c r="FRQ36" s="545"/>
      <c r="FRR36" s="545"/>
      <c r="FRS36" s="545"/>
      <c r="FRT36" s="544"/>
      <c r="FRU36" s="545"/>
      <c r="FRV36" s="545"/>
      <c r="FRW36" s="545"/>
      <c r="FRX36" s="545"/>
      <c r="FRY36" s="545"/>
      <c r="FRZ36" s="545"/>
      <c r="FSA36" s="544"/>
      <c r="FSB36" s="545"/>
      <c r="FSC36" s="545"/>
      <c r="FSD36" s="545"/>
      <c r="FSE36" s="545"/>
      <c r="FSF36" s="545"/>
      <c r="FSG36" s="545"/>
      <c r="FSH36" s="544"/>
      <c r="FSI36" s="545"/>
      <c r="FSJ36" s="545"/>
      <c r="FSK36" s="545"/>
      <c r="FSL36" s="545"/>
      <c r="FSM36" s="545"/>
      <c r="FSN36" s="545"/>
      <c r="FSO36" s="544"/>
      <c r="FSP36" s="545"/>
      <c r="FSQ36" s="545"/>
      <c r="FSR36" s="545"/>
      <c r="FSS36" s="545"/>
      <c r="FST36" s="545"/>
      <c r="FSU36" s="545"/>
      <c r="FSV36" s="544"/>
      <c r="FSW36" s="545"/>
      <c r="FSX36" s="545"/>
      <c r="FSY36" s="545"/>
      <c r="FSZ36" s="545"/>
      <c r="FTA36" s="545"/>
      <c r="FTB36" s="545"/>
      <c r="FTC36" s="544"/>
      <c r="FTD36" s="545"/>
      <c r="FTE36" s="545"/>
      <c r="FTF36" s="545"/>
      <c r="FTG36" s="545"/>
      <c r="FTH36" s="545"/>
      <c r="FTI36" s="545"/>
      <c r="FTJ36" s="544"/>
      <c r="FTK36" s="545"/>
      <c r="FTL36" s="545"/>
      <c r="FTM36" s="545"/>
      <c r="FTN36" s="545"/>
      <c r="FTO36" s="545"/>
      <c r="FTP36" s="545"/>
      <c r="FTQ36" s="544"/>
      <c r="FTR36" s="545"/>
      <c r="FTS36" s="545"/>
      <c r="FTT36" s="545"/>
      <c r="FTU36" s="545"/>
      <c r="FTV36" s="545"/>
      <c r="FTW36" s="545"/>
      <c r="FTX36" s="544"/>
      <c r="FTY36" s="545"/>
      <c r="FTZ36" s="545"/>
      <c r="FUA36" s="545"/>
      <c r="FUB36" s="545"/>
      <c r="FUC36" s="545"/>
      <c r="FUD36" s="545"/>
      <c r="FUE36" s="544"/>
      <c r="FUF36" s="545"/>
      <c r="FUG36" s="545"/>
      <c r="FUH36" s="545"/>
      <c r="FUI36" s="545"/>
      <c r="FUJ36" s="545"/>
      <c r="FUK36" s="545"/>
      <c r="FUL36" s="544"/>
      <c r="FUM36" s="545"/>
      <c r="FUN36" s="545"/>
      <c r="FUO36" s="545"/>
      <c r="FUP36" s="545"/>
      <c r="FUQ36" s="545"/>
      <c r="FUR36" s="545"/>
      <c r="FUS36" s="544"/>
      <c r="FUT36" s="545"/>
      <c r="FUU36" s="545"/>
      <c r="FUV36" s="545"/>
      <c r="FUW36" s="545"/>
      <c r="FUX36" s="545"/>
      <c r="FUY36" s="545"/>
      <c r="FUZ36" s="544"/>
      <c r="FVA36" s="545"/>
      <c r="FVB36" s="545"/>
      <c r="FVC36" s="545"/>
      <c r="FVD36" s="545"/>
      <c r="FVE36" s="545"/>
      <c r="FVF36" s="545"/>
      <c r="FVG36" s="544"/>
      <c r="FVH36" s="545"/>
      <c r="FVI36" s="545"/>
      <c r="FVJ36" s="545"/>
      <c r="FVK36" s="545"/>
      <c r="FVL36" s="545"/>
      <c r="FVM36" s="545"/>
      <c r="FVN36" s="544"/>
      <c r="FVO36" s="545"/>
      <c r="FVP36" s="545"/>
      <c r="FVQ36" s="545"/>
      <c r="FVR36" s="545"/>
      <c r="FVS36" s="545"/>
      <c r="FVT36" s="545"/>
      <c r="FVU36" s="544"/>
      <c r="FVV36" s="545"/>
      <c r="FVW36" s="545"/>
      <c r="FVX36" s="545"/>
      <c r="FVY36" s="545"/>
      <c r="FVZ36" s="545"/>
      <c r="FWA36" s="545"/>
      <c r="FWB36" s="544"/>
      <c r="FWC36" s="545"/>
      <c r="FWD36" s="545"/>
      <c r="FWE36" s="545"/>
      <c r="FWF36" s="545"/>
      <c r="FWG36" s="545"/>
      <c r="FWH36" s="545"/>
      <c r="FWI36" s="544"/>
      <c r="FWJ36" s="545"/>
      <c r="FWK36" s="545"/>
      <c r="FWL36" s="545"/>
      <c r="FWM36" s="545"/>
      <c r="FWN36" s="545"/>
      <c r="FWO36" s="545"/>
      <c r="FWP36" s="544"/>
      <c r="FWQ36" s="545"/>
      <c r="FWR36" s="545"/>
      <c r="FWS36" s="545"/>
      <c r="FWT36" s="545"/>
      <c r="FWU36" s="545"/>
      <c r="FWV36" s="545"/>
      <c r="FWW36" s="544"/>
      <c r="FWX36" s="545"/>
      <c r="FWY36" s="545"/>
      <c r="FWZ36" s="545"/>
      <c r="FXA36" s="545"/>
      <c r="FXB36" s="545"/>
      <c r="FXC36" s="545"/>
      <c r="FXD36" s="544"/>
      <c r="FXE36" s="545"/>
      <c r="FXF36" s="545"/>
      <c r="FXG36" s="545"/>
      <c r="FXH36" s="545"/>
      <c r="FXI36" s="545"/>
      <c r="FXJ36" s="545"/>
      <c r="FXK36" s="544"/>
      <c r="FXL36" s="545"/>
      <c r="FXM36" s="545"/>
      <c r="FXN36" s="545"/>
      <c r="FXO36" s="545"/>
      <c r="FXP36" s="545"/>
      <c r="FXQ36" s="545"/>
      <c r="FXR36" s="544"/>
      <c r="FXS36" s="545"/>
      <c r="FXT36" s="545"/>
      <c r="FXU36" s="545"/>
      <c r="FXV36" s="545"/>
      <c r="FXW36" s="545"/>
      <c r="FXX36" s="545"/>
      <c r="FXY36" s="544"/>
      <c r="FXZ36" s="545"/>
      <c r="FYA36" s="545"/>
      <c r="FYB36" s="545"/>
      <c r="FYC36" s="545"/>
      <c r="FYD36" s="545"/>
      <c r="FYE36" s="545"/>
      <c r="FYF36" s="544"/>
      <c r="FYG36" s="545"/>
      <c r="FYH36" s="545"/>
      <c r="FYI36" s="545"/>
      <c r="FYJ36" s="545"/>
      <c r="FYK36" s="545"/>
      <c r="FYL36" s="545"/>
      <c r="FYM36" s="544"/>
      <c r="FYN36" s="545"/>
      <c r="FYO36" s="545"/>
      <c r="FYP36" s="545"/>
      <c r="FYQ36" s="545"/>
      <c r="FYR36" s="545"/>
      <c r="FYS36" s="545"/>
      <c r="FYT36" s="544"/>
      <c r="FYU36" s="545"/>
      <c r="FYV36" s="545"/>
      <c r="FYW36" s="545"/>
      <c r="FYX36" s="545"/>
      <c r="FYY36" s="545"/>
      <c r="FYZ36" s="545"/>
      <c r="FZA36" s="544"/>
      <c r="FZB36" s="545"/>
      <c r="FZC36" s="545"/>
      <c r="FZD36" s="545"/>
      <c r="FZE36" s="545"/>
      <c r="FZF36" s="545"/>
      <c r="FZG36" s="545"/>
      <c r="FZH36" s="544"/>
      <c r="FZI36" s="545"/>
      <c r="FZJ36" s="545"/>
      <c r="FZK36" s="545"/>
      <c r="FZL36" s="545"/>
      <c r="FZM36" s="545"/>
      <c r="FZN36" s="545"/>
      <c r="FZO36" s="544"/>
      <c r="FZP36" s="545"/>
      <c r="FZQ36" s="545"/>
      <c r="FZR36" s="545"/>
      <c r="FZS36" s="545"/>
      <c r="FZT36" s="545"/>
      <c r="FZU36" s="545"/>
      <c r="FZV36" s="544"/>
      <c r="FZW36" s="545"/>
      <c r="FZX36" s="545"/>
      <c r="FZY36" s="545"/>
      <c r="FZZ36" s="545"/>
      <c r="GAA36" s="545"/>
      <c r="GAB36" s="545"/>
      <c r="GAC36" s="544"/>
      <c r="GAD36" s="545"/>
      <c r="GAE36" s="545"/>
      <c r="GAF36" s="545"/>
      <c r="GAG36" s="545"/>
      <c r="GAH36" s="545"/>
      <c r="GAI36" s="545"/>
      <c r="GAJ36" s="544"/>
      <c r="GAK36" s="545"/>
      <c r="GAL36" s="545"/>
      <c r="GAM36" s="545"/>
      <c r="GAN36" s="545"/>
      <c r="GAO36" s="545"/>
      <c r="GAP36" s="545"/>
      <c r="GAQ36" s="544"/>
      <c r="GAR36" s="545"/>
      <c r="GAS36" s="545"/>
      <c r="GAT36" s="545"/>
      <c r="GAU36" s="545"/>
      <c r="GAV36" s="545"/>
      <c r="GAW36" s="545"/>
      <c r="GAX36" s="544"/>
      <c r="GAY36" s="545"/>
      <c r="GAZ36" s="545"/>
      <c r="GBA36" s="545"/>
      <c r="GBB36" s="545"/>
      <c r="GBC36" s="545"/>
      <c r="GBD36" s="545"/>
      <c r="GBE36" s="544"/>
      <c r="GBF36" s="545"/>
      <c r="GBG36" s="545"/>
      <c r="GBH36" s="545"/>
      <c r="GBI36" s="545"/>
      <c r="GBJ36" s="545"/>
      <c r="GBK36" s="545"/>
      <c r="GBL36" s="544"/>
      <c r="GBM36" s="545"/>
      <c r="GBN36" s="545"/>
      <c r="GBO36" s="545"/>
      <c r="GBP36" s="545"/>
      <c r="GBQ36" s="545"/>
      <c r="GBR36" s="545"/>
      <c r="GBS36" s="544"/>
      <c r="GBT36" s="545"/>
      <c r="GBU36" s="545"/>
      <c r="GBV36" s="545"/>
      <c r="GBW36" s="545"/>
      <c r="GBX36" s="545"/>
      <c r="GBY36" s="545"/>
      <c r="GBZ36" s="544"/>
      <c r="GCA36" s="545"/>
      <c r="GCB36" s="545"/>
      <c r="GCC36" s="545"/>
      <c r="GCD36" s="545"/>
      <c r="GCE36" s="545"/>
      <c r="GCF36" s="545"/>
      <c r="GCG36" s="544"/>
      <c r="GCH36" s="545"/>
      <c r="GCI36" s="545"/>
      <c r="GCJ36" s="545"/>
      <c r="GCK36" s="545"/>
      <c r="GCL36" s="545"/>
      <c r="GCM36" s="545"/>
      <c r="GCN36" s="544"/>
      <c r="GCO36" s="545"/>
      <c r="GCP36" s="545"/>
      <c r="GCQ36" s="545"/>
      <c r="GCR36" s="545"/>
      <c r="GCS36" s="545"/>
      <c r="GCT36" s="545"/>
      <c r="GCU36" s="544"/>
      <c r="GCV36" s="545"/>
      <c r="GCW36" s="545"/>
      <c r="GCX36" s="545"/>
      <c r="GCY36" s="545"/>
      <c r="GCZ36" s="545"/>
      <c r="GDA36" s="545"/>
      <c r="GDB36" s="544"/>
      <c r="GDC36" s="545"/>
      <c r="GDD36" s="545"/>
      <c r="GDE36" s="545"/>
      <c r="GDF36" s="545"/>
      <c r="GDG36" s="545"/>
      <c r="GDH36" s="545"/>
      <c r="GDI36" s="544"/>
      <c r="GDJ36" s="545"/>
      <c r="GDK36" s="545"/>
      <c r="GDL36" s="545"/>
      <c r="GDM36" s="545"/>
      <c r="GDN36" s="545"/>
      <c r="GDO36" s="545"/>
      <c r="GDP36" s="544"/>
      <c r="GDQ36" s="545"/>
      <c r="GDR36" s="545"/>
      <c r="GDS36" s="545"/>
      <c r="GDT36" s="545"/>
      <c r="GDU36" s="545"/>
      <c r="GDV36" s="545"/>
      <c r="GDW36" s="544"/>
      <c r="GDX36" s="545"/>
      <c r="GDY36" s="545"/>
      <c r="GDZ36" s="545"/>
      <c r="GEA36" s="545"/>
      <c r="GEB36" s="545"/>
      <c r="GEC36" s="545"/>
      <c r="GED36" s="544"/>
      <c r="GEE36" s="545"/>
      <c r="GEF36" s="545"/>
      <c r="GEG36" s="545"/>
      <c r="GEH36" s="545"/>
      <c r="GEI36" s="545"/>
      <c r="GEJ36" s="545"/>
      <c r="GEK36" s="544"/>
      <c r="GEL36" s="545"/>
      <c r="GEM36" s="545"/>
      <c r="GEN36" s="545"/>
      <c r="GEO36" s="545"/>
      <c r="GEP36" s="545"/>
      <c r="GEQ36" s="545"/>
      <c r="GER36" s="544"/>
      <c r="GES36" s="545"/>
      <c r="GET36" s="545"/>
      <c r="GEU36" s="545"/>
      <c r="GEV36" s="545"/>
      <c r="GEW36" s="545"/>
      <c r="GEX36" s="545"/>
      <c r="GEY36" s="544"/>
      <c r="GEZ36" s="545"/>
      <c r="GFA36" s="545"/>
      <c r="GFB36" s="545"/>
      <c r="GFC36" s="545"/>
      <c r="GFD36" s="545"/>
      <c r="GFE36" s="545"/>
      <c r="GFF36" s="544"/>
      <c r="GFG36" s="545"/>
      <c r="GFH36" s="545"/>
      <c r="GFI36" s="545"/>
      <c r="GFJ36" s="545"/>
      <c r="GFK36" s="545"/>
      <c r="GFL36" s="545"/>
      <c r="GFM36" s="544"/>
      <c r="GFN36" s="545"/>
      <c r="GFO36" s="545"/>
      <c r="GFP36" s="545"/>
      <c r="GFQ36" s="545"/>
      <c r="GFR36" s="545"/>
      <c r="GFS36" s="545"/>
      <c r="GFT36" s="544"/>
      <c r="GFU36" s="545"/>
      <c r="GFV36" s="545"/>
      <c r="GFW36" s="545"/>
      <c r="GFX36" s="545"/>
      <c r="GFY36" s="545"/>
      <c r="GFZ36" s="545"/>
      <c r="GGA36" s="544"/>
      <c r="GGB36" s="545"/>
      <c r="GGC36" s="545"/>
      <c r="GGD36" s="545"/>
      <c r="GGE36" s="545"/>
      <c r="GGF36" s="545"/>
      <c r="GGG36" s="545"/>
      <c r="GGH36" s="544"/>
      <c r="GGI36" s="545"/>
      <c r="GGJ36" s="545"/>
      <c r="GGK36" s="545"/>
      <c r="GGL36" s="545"/>
      <c r="GGM36" s="545"/>
      <c r="GGN36" s="545"/>
      <c r="GGO36" s="544"/>
      <c r="GGP36" s="545"/>
      <c r="GGQ36" s="545"/>
      <c r="GGR36" s="545"/>
      <c r="GGS36" s="545"/>
      <c r="GGT36" s="545"/>
      <c r="GGU36" s="545"/>
      <c r="GGV36" s="544"/>
      <c r="GGW36" s="545"/>
      <c r="GGX36" s="545"/>
      <c r="GGY36" s="545"/>
      <c r="GGZ36" s="545"/>
      <c r="GHA36" s="545"/>
      <c r="GHB36" s="545"/>
      <c r="GHC36" s="544"/>
      <c r="GHD36" s="545"/>
      <c r="GHE36" s="545"/>
      <c r="GHF36" s="545"/>
      <c r="GHG36" s="545"/>
      <c r="GHH36" s="545"/>
      <c r="GHI36" s="545"/>
      <c r="GHJ36" s="544"/>
      <c r="GHK36" s="545"/>
      <c r="GHL36" s="545"/>
      <c r="GHM36" s="545"/>
      <c r="GHN36" s="545"/>
      <c r="GHO36" s="545"/>
      <c r="GHP36" s="545"/>
      <c r="GHQ36" s="544"/>
      <c r="GHR36" s="545"/>
      <c r="GHS36" s="545"/>
      <c r="GHT36" s="545"/>
      <c r="GHU36" s="545"/>
      <c r="GHV36" s="545"/>
      <c r="GHW36" s="545"/>
      <c r="GHX36" s="544"/>
      <c r="GHY36" s="545"/>
      <c r="GHZ36" s="545"/>
      <c r="GIA36" s="545"/>
      <c r="GIB36" s="545"/>
      <c r="GIC36" s="545"/>
      <c r="GID36" s="545"/>
      <c r="GIE36" s="544"/>
      <c r="GIF36" s="545"/>
      <c r="GIG36" s="545"/>
      <c r="GIH36" s="545"/>
      <c r="GII36" s="545"/>
      <c r="GIJ36" s="545"/>
      <c r="GIK36" s="545"/>
      <c r="GIL36" s="544"/>
      <c r="GIM36" s="545"/>
      <c r="GIN36" s="545"/>
      <c r="GIO36" s="545"/>
      <c r="GIP36" s="545"/>
      <c r="GIQ36" s="545"/>
      <c r="GIR36" s="545"/>
      <c r="GIS36" s="544"/>
      <c r="GIT36" s="545"/>
      <c r="GIU36" s="545"/>
      <c r="GIV36" s="545"/>
      <c r="GIW36" s="545"/>
      <c r="GIX36" s="545"/>
      <c r="GIY36" s="545"/>
      <c r="GIZ36" s="544"/>
      <c r="GJA36" s="545"/>
      <c r="GJB36" s="545"/>
      <c r="GJC36" s="545"/>
      <c r="GJD36" s="545"/>
      <c r="GJE36" s="545"/>
      <c r="GJF36" s="545"/>
      <c r="GJG36" s="544"/>
      <c r="GJH36" s="545"/>
      <c r="GJI36" s="545"/>
      <c r="GJJ36" s="545"/>
      <c r="GJK36" s="545"/>
      <c r="GJL36" s="545"/>
      <c r="GJM36" s="545"/>
      <c r="GJN36" s="544"/>
      <c r="GJO36" s="545"/>
      <c r="GJP36" s="545"/>
      <c r="GJQ36" s="545"/>
      <c r="GJR36" s="545"/>
      <c r="GJS36" s="545"/>
      <c r="GJT36" s="545"/>
      <c r="GJU36" s="544"/>
      <c r="GJV36" s="545"/>
      <c r="GJW36" s="545"/>
      <c r="GJX36" s="545"/>
      <c r="GJY36" s="545"/>
      <c r="GJZ36" s="545"/>
      <c r="GKA36" s="545"/>
      <c r="GKB36" s="544"/>
      <c r="GKC36" s="545"/>
      <c r="GKD36" s="545"/>
      <c r="GKE36" s="545"/>
      <c r="GKF36" s="545"/>
      <c r="GKG36" s="545"/>
      <c r="GKH36" s="545"/>
      <c r="GKI36" s="544"/>
      <c r="GKJ36" s="545"/>
      <c r="GKK36" s="545"/>
      <c r="GKL36" s="545"/>
      <c r="GKM36" s="545"/>
      <c r="GKN36" s="545"/>
      <c r="GKO36" s="545"/>
      <c r="GKP36" s="544"/>
      <c r="GKQ36" s="545"/>
      <c r="GKR36" s="545"/>
      <c r="GKS36" s="545"/>
      <c r="GKT36" s="545"/>
      <c r="GKU36" s="545"/>
      <c r="GKV36" s="545"/>
      <c r="GKW36" s="544"/>
      <c r="GKX36" s="545"/>
      <c r="GKY36" s="545"/>
      <c r="GKZ36" s="545"/>
      <c r="GLA36" s="545"/>
      <c r="GLB36" s="545"/>
      <c r="GLC36" s="545"/>
      <c r="GLD36" s="544"/>
      <c r="GLE36" s="545"/>
      <c r="GLF36" s="545"/>
      <c r="GLG36" s="545"/>
      <c r="GLH36" s="545"/>
      <c r="GLI36" s="545"/>
      <c r="GLJ36" s="545"/>
      <c r="GLK36" s="544"/>
      <c r="GLL36" s="545"/>
      <c r="GLM36" s="545"/>
      <c r="GLN36" s="545"/>
      <c r="GLO36" s="545"/>
      <c r="GLP36" s="545"/>
      <c r="GLQ36" s="545"/>
      <c r="GLR36" s="544"/>
      <c r="GLS36" s="545"/>
      <c r="GLT36" s="545"/>
      <c r="GLU36" s="545"/>
      <c r="GLV36" s="545"/>
      <c r="GLW36" s="545"/>
      <c r="GLX36" s="545"/>
      <c r="GLY36" s="544"/>
      <c r="GLZ36" s="545"/>
      <c r="GMA36" s="545"/>
      <c r="GMB36" s="545"/>
      <c r="GMC36" s="545"/>
      <c r="GMD36" s="545"/>
      <c r="GME36" s="545"/>
      <c r="GMF36" s="544"/>
      <c r="GMG36" s="545"/>
      <c r="GMH36" s="545"/>
      <c r="GMI36" s="545"/>
      <c r="GMJ36" s="545"/>
      <c r="GMK36" s="545"/>
      <c r="GML36" s="545"/>
      <c r="GMM36" s="544"/>
      <c r="GMN36" s="545"/>
      <c r="GMO36" s="545"/>
      <c r="GMP36" s="545"/>
      <c r="GMQ36" s="545"/>
      <c r="GMR36" s="545"/>
      <c r="GMS36" s="545"/>
      <c r="GMT36" s="544"/>
      <c r="GMU36" s="545"/>
      <c r="GMV36" s="545"/>
      <c r="GMW36" s="545"/>
      <c r="GMX36" s="545"/>
      <c r="GMY36" s="545"/>
      <c r="GMZ36" s="545"/>
      <c r="GNA36" s="544"/>
      <c r="GNB36" s="545"/>
      <c r="GNC36" s="545"/>
      <c r="GND36" s="545"/>
      <c r="GNE36" s="545"/>
      <c r="GNF36" s="545"/>
      <c r="GNG36" s="545"/>
      <c r="GNH36" s="544"/>
      <c r="GNI36" s="545"/>
      <c r="GNJ36" s="545"/>
      <c r="GNK36" s="545"/>
      <c r="GNL36" s="545"/>
      <c r="GNM36" s="545"/>
      <c r="GNN36" s="545"/>
      <c r="GNO36" s="544"/>
      <c r="GNP36" s="545"/>
      <c r="GNQ36" s="545"/>
      <c r="GNR36" s="545"/>
      <c r="GNS36" s="545"/>
      <c r="GNT36" s="545"/>
      <c r="GNU36" s="545"/>
      <c r="GNV36" s="544"/>
      <c r="GNW36" s="545"/>
      <c r="GNX36" s="545"/>
      <c r="GNY36" s="545"/>
      <c r="GNZ36" s="545"/>
      <c r="GOA36" s="545"/>
      <c r="GOB36" s="545"/>
      <c r="GOC36" s="544"/>
      <c r="GOD36" s="545"/>
      <c r="GOE36" s="545"/>
      <c r="GOF36" s="545"/>
      <c r="GOG36" s="545"/>
      <c r="GOH36" s="545"/>
      <c r="GOI36" s="545"/>
      <c r="GOJ36" s="544"/>
      <c r="GOK36" s="545"/>
      <c r="GOL36" s="545"/>
      <c r="GOM36" s="545"/>
      <c r="GON36" s="545"/>
      <c r="GOO36" s="545"/>
      <c r="GOP36" s="545"/>
      <c r="GOQ36" s="544"/>
      <c r="GOR36" s="545"/>
      <c r="GOS36" s="545"/>
      <c r="GOT36" s="545"/>
      <c r="GOU36" s="545"/>
      <c r="GOV36" s="545"/>
      <c r="GOW36" s="545"/>
      <c r="GOX36" s="544"/>
      <c r="GOY36" s="545"/>
      <c r="GOZ36" s="545"/>
      <c r="GPA36" s="545"/>
      <c r="GPB36" s="545"/>
      <c r="GPC36" s="545"/>
      <c r="GPD36" s="545"/>
      <c r="GPE36" s="544"/>
      <c r="GPF36" s="545"/>
      <c r="GPG36" s="545"/>
      <c r="GPH36" s="545"/>
      <c r="GPI36" s="545"/>
      <c r="GPJ36" s="545"/>
      <c r="GPK36" s="545"/>
      <c r="GPL36" s="544"/>
      <c r="GPM36" s="545"/>
      <c r="GPN36" s="545"/>
      <c r="GPO36" s="545"/>
      <c r="GPP36" s="545"/>
      <c r="GPQ36" s="545"/>
      <c r="GPR36" s="545"/>
      <c r="GPS36" s="544"/>
      <c r="GPT36" s="545"/>
      <c r="GPU36" s="545"/>
      <c r="GPV36" s="545"/>
      <c r="GPW36" s="545"/>
      <c r="GPX36" s="545"/>
      <c r="GPY36" s="545"/>
      <c r="GPZ36" s="544"/>
      <c r="GQA36" s="545"/>
      <c r="GQB36" s="545"/>
      <c r="GQC36" s="545"/>
      <c r="GQD36" s="545"/>
      <c r="GQE36" s="545"/>
      <c r="GQF36" s="545"/>
      <c r="GQG36" s="544"/>
      <c r="GQH36" s="545"/>
      <c r="GQI36" s="545"/>
      <c r="GQJ36" s="545"/>
      <c r="GQK36" s="545"/>
      <c r="GQL36" s="545"/>
      <c r="GQM36" s="545"/>
      <c r="GQN36" s="544"/>
      <c r="GQO36" s="545"/>
      <c r="GQP36" s="545"/>
      <c r="GQQ36" s="545"/>
      <c r="GQR36" s="545"/>
      <c r="GQS36" s="545"/>
      <c r="GQT36" s="545"/>
      <c r="GQU36" s="544"/>
      <c r="GQV36" s="545"/>
      <c r="GQW36" s="545"/>
      <c r="GQX36" s="545"/>
      <c r="GQY36" s="545"/>
      <c r="GQZ36" s="545"/>
      <c r="GRA36" s="545"/>
      <c r="GRB36" s="544"/>
      <c r="GRC36" s="545"/>
      <c r="GRD36" s="545"/>
      <c r="GRE36" s="545"/>
      <c r="GRF36" s="545"/>
      <c r="GRG36" s="545"/>
      <c r="GRH36" s="545"/>
      <c r="GRI36" s="544"/>
      <c r="GRJ36" s="545"/>
      <c r="GRK36" s="545"/>
      <c r="GRL36" s="545"/>
      <c r="GRM36" s="545"/>
      <c r="GRN36" s="545"/>
      <c r="GRO36" s="545"/>
      <c r="GRP36" s="544"/>
      <c r="GRQ36" s="545"/>
      <c r="GRR36" s="545"/>
      <c r="GRS36" s="545"/>
      <c r="GRT36" s="545"/>
      <c r="GRU36" s="545"/>
      <c r="GRV36" s="545"/>
      <c r="GRW36" s="544"/>
      <c r="GRX36" s="545"/>
      <c r="GRY36" s="545"/>
      <c r="GRZ36" s="545"/>
      <c r="GSA36" s="545"/>
      <c r="GSB36" s="545"/>
      <c r="GSC36" s="545"/>
      <c r="GSD36" s="544"/>
      <c r="GSE36" s="545"/>
      <c r="GSF36" s="545"/>
      <c r="GSG36" s="545"/>
      <c r="GSH36" s="545"/>
      <c r="GSI36" s="545"/>
      <c r="GSJ36" s="545"/>
      <c r="GSK36" s="544"/>
      <c r="GSL36" s="545"/>
      <c r="GSM36" s="545"/>
      <c r="GSN36" s="545"/>
      <c r="GSO36" s="545"/>
      <c r="GSP36" s="545"/>
      <c r="GSQ36" s="545"/>
      <c r="GSR36" s="544"/>
      <c r="GSS36" s="545"/>
      <c r="GST36" s="545"/>
      <c r="GSU36" s="545"/>
      <c r="GSV36" s="545"/>
      <c r="GSW36" s="545"/>
      <c r="GSX36" s="545"/>
      <c r="GSY36" s="544"/>
      <c r="GSZ36" s="545"/>
      <c r="GTA36" s="545"/>
      <c r="GTB36" s="545"/>
      <c r="GTC36" s="545"/>
      <c r="GTD36" s="545"/>
      <c r="GTE36" s="545"/>
      <c r="GTF36" s="544"/>
      <c r="GTG36" s="545"/>
      <c r="GTH36" s="545"/>
      <c r="GTI36" s="545"/>
      <c r="GTJ36" s="545"/>
      <c r="GTK36" s="545"/>
      <c r="GTL36" s="545"/>
      <c r="GTM36" s="544"/>
      <c r="GTN36" s="545"/>
      <c r="GTO36" s="545"/>
      <c r="GTP36" s="545"/>
      <c r="GTQ36" s="545"/>
      <c r="GTR36" s="545"/>
      <c r="GTS36" s="545"/>
      <c r="GTT36" s="544"/>
      <c r="GTU36" s="545"/>
      <c r="GTV36" s="545"/>
      <c r="GTW36" s="545"/>
      <c r="GTX36" s="545"/>
      <c r="GTY36" s="545"/>
      <c r="GTZ36" s="545"/>
      <c r="GUA36" s="544"/>
      <c r="GUB36" s="545"/>
      <c r="GUC36" s="545"/>
      <c r="GUD36" s="545"/>
      <c r="GUE36" s="545"/>
      <c r="GUF36" s="545"/>
      <c r="GUG36" s="545"/>
      <c r="GUH36" s="544"/>
      <c r="GUI36" s="545"/>
      <c r="GUJ36" s="545"/>
      <c r="GUK36" s="545"/>
      <c r="GUL36" s="545"/>
      <c r="GUM36" s="545"/>
      <c r="GUN36" s="545"/>
      <c r="GUO36" s="544"/>
      <c r="GUP36" s="545"/>
      <c r="GUQ36" s="545"/>
      <c r="GUR36" s="545"/>
      <c r="GUS36" s="545"/>
      <c r="GUT36" s="545"/>
      <c r="GUU36" s="545"/>
      <c r="GUV36" s="544"/>
      <c r="GUW36" s="545"/>
      <c r="GUX36" s="545"/>
      <c r="GUY36" s="545"/>
      <c r="GUZ36" s="545"/>
      <c r="GVA36" s="545"/>
      <c r="GVB36" s="545"/>
      <c r="GVC36" s="544"/>
      <c r="GVD36" s="545"/>
      <c r="GVE36" s="545"/>
      <c r="GVF36" s="545"/>
      <c r="GVG36" s="545"/>
      <c r="GVH36" s="545"/>
      <c r="GVI36" s="545"/>
      <c r="GVJ36" s="544"/>
      <c r="GVK36" s="545"/>
      <c r="GVL36" s="545"/>
      <c r="GVM36" s="545"/>
      <c r="GVN36" s="545"/>
      <c r="GVO36" s="545"/>
      <c r="GVP36" s="545"/>
      <c r="GVQ36" s="544"/>
      <c r="GVR36" s="545"/>
      <c r="GVS36" s="545"/>
      <c r="GVT36" s="545"/>
      <c r="GVU36" s="545"/>
      <c r="GVV36" s="545"/>
      <c r="GVW36" s="545"/>
      <c r="GVX36" s="544"/>
      <c r="GVY36" s="545"/>
      <c r="GVZ36" s="545"/>
      <c r="GWA36" s="545"/>
      <c r="GWB36" s="545"/>
      <c r="GWC36" s="545"/>
      <c r="GWD36" s="545"/>
      <c r="GWE36" s="544"/>
      <c r="GWF36" s="545"/>
      <c r="GWG36" s="545"/>
      <c r="GWH36" s="545"/>
      <c r="GWI36" s="545"/>
      <c r="GWJ36" s="545"/>
      <c r="GWK36" s="545"/>
      <c r="GWL36" s="544"/>
      <c r="GWM36" s="545"/>
      <c r="GWN36" s="545"/>
      <c r="GWO36" s="545"/>
      <c r="GWP36" s="545"/>
      <c r="GWQ36" s="545"/>
      <c r="GWR36" s="545"/>
      <c r="GWS36" s="544"/>
      <c r="GWT36" s="545"/>
      <c r="GWU36" s="545"/>
      <c r="GWV36" s="545"/>
      <c r="GWW36" s="545"/>
      <c r="GWX36" s="545"/>
      <c r="GWY36" s="545"/>
      <c r="GWZ36" s="544"/>
      <c r="GXA36" s="545"/>
      <c r="GXB36" s="545"/>
      <c r="GXC36" s="545"/>
      <c r="GXD36" s="545"/>
      <c r="GXE36" s="545"/>
      <c r="GXF36" s="545"/>
      <c r="GXG36" s="544"/>
      <c r="GXH36" s="545"/>
      <c r="GXI36" s="545"/>
      <c r="GXJ36" s="545"/>
      <c r="GXK36" s="545"/>
      <c r="GXL36" s="545"/>
      <c r="GXM36" s="545"/>
      <c r="GXN36" s="544"/>
      <c r="GXO36" s="545"/>
      <c r="GXP36" s="545"/>
      <c r="GXQ36" s="545"/>
      <c r="GXR36" s="545"/>
      <c r="GXS36" s="545"/>
      <c r="GXT36" s="545"/>
      <c r="GXU36" s="544"/>
      <c r="GXV36" s="545"/>
      <c r="GXW36" s="545"/>
      <c r="GXX36" s="545"/>
      <c r="GXY36" s="545"/>
      <c r="GXZ36" s="545"/>
      <c r="GYA36" s="545"/>
      <c r="GYB36" s="544"/>
      <c r="GYC36" s="545"/>
      <c r="GYD36" s="545"/>
      <c r="GYE36" s="545"/>
      <c r="GYF36" s="545"/>
      <c r="GYG36" s="545"/>
      <c r="GYH36" s="545"/>
      <c r="GYI36" s="544"/>
      <c r="GYJ36" s="545"/>
      <c r="GYK36" s="545"/>
      <c r="GYL36" s="545"/>
      <c r="GYM36" s="545"/>
      <c r="GYN36" s="545"/>
      <c r="GYO36" s="545"/>
      <c r="GYP36" s="544"/>
      <c r="GYQ36" s="545"/>
      <c r="GYR36" s="545"/>
      <c r="GYS36" s="545"/>
      <c r="GYT36" s="545"/>
      <c r="GYU36" s="545"/>
      <c r="GYV36" s="545"/>
      <c r="GYW36" s="544"/>
      <c r="GYX36" s="545"/>
      <c r="GYY36" s="545"/>
      <c r="GYZ36" s="545"/>
      <c r="GZA36" s="545"/>
      <c r="GZB36" s="545"/>
      <c r="GZC36" s="545"/>
      <c r="GZD36" s="544"/>
      <c r="GZE36" s="545"/>
      <c r="GZF36" s="545"/>
      <c r="GZG36" s="545"/>
      <c r="GZH36" s="545"/>
      <c r="GZI36" s="545"/>
      <c r="GZJ36" s="545"/>
      <c r="GZK36" s="544"/>
      <c r="GZL36" s="545"/>
      <c r="GZM36" s="545"/>
      <c r="GZN36" s="545"/>
      <c r="GZO36" s="545"/>
      <c r="GZP36" s="545"/>
      <c r="GZQ36" s="545"/>
      <c r="GZR36" s="544"/>
      <c r="GZS36" s="545"/>
      <c r="GZT36" s="545"/>
      <c r="GZU36" s="545"/>
      <c r="GZV36" s="545"/>
      <c r="GZW36" s="545"/>
      <c r="GZX36" s="545"/>
      <c r="GZY36" s="544"/>
      <c r="GZZ36" s="545"/>
      <c r="HAA36" s="545"/>
      <c r="HAB36" s="545"/>
      <c r="HAC36" s="545"/>
      <c r="HAD36" s="545"/>
      <c r="HAE36" s="545"/>
      <c r="HAF36" s="544"/>
      <c r="HAG36" s="545"/>
      <c r="HAH36" s="545"/>
      <c r="HAI36" s="545"/>
      <c r="HAJ36" s="545"/>
      <c r="HAK36" s="545"/>
      <c r="HAL36" s="545"/>
      <c r="HAM36" s="544"/>
      <c r="HAN36" s="545"/>
      <c r="HAO36" s="545"/>
      <c r="HAP36" s="545"/>
      <c r="HAQ36" s="545"/>
      <c r="HAR36" s="545"/>
      <c r="HAS36" s="545"/>
      <c r="HAT36" s="544"/>
      <c r="HAU36" s="545"/>
      <c r="HAV36" s="545"/>
      <c r="HAW36" s="545"/>
      <c r="HAX36" s="545"/>
      <c r="HAY36" s="545"/>
      <c r="HAZ36" s="545"/>
      <c r="HBA36" s="544"/>
      <c r="HBB36" s="545"/>
      <c r="HBC36" s="545"/>
      <c r="HBD36" s="545"/>
      <c r="HBE36" s="545"/>
      <c r="HBF36" s="545"/>
      <c r="HBG36" s="545"/>
      <c r="HBH36" s="544"/>
      <c r="HBI36" s="545"/>
      <c r="HBJ36" s="545"/>
      <c r="HBK36" s="545"/>
      <c r="HBL36" s="545"/>
      <c r="HBM36" s="545"/>
      <c r="HBN36" s="545"/>
      <c r="HBO36" s="544"/>
      <c r="HBP36" s="545"/>
      <c r="HBQ36" s="545"/>
      <c r="HBR36" s="545"/>
      <c r="HBS36" s="545"/>
      <c r="HBT36" s="545"/>
      <c r="HBU36" s="545"/>
      <c r="HBV36" s="544"/>
      <c r="HBW36" s="545"/>
      <c r="HBX36" s="545"/>
      <c r="HBY36" s="545"/>
      <c r="HBZ36" s="545"/>
      <c r="HCA36" s="545"/>
      <c r="HCB36" s="545"/>
      <c r="HCC36" s="544"/>
      <c r="HCD36" s="545"/>
      <c r="HCE36" s="545"/>
      <c r="HCF36" s="545"/>
      <c r="HCG36" s="545"/>
      <c r="HCH36" s="545"/>
      <c r="HCI36" s="545"/>
      <c r="HCJ36" s="544"/>
      <c r="HCK36" s="545"/>
      <c r="HCL36" s="545"/>
      <c r="HCM36" s="545"/>
      <c r="HCN36" s="545"/>
      <c r="HCO36" s="545"/>
      <c r="HCP36" s="545"/>
      <c r="HCQ36" s="544"/>
      <c r="HCR36" s="545"/>
      <c r="HCS36" s="545"/>
      <c r="HCT36" s="545"/>
      <c r="HCU36" s="545"/>
      <c r="HCV36" s="545"/>
      <c r="HCW36" s="545"/>
      <c r="HCX36" s="544"/>
      <c r="HCY36" s="545"/>
      <c r="HCZ36" s="545"/>
      <c r="HDA36" s="545"/>
      <c r="HDB36" s="545"/>
      <c r="HDC36" s="545"/>
      <c r="HDD36" s="545"/>
      <c r="HDE36" s="544"/>
      <c r="HDF36" s="545"/>
      <c r="HDG36" s="545"/>
      <c r="HDH36" s="545"/>
      <c r="HDI36" s="545"/>
      <c r="HDJ36" s="545"/>
      <c r="HDK36" s="545"/>
      <c r="HDL36" s="544"/>
      <c r="HDM36" s="545"/>
      <c r="HDN36" s="545"/>
      <c r="HDO36" s="545"/>
      <c r="HDP36" s="545"/>
      <c r="HDQ36" s="545"/>
      <c r="HDR36" s="545"/>
      <c r="HDS36" s="544"/>
      <c r="HDT36" s="545"/>
      <c r="HDU36" s="545"/>
      <c r="HDV36" s="545"/>
      <c r="HDW36" s="545"/>
      <c r="HDX36" s="545"/>
      <c r="HDY36" s="545"/>
      <c r="HDZ36" s="544"/>
      <c r="HEA36" s="545"/>
      <c r="HEB36" s="545"/>
      <c r="HEC36" s="545"/>
      <c r="HED36" s="545"/>
      <c r="HEE36" s="545"/>
      <c r="HEF36" s="545"/>
      <c r="HEG36" s="544"/>
      <c r="HEH36" s="545"/>
      <c r="HEI36" s="545"/>
      <c r="HEJ36" s="545"/>
      <c r="HEK36" s="545"/>
      <c r="HEL36" s="545"/>
      <c r="HEM36" s="545"/>
      <c r="HEN36" s="544"/>
      <c r="HEO36" s="545"/>
      <c r="HEP36" s="545"/>
      <c r="HEQ36" s="545"/>
      <c r="HER36" s="545"/>
      <c r="HES36" s="545"/>
      <c r="HET36" s="545"/>
      <c r="HEU36" s="544"/>
      <c r="HEV36" s="545"/>
      <c r="HEW36" s="545"/>
      <c r="HEX36" s="545"/>
      <c r="HEY36" s="545"/>
      <c r="HEZ36" s="545"/>
      <c r="HFA36" s="545"/>
      <c r="HFB36" s="544"/>
      <c r="HFC36" s="545"/>
      <c r="HFD36" s="545"/>
      <c r="HFE36" s="545"/>
      <c r="HFF36" s="545"/>
      <c r="HFG36" s="545"/>
      <c r="HFH36" s="545"/>
      <c r="HFI36" s="544"/>
      <c r="HFJ36" s="545"/>
      <c r="HFK36" s="545"/>
      <c r="HFL36" s="545"/>
      <c r="HFM36" s="545"/>
      <c r="HFN36" s="545"/>
      <c r="HFO36" s="545"/>
      <c r="HFP36" s="544"/>
      <c r="HFQ36" s="545"/>
      <c r="HFR36" s="545"/>
      <c r="HFS36" s="545"/>
      <c r="HFT36" s="545"/>
      <c r="HFU36" s="545"/>
      <c r="HFV36" s="545"/>
      <c r="HFW36" s="544"/>
      <c r="HFX36" s="545"/>
      <c r="HFY36" s="545"/>
      <c r="HFZ36" s="545"/>
      <c r="HGA36" s="545"/>
      <c r="HGB36" s="545"/>
      <c r="HGC36" s="545"/>
      <c r="HGD36" s="544"/>
      <c r="HGE36" s="545"/>
      <c r="HGF36" s="545"/>
      <c r="HGG36" s="545"/>
      <c r="HGH36" s="545"/>
      <c r="HGI36" s="545"/>
      <c r="HGJ36" s="545"/>
      <c r="HGK36" s="544"/>
      <c r="HGL36" s="545"/>
      <c r="HGM36" s="545"/>
      <c r="HGN36" s="545"/>
      <c r="HGO36" s="545"/>
      <c r="HGP36" s="545"/>
      <c r="HGQ36" s="545"/>
      <c r="HGR36" s="544"/>
      <c r="HGS36" s="545"/>
      <c r="HGT36" s="545"/>
      <c r="HGU36" s="545"/>
      <c r="HGV36" s="545"/>
      <c r="HGW36" s="545"/>
      <c r="HGX36" s="545"/>
      <c r="HGY36" s="544"/>
      <c r="HGZ36" s="545"/>
      <c r="HHA36" s="545"/>
      <c r="HHB36" s="545"/>
      <c r="HHC36" s="545"/>
      <c r="HHD36" s="545"/>
      <c r="HHE36" s="545"/>
      <c r="HHF36" s="544"/>
      <c r="HHG36" s="545"/>
      <c r="HHH36" s="545"/>
      <c r="HHI36" s="545"/>
      <c r="HHJ36" s="545"/>
      <c r="HHK36" s="545"/>
      <c r="HHL36" s="545"/>
      <c r="HHM36" s="544"/>
      <c r="HHN36" s="545"/>
      <c r="HHO36" s="545"/>
      <c r="HHP36" s="545"/>
      <c r="HHQ36" s="545"/>
      <c r="HHR36" s="545"/>
      <c r="HHS36" s="545"/>
      <c r="HHT36" s="544"/>
      <c r="HHU36" s="545"/>
      <c r="HHV36" s="545"/>
      <c r="HHW36" s="545"/>
      <c r="HHX36" s="545"/>
      <c r="HHY36" s="545"/>
      <c r="HHZ36" s="545"/>
      <c r="HIA36" s="544"/>
      <c r="HIB36" s="545"/>
      <c r="HIC36" s="545"/>
      <c r="HID36" s="545"/>
      <c r="HIE36" s="545"/>
      <c r="HIF36" s="545"/>
      <c r="HIG36" s="545"/>
      <c r="HIH36" s="544"/>
      <c r="HII36" s="545"/>
      <c r="HIJ36" s="545"/>
      <c r="HIK36" s="545"/>
      <c r="HIL36" s="545"/>
      <c r="HIM36" s="545"/>
      <c r="HIN36" s="545"/>
      <c r="HIO36" s="544"/>
      <c r="HIP36" s="545"/>
      <c r="HIQ36" s="545"/>
      <c r="HIR36" s="545"/>
      <c r="HIS36" s="545"/>
      <c r="HIT36" s="545"/>
      <c r="HIU36" s="545"/>
      <c r="HIV36" s="544"/>
      <c r="HIW36" s="545"/>
      <c r="HIX36" s="545"/>
      <c r="HIY36" s="545"/>
      <c r="HIZ36" s="545"/>
      <c r="HJA36" s="545"/>
      <c r="HJB36" s="545"/>
      <c r="HJC36" s="544"/>
      <c r="HJD36" s="545"/>
      <c r="HJE36" s="545"/>
      <c r="HJF36" s="545"/>
      <c r="HJG36" s="545"/>
      <c r="HJH36" s="545"/>
      <c r="HJI36" s="545"/>
      <c r="HJJ36" s="544"/>
      <c r="HJK36" s="545"/>
      <c r="HJL36" s="545"/>
      <c r="HJM36" s="545"/>
      <c r="HJN36" s="545"/>
      <c r="HJO36" s="545"/>
      <c r="HJP36" s="545"/>
      <c r="HJQ36" s="544"/>
      <c r="HJR36" s="545"/>
      <c r="HJS36" s="545"/>
      <c r="HJT36" s="545"/>
      <c r="HJU36" s="545"/>
      <c r="HJV36" s="545"/>
      <c r="HJW36" s="545"/>
      <c r="HJX36" s="544"/>
      <c r="HJY36" s="545"/>
      <c r="HJZ36" s="545"/>
      <c r="HKA36" s="545"/>
      <c r="HKB36" s="545"/>
      <c r="HKC36" s="545"/>
      <c r="HKD36" s="545"/>
      <c r="HKE36" s="544"/>
      <c r="HKF36" s="545"/>
      <c r="HKG36" s="545"/>
      <c r="HKH36" s="545"/>
      <c r="HKI36" s="545"/>
      <c r="HKJ36" s="545"/>
      <c r="HKK36" s="545"/>
      <c r="HKL36" s="544"/>
      <c r="HKM36" s="545"/>
      <c r="HKN36" s="545"/>
      <c r="HKO36" s="545"/>
      <c r="HKP36" s="545"/>
      <c r="HKQ36" s="545"/>
      <c r="HKR36" s="545"/>
      <c r="HKS36" s="544"/>
      <c r="HKT36" s="545"/>
      <c r="HKU36" s="545"/>
      <c r="HKV36" s="545"/>
      <c r="HKW36" s="545"/>
      <c r="HKX36" s="545"/>
      <c r="HKY36" s="545"/>
      <c r="HKZ36" s="544"/>
      <c r="HLA36" s="545"/>
      <c r="HLB36" s="545"/>
      <c r="HLC36" s="545"/>
      <c r="HLD36" s="545"/>
      <c r="HLE36" s="545"/>
      <c r="HLF36" s="545"/>
      <c r="HLG36" s="544"/>
      <c r="HLH36" s="545"/>
      <c r="HLI36" s="545"/>
      <c r="HLJ36" s="545"/>
      <c r="HLK36" s="545"/>
      <c r="HLL36" s="545"/>
      <c r="HLM36" s="545"/>
      <c r="HLN36" s="544"/>
      <c r="HLO36" s="545"/>
      <c r="HLP36" s="545"/>
      <c r="HLQ36" s="545"/>
      <c r="HLR36" s="545"/>
      <c r="HLS36" s="545"/>
      <c r="HLT36" s="545"/>
      <c r="HLU36" s="544"/>
      <c r="HLV36" s="545"/>
      <c r="HLW36" s="545"/>
      <c r="HLX36" s="545"/>
      <c r="HLY36" s="545"/>
      <c r="HLZ36" s="545"/>
      <c r="HMA36" s="545"/>
      <c r="HMB36" s="544"/>
      <c r="HMC36" s="545"/>
      <c r="HMD36" s="545"/>
      <c r="HME36" s="545"/>
      <c r="HMF36" s="545"/>
      <c r="HMG36" s="545"/>
      <c r="HMH36" s="545"/>
      <c r="HMI36" s="544"/>
      <c r="HMJ36" s="545"/>
      <c r="HMK36" s="545"/>
      <c r="HML36" s="545"/>
      <c r="HMM36" s="545"/>
      <c r="HMN36" s="545"/>
      <c r="HMO36" s="545"/>
      <c r="HMP36" s="544"/>
      <c r="HMQ36" s="545"/>
      <c r="HMR36" s="545"/>
      <c r="HMS36" s="545"/>
      <c r="HMT36" s="545"/>
      <c r="HMU36" s="545"/>
      <c r="HMV36" s="545"/>
      <c r="HMW36" s="544"/>
      <c r="HMX36" s="545"/>
      <c r="HMY36" s="545"/>
      <c r="HMZ36" s="545"/>
      <c r="HNA36" s="545"/>
      <c r="HNB36" s="545"/>
      <c r="HNC36" s="545"/>
      <c r="HND36" s="544"/>
      <c r="HNE36" s="545"/>
      <c r="HNF36" s="545"/>
      <c r="HNG36" s="545"/>
      <c r="HNH36" s="545"/>
      <c r="HNI36" s="545"/>
      <c r="HNJ36" s="545"/>
      <c r="HNK36" s="544"/>
      <c r="HNL36" s="545"/>
      <c r="HNM36" s="545"/>
      <c r="HNN36" s="545"/>
      <c r="HNO36" s="545"/>
      <c r="HNP36" s="545"/>
      <c r="HNQ36" s="545"/>
      <c r="HNR36" s="544"/>
      <c r="HNS36" s="545"/>
      <c r="HNT36" s="545"/>
      <c r="HNU36" s="545"/>
      <c r="HNV36" s="545"/>
      <c r="HNW36" s="545"/>
      <c r="HNX36" s="545"/>
      <c r="HNY36" s="544"/>
      <c r="HNZ36" s="545"/>
      <c r="HOA36" s="545"/>
      <c r="HOB36" s="545"/>
      <c r="HOC36" s="545"/>
      <c r="HOD36" s="545"/>
      <c r="HOE36" s="545"/>
      <c r="HOF36" s="544"/>
      <c r="HOG36" s="545"/>
      <c r="HOH36" s="545"/>
      <c r="HOI36" s="545"/>
      <c r="HOJ36" s="545"/>
      <c r="HOK36" s="545"/>
      <c r="HOL36" s="545"/>
      <c r="HOM36" s="544"/>
      <c r="HON36" s="545"/>
      <c r="HOO36" s="545"/>
      <c r="HOP36" s="545"/>
      <c r="HOQ36" s="545"/>
      <c r="HOR36" s="545"/>
      <c r="HOS36" s="545"/>
      <c r="HOT36" s="544"/>
      <c r="HOU36" s="545"/>
      <c r="HOV36" s="545"/>
      <c r="HOW36" s="545"/>
      <c r="HOX36" s="545"/>
      <c r="HOY36" s="545"/>
      <c r="HOZ36" s="545"/>
      <c r="HPA36" s="544"/>
      <c r="HPB36" s="545"/>
      <c r="HPC36" s="545"/>
      <c r="HPD36" s="545"/>
      <c r="HPE36" s="545"/>
      <c r="HPF36" s="545"/>
      <c r="HPG36" s="545"/>
      <c r="HPH36" s="544"/>
      <c r="HPI36" s="545"/>
      <c r="HPJ36" s="545"/>
      <c r="HPK36" s="545"/>
      <c r="HPL36" s="545"/>
      <c r="HPM36" s="545"/>
      <c r="HPN36" s="545"/>
      <c r="HPO36" s="544"/>
      <c r="HPP36" s="545"/>
      <c r="HPQ36" s="545"/>
      <c r="HPR36" s="545"/>
      <c r="HPS36" s="545"/>
      <c r="HPT36" s="545"/>
      <c r="HPU36" s="545"/>
      <c r="HPV36" s="544"/>
      <c r="HPW36" s="545"/>
      <c r="HPX36" s="545"/>
      <c r="HPY36" s="545"/>
      <c r="HPZ36" s="545"/>
      <c r="HQA36" s="545"/>
      <c r="HQB36" s="545"/>
      <c r="HQC36" s="544"/>
      <c r="HQD36" s="545"/>
      <c r="HQE36" s="545"/>
      <c r="HQF36" s="545"/>
      <c r="HQG36" s="545"/>
      <c r="HQH36" s="545"/>
      <c r="HQI36" s="545"/>
      <c r="HQJ36" s="544"/>
      <c r="HQK36" s="545"/>
      <c r="HQL36" s="545"/>
      <c r="HQM36" s="545"/>
      <c r="HQN36" s="545"/>
      <c r="HQO36" s="545"/>
      <c r="HQP36" s="545"/>
      <c r="HQQ36" s="544"/>
      <c r="HQR36" s="545"/>
      <c r="HQS36" s="545"/>
      <c r="HQT36" s="545"/>
      <c r="HQU36" s="545"/>
      <c r="HQV36" s="545"/>
      <c r="HQW36" s="545"/>
      <c r="HQX36" s="544"/>
      <c r="HQY36" s="545"/>
      <c r="HQZ36" s="545"/>
      <c r="HRA36" s="545"/>
      <c r="HRB36" s="545"/>
      <c r="HRC36" s="545"/>
      <c r="HRD36" s="545"/>
      <c r="HRE36" s="544"/>
      <c r="HRF36" s="545"/>
      <c r="HRG36" s="545"/>
      <c r="HRH36" s="545"/>
      <c r="HRI36" s="545"/>
      <c r="HRJ36" s="545"/>
      <c r="HRK36" s="545"/>
      <c r="HRL36" s="544"/>
      <c r="HRM36" s="545"/>
      <c r="HRN36" s="545"/>
      <c r="HRO36" s="545"/>
      <c r="HRP36" s="545"/>
      <c r="HRQ36" s="545"/>
      <c r="HRR36" s="545"/>
      <c r="HRS36" s="544"/>
      <c r="HRT36" s="545"/>
      <c r="HRU36" s="545"/>
      <c r="HRV36" s="545"/>
      <c r="HRW36" s="545"/>
      <c r="HRX36" s="545"/>
      <c r="HRY36" s="545"/>
      <c r="HRZ36" s="544"/>
      <c r="HSA36" s="545"/>
      <c r="HSB36" s="545"/>
      <c r="HSC36" s="545"/>
      <c r="HSD36" s="545"/>
      <c r="HSE36" s="545"/>
      <c r="HSF36" s="545"/>
      <c r="HSG36" s="544"/>
      <c r="HSH36" s="545"/>
      <c r="HSI36" s="545"/>
      <c r="HSJ36" s="545"/>
      <c r="HSK36" s="545"/>
      <c r="HSL36" s="545"/>
      <c r="HSM36" s="545"/>
      <c r="HSN36" s="544"/>
      <c r="HSO36" s="545"/>
      <c r="HSP36" s="545"/>
      <c r="HSQ36" s="545"/>
      <c r="HSR36" s="545"/>
      <c r="HSS36" s="545"/>
      <c r="HST36" s="545"/>
      <c r="HSU36" s="544"/>
      <c r="HSV36" s="545"/>
      <c r="HSW36" s="545"/>
      <c r="HSX36" s="545"/>
      <c r="HSY36" s="545"/>
      <c r="HSZ36" s="545"/>
      <c r="HTA36" s="545"/>
      <c r="HTB36" s="544"/>
      <c r="HTC36" s="545"/>
      <c r="HTD36" s="545"/>
      <c r="HTE36" s="545"/>
      <c r="HTF36" s="545"/>
      <c r="HTG36" s="545"/>
      <c r="HTH36" s="545"/>
      <c r="HTI36" s="544"/>
      <c r="HTJ36" s="545"/>
      <c r="HTK36" s="545"/>
      <c r="HTL36" s="545"/>
      <c r="HTM36" s="545"/>
      <c r="HTN36" s="545"/>
      <c r="HTO36" s="545"/>
      <c r="HTP36" s="544"/>
      <c r="HTQ36" s="545"/>
      <c r="HTR36" s="545"/>
      <c r="HTS36" s="545"/>
      <c r="HTT36" s="545"/>
      <c r="HTU36" s="545"/>
      <c r="HTV36" s="545"/>
      <c r="HTW36" s="544"/>
      <c r="HTX36" s="545"/>
      <c r="HTY36" s="545"/>
      <c r="HTZ36" s="545"/>
      <c r="HUA36" s="545"/>
      <c r="HUB36" s="545"/>
      <c r="HUC36" s="545"/>
      <c r="HUD36" s="544"/>
      <c r="HUE36" s="545"/>
      <c r="HUF36" s="545"/>
      <c r="HUG36" s="545"/>
      <c r="HUH36" s="545"/>
      <c r="HUI36" s="545"/>
      <c r="HUJ36" s="545"/>
      <c r="HUK36" s="544"/>
      <c r="HUL36" s="545"/>
      <c r="HUM36" s="545"/>
      <c r="HUN36" s="545"/>
      <c r="HUO36" s="545"/>
      <c r="HUP36" s="545"/>
      <c r="HUQ36" s="545"/>
      <c r="HUR36" s="544"/>
      <c r="HUS36" s="545"/>
      <c r="HUT36" s="545"/>
      <c r="HUU36" s="545"/>
      <c r="HUV36" s="545"/>
      <c r="HUW36" s="545"/>
      <c r="HUX36" s="545"/>
      <c r="HUY36" s="544"/>
      <c r="HUZ36" s="545"/>
      <c r="HVA36" s="545"/>
      <c r="HVB36" s="545"/>
      <c r="HVC36" s="545"/>
      <c r="HVD36" s="545"/>
      <c r="HVE36" s="545"/>
      <c r="HVF36" s="544"/>
      <c r="HVG36" s="545"/>
      <c r="HVH36" s="545"/>
      <c r="HVI36" s="545"/>
      <c r="HVJ36" s="545"/>
      <c r="HVK36" s="545"/>
      <c r="HVL36" s="545"/>
      <c r="HVM36" s="544"/>
      <c r="HVN36" s="545"/>
      <c r="HVO36" s="545"/>
      <c r="HVP36" s="545"/>
      <c r="HVQ36" s="545"/>
      <c r="HVR36" s="545"/>
      <c r="HVS36" s="545"/>
      <c r="HVT36" s="544"/>
      <c r="HVU36" s="545"/>
      <c r="HVV36" s="545"/>
      <c r="HVW36" s="545"/>
      <c r="HVX36" s="545"/>
      <c r="HVY36" s="545"/>
      <c r="HVZ36" s="545"/>
      <c r="HWA36" s="544"/>
      <c r="HWB36" s="545"/>
      <c r="HWC36" s="545"/>
      <c r="HWD36" s="545"/>
      <c r="HWE36" s="545"/>
      <c r="HWF36" s="545"/>
      <c r="HWG36" s="545"/>
      <c r="HWH36" s="544"/>
      <c r="HWI36" s="545"/>
      <c r="HWJ36" s="545"/>
      <c r="HWK36" s="545"/>
      <c r="HWL36" s="545"/>
      <c r="HWM36" s="545"/>
      <c r="HWN36" s="545"/>
      <c r="HWO36" s="544"/>
      <c r="HWP36" s="545"/>
      <c r="HWQ36" s="545"/>
      <c r="HWR36" s="545"/>
      <c r="HWS36" s="545"/>
      <c r="HWT36" s="545"/>
      <c r="HWU36" s="545"/>
      <c r="HWV36" s="544"/>
      <c r="HWW36" s="545"/>
      <c r="HWX36" s="545"/>
      <c r="HWY36" s="545"/>
      <c r="HWZ36" s="545"/>
      <c r="HXA36" s="545"/>
      <c r="HXB36" s="545"/>
      <c r="HXC36" s="544"/>
      <c r="HXD36" s="545"/>
      <c r="HXE36" s="545"/>
      <c r="HXF36" s="545"/>
      <c r="HXG36" s="545"/>
      <c r="HXH36" s="545"/>
      <c r="HXI36" s="545"/>
      <c r="HXJ36" s="544"/>
      <c r="HXK36" s="545"/>
      <c r="HXL36" s="545"/>
      <c r="HXM36" s="545"/>
      <c r="HXN36" s="545"/>
      <c r="HXO36" s="545"/>
      <c r="HXP36" s="545"/>
      <c r="HXQ36" s="544"/>
      <c r="HXR36" s="545"/>
      <c r="HXS36" s="545"/>
      <c r="HXT36" s="545"/>
      <c r="HXU36" s="545"/>
      <c r="HXV36" s="545"/>
      <c r="HXW36" s="545"/>
      <c r="HXX36" s="544"/>
      <c r="HXY36" s="545"/>
      <c r="HXZ36" s="545"/>
      <c r="HYA36" s="545"/>
      <c r="HYB36" s="545"/>
      <c r="HYC36" s="545"/>
      <c r="HYD36" s="545"/>
      <c r="HYE36" s="544"/>
      <c r="HYF36" s="545"/>
      <c r="HYG36" s="545"/>
      <c r="HYH36" s="545"/>
      <c r="HYI36" s="545"/>
      <c r="HYJ36" s="545"/>
      <c r="HYK36" s="545"/>
      <c r="HYL36" s="544"/>
      <c r="HYM36" s="545"/>
      <c r="HYN36" s="545"/>
      <c r="HYO36" s="545"/>
      <c r="HYP36" s="545"/>
      <c r="HYQ36" s="545"/>
      <c r="HYR36" s="545"/>
      <c r="HYS36" s="544"/>
      <c r="HYT36" s="545"/>
      <c r="HYU36" s="545"/>
      <c r="HYV36" s="545"/>
      <c r="HYW36" s="545"/>
      <c r="HYX36" s="545"/>
      <c r="HYY36" s="545"/>
      <c r="HYZ36" s="544"/>
      <c r="HZA36" s="545"/>
      <c r="HZB36" s="545"/>
      <c r="HZC36" s="545"/>
      <c r="HZD36" s="545"/>
      <c r="HZE36" s="545"/>
      <c r="HZF36" s="545"/>
      <c r="HZG36" s="544"/>
      <c r="HZH36" s="545"/>
      <c r="HZI36" s="545"/>
      <c r="HZJ36" s="545"/>
      <c r="HZK36" s="545"/>
      <c r="HZL36" s="545"/>
      <c r="HZM36" s="545"/>
      <c r="HZN36" s="544"/>
      <c r="HZO36" s="545"/>
      <c r="HZP36" s="545"/>
      <c r="HZQ36" s="545"/>
      <c r="HZR36" s="545"/>
      <c r="HZS36" s="545"/>
      <c r="HZT36" s="545"/>
      <c r="HZU36" s="544"/>
      <c r="HZV36" s="545"/>
      <c r="HZW36" s="545"/>
      <c r="HZX36" s="545"/>
      <c r="HZY36" s="545"/>
      <c r="HZZ36" s="545"/>
      <c r="IAA36" s="545"/>
      <c r="IAB36" s="544"/>
      <c r="IAC36" s="545"/>
      <c r="IAD36" s="545"/>
      <c r="IAE36" s="545"/>
      <c r="IAF36" s="545"/>
      <c r="IAG36" s="545"/>
      <c r="IAH36" s="545"/>
      <c r="IAI36" s="544"/>
      <c r="IAJ36" s="545"/>
      <c r="IAK36" s="545"/>
      <c r="IAL36" s="545"/>
      <c r="IAM36" s="545"/>
      <c r="IAN36" s="545"/>
      <c r="IAO36" s="545"/>
      <c r="IAP36" s="544"/>
      <c r="IAQ36" s="545"/>
      <c r="IAR36" s="545"/>
      <c r="IAS36" s="545"/>
      <c r="IAT36" s="545"/>
      <c r="IAU36" s="545"/>
      <c r="IAV36" s="545"/>
      <c r="IAW36" s="544"/>
      <c r="IAX36" s="545"/>
      <c r="IAY36" s="545"/>
      <c r="IAZ36" s="545"/>
      <c r="IBA36" s="545"/>
      <c r="IBB36" s="545"/>
      <c r="IBC36" s="545"/>
      <c r="IBD36" s="544"/>
      <c r="IBE36" s="545"/>
      <c r="IBF36" s="545"/>
      <c r="IBG36" s="545"/>
      <c r="IBH36" s="545"/>
      <c r="IBI36" s="545"/>
      <c r="IBJ36" s="545"/>
      <c r="IBK36" s="544"/>
      <c r="IBL36" s="545"/>
      <c r="IBM36" s="545"/>
      <c r="IBN36" s="545"/>
      <c r="IBO36" s="545"/>
      <c r="IBP36" s="545"/>
      <c r="IBQ36" s="545"/>
      <c r="IBR36" s="544"/>
      <c r="IBS36" s="545"/>
      <c r="IBT36" s="545"/>
      <c r="IBU36" s="545"/>
      <c r="IBV36" s="545"/>
      <c r="IBW36" s="545"/>
      <c r="IBX36" s="545"/>
      <c r="IBY36" s="544"/>
      <c r="IBZ36" s="545"/>
      <c r="ICA36" s="545"/>
      <c r="ICB36" s="545"/>
      <c r="ICC36" s="545"/>
      <c r="ICD36" s="545"/>
      <c r="ICE36" s="545"/>
      <c r="ICF36" s="544"/>
      <c r="ICG36" s="545"/>
      <c r="ICH36" s="545"/>
      <c r="ICI36" s="545"/>
      <c r="ICJ36" s="545"/>
      <c r="ICK36" s="545"/>
      <c r="ICL36" s="545"/>
      <c r="ICM36" s="544"/>
      <c r="ICN36" s="545"/>
      <c r="ICO36" s="545"/>
      <c r="ICP36" s="545"/>
      <c r="ICQ36" s="545"/>
      <c r="ICR36" s="545"/>
      <c r="ICS36" s="545"/>
      <c r="ICT36" s="544"/>
      <c r="ICU36" s="545"/>
      <c r="ICV36" s="545"/>
      <c r="ICW36" s="545"/>
      <c r="ICX36" s="545"/>
      <c r="ICY36" s="545"/>
      <c r="ICZ36" s="545"/>
      <c r="IDA36" s="544"/>
      <c r="IDB36" s="545"/>
      <c r="IDC36" s="545"/>
      <c r="IDD36" s="545"/>
      <c r="IDE36" s="545"/>
      <c r="IDF36" s="545"/>
      <c r="IDG36" s="545"/>
      <c r="IDH36" s="544"/>
      <c r="IDI36" s="545"/>
      <c r="IDJ36" s="545"/>
      <c r="IDK36" s="545"/>
      <c r="IDL36" s="545"/>
      <c r="IDM36" s="545"/>
      <c r="IDN36" s="545"/>
      <c r="IDO36" s="544"/>
      <c r="IDP36" s="545"/>
      <c r="IDQ36" s="545"/>
      <c r="IDR36" s="545"/>
      <c r="IDS36" s="545"/>
      <c r="IDT36" s="545"/>
      <c r="IDU36" s="545"/>
      <c r="IDV36" s="544"/>
      <c r="IDW36" s="545"/>
      <c r="IDX36" s="545"/>
      <c r="IDY36" s="545"/>
      <c r="IDZ36" s="545"/>
      <c r="IEA36" s="545"/>
      <c r="IEB36" s="545"/>
      <c r="IEC36" s="544"/>
      <c r="IED36" s="545"/>
      <c r="IEE36" s="545"/>
      <c r="IEF36" s="545"/>
      <c r="IEG36" s="545"/>
      <c r="IEH36" s="545"/>
      <c r="IEI36" s="545"/>
      <c r="IEJ36" s="544"/>
      <c r="IEK36" s="545"/>
      <c r="IEL36" s="545"/>
      <c r="IEM36" s="545"/>
      <c r="IEN36" s="545"/>
      <c r="IEO36" s="545"/>
      <c r="IEP36" s="545"/>
      <c r="IEQ36" s="544"/>
      <c r="IER36" s="545"/>
      <c r="IES36" s="545"/>
      <c r="IET36" s="545"/>
      <c r="IEU36" s="545"/>
      <c r="IEV36" s="545"/>
      <c r="IEW36" s="545"/>
      <c r="IEX36" s="544"/>
      <c r="IEY36" s="545"/>
      <c r="IEZ36" s="545"/>
      <c r="IFA36" s="545"/>
      <c r="IFB36" s="545"/>
      <c r="IFC36" s="545"/>
      <c r="IFD36" s="545"/>
      <c r="IFE36" s="544"/>
      <c r="IFF36" s="545"/>
      <c r="IFG36" s="545"/>
      <c r="IFH36" s="545"/>
      <c r="IFI36" s="545"/>
      <c r="IFJ36" s="545"/>
      <c r="IFK36" s="545"/>
      <c r="IFL36" s="544"/>
      <c r="IFM36" s="545"/>
      <c r="IFN36" s="545"/>
      <c r="IFO36" s="545"/>
      <c r="IFP36" s="545"/>
      <c r="IFQ36" s="545"/>
      <c r="IFR36" s="545"/>
      <c r="IFS36" s="544"/>
      <c r="IFT36" s="545"/>
      <c r="IFU36" s="545"/>
      <c r="IFV36" s="545"/>
      <c r="IFW36" s="545"/>
      <c r="IFX36" s="545"/>
      <c r="IFY36" s="545"/>
      <c r="IFZ36" s="544"/>
      <c r="IGA36" s="545"/>
      <c r="IGB36" s="545"/>
      <c r="IGC36" s="545"/>
      <c r="IGD36" s="545"/>
      <c r="IGE36" s="545"/>
      <c r="IGF36" s="545"/>
      <c r="IGG36" s="544"/>
      <c r="IGH36" s="545"/>
      <c r="IGI36" s="545"/>
      <c r="IGJ36" s="545"/>
      <c r="IGK36" s="545"/>
      <c r="IGL36" s="545"/>
      <c r="IGM36" s="545"/>
      <c r="IGN36" s="544"/>
      <c r="IGO36" s="545"/>
      <c r="IGP36" s="545"/>
      <c r="IGQ36" s="545"/>
      <c r="IGR36" s="545"/>
      <c r="IGS36" s="545"/>
      <c r="IGT36" s="545"/>
      <c r="IGU36" s="544"/>
      <c r="IGV36" s="545"/>
      <c r="IGW36" s="545"/>
      <c r="IGX36" s="545"/>
      <c r="IGY36" s="545"/>
      <c r="IGZ36" s="545"/>
      <c r="IHA36" s="545"/>
      <c r="IHB36" s="544"/>
      <c r="IHC36" s="545"/>
      <c r="IHD36" s="545"/>
      <c r="IHE36" s="545"/>
      <c r="IHF36" s="545"/>
      <c r="IHG36" s="545"/>
      <c r="IHH36" s="545"/>
      <c r="IHI36" s="544"/>
      <c r="IHJ36" s="545"/>
      <c r="IHK36" s="545"/>
      <c r="IHL36" s="545"/>
      <c r="IHM36" s="545"/>
      <c r="IHN36" s="545"/>
      <c r="IHO36" s="545"/>
      <c r="IHP36" s="544"/>
      <c r="IHQ36" s="545"/>
      <c r="IHR36" s="545"/>
      <c r="IHS36" s="545"/>
      <c r="IHT36" s="545"/>
      <c r="IHU36" s="545"/>
      <c r="IHV36" s="545"/>
      <c r="IHW36" s="544"/>
      <c r="IHX36" s="545"/>
      <c r="IHY36" s="545"/>
      <c r="IHZ36" s="545"/>
      <c r="IIA36" s="545"/>
      <c r="IIB36" s="545"/>
      <c r="IIC36" s="545"/>
      <c r="IID36" s="544"/>
      <c r="IIE36" s="545"/>
      <c r="IIF36" s="545"/>
      <c r="IIG36" s="545"/>
      <c r="IIH36" s="545"/>
      <c r="III36" s="545"/>
      <c r="IIJ36" s="545"/>
      <c r="IIK36" s="544"/>
      <c r="IIL36" s="545"/>
      <c r="IIM36" s="545"/>
      <c r="IIN36" s="545"/>
      <c r="IIO36" s="545"/>
      <c r="IIP36" s="545"/>
      <c r="IIQ36" s="545"/>
      <c r="IIR36" s="544"/>
      <c r="IIS36" s="545"/>
      <c r="IIT36" s="545"/>
      <c r="IIU36" s="545"/>
      <c r="IIV36" s="545"/>
      <c r="IIW36" s="545"/>
      <c r="IIX36" s="545"/>
      <c r="IIY36" s="544"/>
      <c r="IIZ36" s="545"/>
      <c r="IJA36" s="545"/>
      <c r="IJB36" s="545"/>
      <c r="IJC36" s="545"/>
      <c r="IJD36" s="545"/>
      <c r="IJE36" s="545"/>
      <c r="IJF36" s="544"/>
      <c r="IJG36" s="545"/>
      <c r="IJH36" s="545"/>
      <c r="IJI36" s="545"/>
      <c r="IJJ36" s="545"/>
      <c r="IJK36" s="545"/>
      <c r="IJL36" s="545"/>
      <c r="IJM36" s="544"/>
      <c r="IJN36" s="545"/>
      <c r="IJO36" s="545"/>
      <c r="IJP36" s="545"/>
      <c r="IJQ36" s="545"/>
      <c r="IJR36" s="545"/>
      <c r="IJS36" s="545"/>
      <c r="IJT36" s="544"/>
      <c r="IJU36" s="545"/>
      <c r="IJV36" s="545"/>
      <c r="IJW36" s="545"/>
      <c r="IJX36" s="545"/>
      <c r="IJY36" s="545"/>
      <c r="IJZ36" s="545"/>
      <c r="IKA36" s="544"/>
      <c r="IKB36" s="545"/>
      <c r="IKC36" s="545"/>
      <c r="IKD36" s="545"/>
      <c r="IKE36" s="545"/>
      <c r="IKF36" s="545"/>
      <c r="IKG36" s="545"/>
      <c r="IKH36" s="544"/>
      <c r="IKI36" s="545"/>
      <c r="IKJ36" s="545"/>
      <c r="IKK36" s="545"/>
      <c r="IKL36" s="545"/>
      <c r="IKM36" s="545"/>
      <c r="IKN36" s="545"/>
      <c r="IKO36" s="544"/>
      <c r="IKP36" s="545"/>
      <c r="IKQ36" s="545"/>
      <c r="IKR36" s="545"/>
      <c r="IKS36" s="545"/>
      <c r="IKT36" s="545"/>
      <c r="IKU36" s="545"/>
      <c r="IKV36" s="544"/>
      <c r="IKW36" s="545"/>
      <c r="IKX36" s="545"/>
      <c r="IKY36" s="545"/>
      <c r="IKZ36" s="545"/>
      <c r="ILA36" s="545"/>
      <c r="ILB36" s="545"/>
      <c r="ILC36" s="544"/>
      <c r="ILD36" s="545"/>
      <c r="ILE36" s="545"/>
      <c r="ILF36" s="545"/>
      <c r="ILG36" s="545"/>
      <c r="ILH36" s="545"/>
      <c r="ILI36" s="545"/>
      <c r="ILJ36" s="544"/>
      <c r="ILK36" s="545"/>
      <c r="ILL36" s="545"/>
      <c r="ILM36" s="545"/>
      <c r="ILN36" s="545"/>
      <c r="ILO36" s="545"/>
      <c r="ILP36" s="545"/>
      <c r="ILQ36" s="544"/>
      <c r="ILR36" s="545"/>
      <c r="ILS36" s="545"/>
      <c r="ILT36" s="545"/>
      <c r="ILU36" s="545"/>
      <c r="ILV36" s="545"/>
      <c r="ILW36" s="545"/>
      <c r="ILX36" s="544"/>
      <c r="ILY36" s="545"/>
      <c r="ILZ36" s="545"/>
      <c r="IMA36" s="545"/>
      <c r="IMB36" s="545"/>
      <c r="IMC36" s="545"/>
      <c r="IMD36" s="545"/>
      <c r="IME36" s="544"/>
      <c r="IMF36" s="545"/>
      <c r="IMG36" s="545"/>
      <c r="IMH36" s="545"/>
      <c r="IMI36" s="545"/>
      <c r="IMJ36" s="545"/>
      <c r="IMK36" s="545"/>
      <c r="IML36" s="544"/>
      <c r="IMM36" s="545"/>
      <c r="IMN36" s="545"/>
      <c r="IMO36" s="545"/>
      <c r="IMP36" s="545"/>
      <c r="IMQ36" s="545"/>
      <c r="IMR36" s="545"/>
      <c r="IMS36" s="544"/>
      <c r="IMT36" s="545"/>
      <c r="IMU36" s="545"/>
      <c r="IMV36" s="545"/>
      <c r="IMW36" s="545"/>
      <c r="IMX36" s="545"/>
      <c r="IMY36" s="545"/>
      <c r="IMZ36" s="544"/>
      <c r="INA36" s="545"/>
      <c r="INB36" s="545"/>
      <c r="INC36" s="545"/>
      <c r="IND36" s="545"/>
      <c r="INE36" s="545"/>
      <c r="INF36" s="545"/>
      <c r="ING36" s="544"/>
      <c r="INH36" s="545"/>
      <c r="INI36" s="545"/>
      <c r="INJ36" s="545"/>
      <c r="INK36" s="545"/>
      <c r="INL36" s="545"/>
      <c r="INM36" s="545"/>
      <c r="INN36" s="544"/>
      <c r="INO36" s="545"/>
      <c r="INP36" s="545"/>
      <c r="INQ36" s="545"/>
      <c r="INR36" s="545"/>
      <c r="INS36" s="545"/>
      <c r="INT36" s="545"/>
      <c r="INU36" s="544"/>
      <c r="INV36" s="545"/>
      <c r="INW36" s="545"/>
      <c r="INX36" s="545"/>
      <c r="INY36" s="545"/>
      <c r="INZ36" s="545"/>
      <c r="IOA36" s="545"/>
      <c r="IOB36" s="544"/>
      <c r="IOC36" s="545"/>
      <c r="IOD36" s="545"/>
      <c r="IOE36" s="545"/>
      <c r="IOF36" s="545"/>
      <c r="IOG36" s="545"/>
      <c r="IOH36" s="545"/>
      <c r="IOI36" s="544"/>
      <c r="IOJ36" s="545"/>
      <c r="IOK36" s="545"/>
      <c r="IOL36" s="545"/>
      <c r="IOM36" s="545"/>
      <c r="ION36" s="545"/>
      <c r="IOO36" s="545"/>
      <c r="IOP36" s="544"/>
      <c r="IOQ36" s="545"/>
      <c r="IOR36" s="545"/>
      <c r="IOS36" s="545"/>
      <c r="IOT36" s="545"/>
      <c r="IOU36" s="545"/>
      <c r="IOV36" s="545"/>
      <c r="IOW36" s="544"/>
      <c r="IOX36" s="545"/>
      <c r="IOY36" s="545"/>
      <c r="IOZ36" s="545"/>
      <c r="IPA36" s="545"/>
      <c r="IPB36" s="545"/>
      <c r="IPC36" s="545"/>
      <c r="IPD36" s="544"/>
      <c r="IPE36" s="545"/>
      <c r="IPF36" s="545"/>
      <c r="IPG36" s="545"/>
      <c r="IPH36" s="545"/>
      <c r="IPI36" s="545"/>
      <c r="IPJ36" s="545"/>
      <c r="IPK36" s="544"/>
      <c r="IPL36" s="545"/>
      <c r="IPM36" s="545"/>
      <c r="IPN36" s="545"/>
      <c r="IPO36" s="545"/>
      <c r="IPP36" s="545"/>
      <c r="IPQ36" s="545"/>
      <c r="IPR36" s="544"/>
      <c r="IPS36" s="545"/>
      <c r="IPT36" s="545"/>
      <c r="IPU36" s="545"/>
      <c r="IPV36" s="545"/>
      <c r="IPW36" s="545"/>
      <c r="IPX36" s="545"/>
      <c r="IPY36" s="544"/>
      <c r="IPZ36" s="545"/>
      <c r="IQA36" s="545"/>
      <c r="IQB36" s="545"/>
      <c r="IQC36" s="545"/>
      <c r="IQD36" s="545"/>
      <c r="IQE36" s="545"/>
      <c r="IQF36" s="544"/>
      <c r="IQG36" s="545"/>
      <c r="IQH36" s="545"/>
      <c r="IQI36" s="545"/>
      <c r="IQJ36" s="545"/>
      <c r="IQK36" s="545"/>
      <c r="IQL36" s="545"/>
      <c r="IQM36" s="544"/>
      <c r="IQN36" s="545"/>
      <c r="IQO36" s="545"/>
      <c r="IQP36" s="545"/>
      <c r="IQQ36" s="545"/>
      <c r="IQR36" s="545"/>
      <c r="IQS36" s="545"/>
      <c r="IQT36" s="544"/>
      <c r="IQU36" s="545"/>
      <c r="IQV36" s="545"/>
      <c r="IQW36" s="545"/>
      <c r="IQX36" s="545"/>
      <c r="IQY36" s="545"/>
      <c r="IQZ36" s="545"/>
      <c r="IRA36" s="544"/>
      <c r="IRB36" s="545"/>
      <c r="IRC36" s="545"/>
      <c r="IRD36" s="545"/>
      <c r="IRE36" s="545"/>
      <c r="IRF36" s="545"/>
      <c r="IRG36" s="545"/>
      <c r="IRH36" s="544"/>
      <c r="IRI36" s="545"/>
      <c r="IRJ36" s="545"/>
      <c r="IRK36" s="545"/>
      <c r="IRL36" s="545"/>
      <c r="IRM36" s="545"/>
      <c r="IRN36" s="545"/>
      <c r="IRO36" s="544"/>
      <c r="IRP36" s="545"/>
      <c r="IRQ36" s="545"/>
      <c r="IRR36" s="545"/>
      <c r="IRS36" s="545"/>
      <c r="IRT36" s="545"/>
      <c r="IRU36" s="545"/>
      <c r="IRV36" s="544"/>
      <c r="IRW36" s="545"/>
      <c r="IRX36" s="545"/>
      <c r="IRY36" s="545"/>
      <c r="IRZ36" s="545"/>
      <c r="ISA36" s="545"/>
      <c r="ISB36" s="545"/>
      <c r="ISC36" s="544"/>
      <c r="ISD36" s="545"/>
      <c r="ISE36" s="545"/>
      <c r="ISF36" s="545"/>
      <c r="ISG36" s="545"/>
      <c r="ISH36" s="545"/>
      <c r="ISI36" s="545"/>
      <c r="ISJ36" s="544"/>
      <c r="ISK36" s="545"/>
      <c r="ISL36" s="545"/>
      <c r="ISM36" s="545"/>
      <c r="ISN36" s="545"/>
      <c r="ISO36" s="545"/>
      <c r="ISP36" s="545"/>
      <c r="ISQ36" s="544"/>
      <c r="ISR36" s="545"/>
      <c r="ISS36" s="545"/>
      <c r="IST36" s="545"/>
      <c r="ISU36" s="545"/>
      <c r="ISV36" s="545"/>
      <c r="ISW36" s="545"/>
      <c r="ISX36" s="544"/>
      <c r="ISY36" s="545"/>
      <c r="ISZ36" s="545"/>
      <c r="ITA36" s="545"/>
      <c r="ITB36" s="545"/>
      <c r="ITC36" s="545"/>
      <c r="ITD36" s="545"/>
      <c r="ITE36" s="544"/>
      <c r="ITF36" s="545"/>
      <c r="ITG36" s="545"/>
      <c r="ITH36" s="545"/>
      <c r="ITI36" s="545"/>
      <c r="ITJ36" s="545"/>
      <c r="ITK36" s="545"/>
      <c r="ITL36" s="544"/>
      <c r="ITM36" s="545"/>
      <c r="ITN36" s="545"/>
      <c r="ITO36" s="545"/>
      <c r="ITP36" s="545"/>
      <c r="ITQ36" s="545"/>
      <c r="ITR36" s="545"/>
      <c r="ITS36" s="544"/>
      <c r="ITT36" s="545"/>
      <c r="ITU36" s="545"/>
      <c r="ITV36" s="545"/>
      <c r="ITW36" s="545"/>
      <c r="ITX36" s="545"/>
      <c r="ITY36" s="545"/>
      <c r="ITZ36" s="544"/>
      <c r="IUA36" s="545"/>
      <c r="IUB36" s="545"/>
      <c r="IUC36" s="545"/>
      <c r="IUD36" s="545"/>
      <c r="IUE36" s="545"/>
      <c r="IUF36" s="545"/>
      <c r="IUG36" s="544"/>
      <c r="IUH36" s="545"/>
      <c r="IUI36" s="545"/>
      <c r="IUJ36" s="545"/>
      <c r="IUK36" s="545"/>
      <c r="IUL36" s="545"/>
      <c r="IUM36" s="545"/>
      <c r="IUN36" s="544"/>
      <c r="IUO36" s="545"/>
      <c r="IUP36" s="545"/>
      <c r="IUQ36" s="545"/>
      <c r="IUR36" s="545"/>
      <c r="IUS36" s="545"/>
      <c r="IUT36" s="545"/>
      <c r="IUU36" s="544"/>
      <c r="IUV36" s="545"/>
      <c r="IUW36" s="545"/>
      <c r="IUX36" s="545"/>
      <c r="IUY36" s="545"/>
      <c r="IUZ36" s="545"/>
      <c r="IVA36" s="545"/>
      <c r="IVB36" s="544"/>
      <c r="IVC36" s="545"/>
      <c r="IVD36" s="545"/>
      <c r="IVE36" s="545"/>
      <c r="IVF36" s="545"/>
      <c r="IVG36" s="545"/>
      <c r="IVH36" s="545"/>
      <c r="IVI36" s="544"/>
      <c r="IVJ36" s="545"/>
      <c r="IVK36" s="545"/>
      <c r="IVL36" s="545"/>
      <c r="IVM36" s="545"/>
      <c r="IVN36" s="545"/>
      <c r="IVO36" s="545"/>
      <c r="IVP36" s="544"/>
      <c r="IVQ36" s="545"/>
      <c r="IVR36" s="545"/>
      <c r="IVS36" s="545"/>
      <c r="IVT36" s="545"/>
      <c r="IVU36" s="545"/>
      <c r="IVV36" s="545"/>
      <c r="IVW36" s="544"/>
      <c r="IVX36" s="545"/>
      <c r="IVY36" s="545"/>
      <c r="IVZ36" s="545"/>
      <c r="IWA36" s="545"/>
      <c r="IWB36" s="545"/>
      <c r="IWC36" s="545"/>
      <c r="IWD36" s="544"/>
      <c r="IWE36" s="545"/>
      <c r="IWF36" s="545"/>
      <c r="IWG36" s="545"/>
      <c r="IWH36" s="545"/>
      <c r="IWI36" s="545"/>
      <c r="IWJ36" s="545"/>
      <c r="IWK36" s="544"/>
      <c r="IWL36" s="545"/>
      <c r="IWM36" s="545"/>
      <c r="IWN36" s="545"/>
      <c r="IWO36" s="545"/>
      <c r="IWP36" s="545"/>
      <c r="IWQ36" s="545"/>
      <c r="IWR36" s="544"/>
      <c r="IWS36" s="545"/>
      <c r="IWT36" s="545"/>
      <c r="IWU36" s="545"/>
      <c r="IWV36" s="545"/>
      <c r="IWW36" s="545"/>
      <c r="IWX36" s="545"/>
      <c r="IWY36" s="544"/>
      <c r="IWZ36" s="545"/>
      <c r="IXA36" s="545"/>
      <c r="IXB36" s="545"/>
      <c r="IXC36" s="545"/>
      <c r="IXD36" s="545"/>
      <c r="IXE36" s="545"/>
      <c r="IXF36" s="544"/>
      <c r="IXG36" s="545"/>
      <c r="IXH36" s="545"/>
      <c r="IXI36" s="545"/>
      <c r="IXJ36" s="545"/>
      <c r="IXK36" s="545"/>
      <c r="IXL36" s="545"/>
      <c r="IXM36" s="544"/>
      <c r="IXN36" s="545"/>
      <c r="IXO36" s="545"/>
      <c r="IXP36" s="545"/>
      <c r="IXQ36" s="545"/>
      <c r="IXR36" s="545"/>
      <c r="IXS36" s="545"/>
      <c r="IXT36" s="544"/>
      <c r="IXU36" s="545"/>
      <c r="IXV36" s="545"/>
      <c r="IXW36" s="545"/>
      <c r="IXX36" s="545"/>
      <c r="IXY36" s="545"/>
      <c r="IXZ36" s="545"/>
      <c r="IYA36" s="544"/>
      <c r="IYB36" s="545"/>
      <c r="IYC36" s="545"/>
      <c r="IYD36" s="545"/>
      <c r="IYE36" s="545"/>
      <c r="IYF36" s="545"/>
      <c r="IYG36" s="545"/>
      <c r="IYH36" s="544"/>
      <c r="IYI36" s="545"/>
      <c r="IYJ36" s="545"/>
      <c r="IYK36" s="545"/>
      <c r="IYL36" s="545"/>
      <c r="IYM36" s="545"/>
      <c r="IYN36" s="545"/>
      <c r="IYO36" s="544"/>
      <c r="IYP36" s="545"/>
      <c r="IYQ36" s="545"/>
      <c r="IYR36" s="545"/>
      <c r="IYS36" s="545"/>
      <c r="IYT36" s="545"/>
      <c r="IYU36" s="545"/>
      <c r="IYV36" s="544"/>
      <c r="IYW36" s="545"/>
      <c r="IYX36" s="545"/>
      <c r="IYY36" s="545"/>
      <c r="IYZ36" s="545"/>
      <c r="IZA36" s="545"/>
      <c r="IZB36" s="545"/>
      <c r="IZC36" s="544"/>
      <c r="IZD36" s="545"/>
      <c r="IZE36" s="545"/>
      <c r="IZF36" s="545"/>
      <c r="IZG36" s="545"/>
      <c r="IZH36" s="545"/>
      <c r="IZI36" s="545"/>
      <c r="IZJ36" s="544"/>
      <c r="IZK36" s="545"/>
      <c r="IZL36" s="545"/>
      <c r="IZM36" s="545"/>
      <c r="IZN36" s="545"/>
      <c r="IZO36" s="545"/>
      <c r="IZP36" s="545"/>
      <c r="IZQ36" s="544"/>
      <c r="IZR36" s="545"/>
      <c r="IZS36" s="545"/>
      <c r="IZT36" s="545"/>
      <c r="IZU36" s="545"/>
      <c r="IZV36" s="545"/>
      <c r="IZW36" s="545"/>
      <c r="IZX36" s="544"/>
      <c r="IZY36" s="545"/>
      <c r="IZZ36" s="545"/>
      <c r="JAA36" s="545"/>
      <c r="JAB36" s="545"/>
      <c r="JAC36" s="545"/>
      <c r="JAD36" s="545"/>
      <c r="JAE36" s="544"/>
      <c r="JAF36" s="545"/>
      <c r="JAG36" s="545"/>
      <c r="JAH36" s="545"/>
      <c r="JAI36" s="545"/>
      <c r="JAJ36" s="545"/>
      <c r="JAK36" s="545"/>
      <c r="JAL36" s="544"/>
      <c r="JAM36" s="545"/>
      <c r="JAN36" s="545"/>
      <c r="JAO36" s="545"/>
      <c r="JAP36" s="545"/>
      <c r="JAQ36" s="545"/>
      <c r="JAR36" s="545"/>
      <c r="JAS36" s="544"/>
      <c r="JAT36" s="545"/>
      <c r="JAU36" s="545"/>
      <c r="JAV36" s="545"/>
      <c r="JAW36" s="545"/>
      <c r="JAX36" s="545"/>
      <c r="JAY36" s="545"/>
      <c r="JAZ36" s="544"/>
      <c r="JBA36" s="545"/>
      <c r="JBB36" s="545"/>
      <c r="JBC36" s="545"/>
      <c r="JBD36" s="545"/>
      <c r="JBE36" s="545"/>
      <c r="JBF36" s="545"/>
      <c r="JBG36" s="544"/>
      <c r="JBH36" s="545"/>
      <c r="JBI36" s="545"/>
      <c r="JBJ36" s="545"/>
      <c r="JBK36" s="545"/>
      <c r="JBL36" s="545"/>
      <c r="JBM36" s="545"/>
      <c r="JBN36" s="544"/>
      <c r="JBO36" s="545"/>
      <c r="JBP36" s="545"/>
      <c r="JBQ36" s="545"/>
      <c r="JBR36" s="545"/>
      <c r="JBS36" s="545"/>
      <c r="JBT36" s="545"/>
      <c r="JBU36" s="544"/>
      <c r="JBV36" s="545"/>
      <c r="JBW36" s="545"/>
      <c r="JBX36" s="545"/>
      <c r="JBY36" s="545"/>
      <c r="JBZ36" s="545"/>
      <c r="JCA36" s="545"/>
      <c r="JCB36" s="544"/>
      <c r="JCC36" s="545"/>
      <c r="JCD36" s="545"/>
      <c r="JCE36" s="545"/>
      <c r="JCF36" s="545"/>
      <c r="JCG36" s="545"/>
      <c r="JCH36" s="545"/>
      <c r="JCI36" s="544"/>
      <c r="JCJ36" s="545"/>
      <c r="JCK36" s="545"/>
      <c r="JCL36" s="545"/>
      <c r="JCM36" s="545"/>
      <c r="JCN36" s="545"/>
      <c r="JCO36" s="545"/>
      <c r="JCP36" s="544"/>
      <c r="JCQ36" s="545"/>
      <c r="JCR36" s="545"/>
      <c r="JCS36" s="545"/>
      <c r="JCT36" s="545"/>
      <c r="JCU36" s="545"/>
      <c r="JCV36" s="545"/>
      <c r="JCW36" s="544"/>
      <c r="JCX36" s="545"/>
      <c r="JCY36" s="545"/>
      <c r="JCZ36" s="545"/>
      <c r="JDA36" s="545"/>
      <c r="JDB36" s="545"/>
      <c r="JDC36" s="545"/>
      <c r="JDD36" s="544"/>
      <c r="JDE36" s="545"/>
      <c r="JDF36" s="545"/>
      <c r="JDG36" s="545"/>
      <c r="JDH36" s="545"/>
      <c r="JDI36" s="545"/>
      <c r="JDJ36" s="545"/>
      <c r="JDK36" s="544"/>
      <c r="JDL36" s="545"/>
      <c r="JDM36" s="545"/>
      <c r="JDN36" s="545"/>
      <c r="JDO36" s="545"/>
      <c r="JDP36" s="545"/>
      <c r="JDQ36" s="545"/>
      <c r="JDR36" s="544"/>
      <c r="JDS36" s="545"/>
      <c r="JDT36" s="545"/>
      <c r="JDU36" s="545"/>
      <c r="JDV36" s="545"/>
      <c r="JDW36" s="545"/>
      <c r="JDX36" s="545"/>
      <c r="JDY36" s="544"/>
      <c r="JDZ36" s="545"/>
      <c r="JEA36" s="545"/>
      <c r="JEB36" s="545"/>
      <c r="JEC36" s="545"/>
      <c r="JED36" s="545"/>
      <c r="JEE36" s="545"/>
      <c r="JEF36" s="544"/>
      <c r="JEG36" s="545"/>
      <c r="JEH36" s="545"/>
      <c r="JEI36" s="545"/>
      <c r="JEJ36" s="545"/>
      <c r="JEK36" s="545"/>
      <c r="JEL36" s="545"/>
      <c r="JEM36" s="544"/>
      <c r="JEN36" s="545"/>
      <c r="JEO36" s="545"/>
      <c r="JEP36" s="545"/>
      <c r="JEQ36" s="545"/>
      <c r="JER36" s="545"/>
      <c r="JES36" s="545"/>
      <c r="JET36" s="544"/>
      <c r="JEU36" s="545"/>
      <c r="JEV36" s="545"/>
      <c r="JEW36" s="545"/>
      <c r="JEX36" s="545"/>
      <c r="JEY36" s="545"/>
      <c r="JEZ36" s="545"/>
      <c r="JFA36" s="544"/>
      <c r="JFB36" s="545"/>
      <c r="JFC36" s="545"/>
      <c r="JFD36" s="545"/>
      <c r="JFE36" s="545"/>
      <c r="JFF36" s="545"/>
      <c r="JFG36" s="545"/>
      <c r="JFH36" s="544"/>
      <c r="JFI36" s="545"/>
      <c r="JFJ36" s="545"/>
      <c r="JFK36" s="545"/>
      <c r="JFL36" s="545"/>
      <c r="JFM36" s="545"/>
      <c r="JFN36" s="545"/>
      <c r="JFO36" s="544"/>
      <c r="JFP36" s="545"/>
      <c r="JFQ36" s="545"/>
      <c r="JFR36" s="545"/>
      <c r="JFS36" s="545"/>
      <c r="JFT36" s="545"/>
      <c r="JFU36" s="545"/>
      <c r="JFV36" s="544"/>
      <c r="JFW36" s="545"/>
      <c r="JFX36" s="545"/>
      <c r="JFY36" s="545"/>
      <c r="JFZ36" s="545"/>
      <c r="JGA36" s="545"/>
      <c r="JGB36" s="545"/>
      <c r="JGC36" s="544"/>
      <c r="JGD36" s="545"/>
      <c r="JGE36" s="545"/>
      <c r="JGF36" s="545"/>
      <c r="JGG36" s="545"/>
      <c r="JGH36" s="545"/>
      <c r="JGI36" s="545"/>
      <c r="JGJ36" s="544"/>
      <c r="JGK36" s="545"/>
      <c r="JGL36" s="545"/>
      <c r="JGM36" s="545"/>
      <c r="JGN36" s="545"/>
      <c r="JGO36" s="545"/>
      <c r="JGP36" s="545"/>
      <c r="JGQ36" s="544"/>
      <c r="JGR36" s="545"/>
      <c r="JGS36" s="545"/>
      <c r="JGT36" s="545"/>
      <c r="JGU36" s="545"/>
      <c r="JGV36" s="545"/>
      <c r="JGW36" s="545"/>
      <c r="JGX36" s="544"/>
      <c r="JGY36" s="545"/>
      <c r="JGZ36" s="545"/>
      <c r="JHA36" s="545"/>
      <c r="JHB36" s="545"/>
      <c r="JHC36" s="545"/>
      <c r="JHD36" s="545"/>
      <c r="JHE36" s="544"/>
      <c r="JHF36" s="545"/>
      <c r="JHG36" s="545"/>
      <c r="JHH36" s="545"/>
      <c r="JHI36" s="545"/>
      <c r="JHJ36" s="545"/>
      <c r="JHK36" s="545"/>
      <c r="JHL36" s="544"/>
      <c r="JHM36" s="545"/>
      <c r="JHN36" s="545"/>
      <c r="JHO36" s="545"/>
      <c r="JHP36" s="545"/>
      <c r="JHQ36" s="545"/>
      <c r="JHR36" s="545"/>
      <c r="JHS36" s="544"/>
      <c r="JHT36" s="545"/>
      <c r="JHU36" s="545"/>
      <c r="JHV36" s="545"/>
      <c r="JHW36" s="545"/>
      <c r="JHX36" s="545"/>
      <c r="JHY36" s="545"/>
      <c r="JHZ36" s="544"/>
      <c r="JIA36" s="545"/>
      <c r="JIB36" s="545"/>
      <c r="JIC36" s="545"/>
      <c r="JID36" s="545"/>
      <c r="JIE36" s="545"/>
      <c r="JIF36" s="545"/>
      <c r="JIG36" s="544"/>
      <c r="JIH36" s="545"/>
      <c r="JII36" s="545"/>
      <c r="JIJ36" s="545"/>
      <c r="JIK36" s="545"/>
      <c r="JIL36" s="545"/>
      <c r="JIM36" s="545"/>
      <c r="JIN36" s="544"/>
      <c r="JIO36" s="545"/>
      <c r="JIP36" s="545"/>
      <c r="JIQ36" s="545"/>
      <c r="JIR36" s="545"/>
      <c r="JIS36" s="545"/>
      <c r="JIT36" s="545"/>
      <c r="JIU36" s="544"/>
      <c r="JIV36" s="545"/>
      <c r="JIW36" s="545"/>
      <c r="JIX36" s="545"/>
      <c r="JIY36" s="545"/>
      <c r="JIZ36" s="545"/>
      <c r="JJA36" s="545"/>
      <c r="JJB36" s="544"/>
      <c r="JJC36" s="545"/>
      <c r="JJD36" s="545"/>
      <c r="JJE36" s="545"/>
      <c r="JJF36" s="545"/>
      <c r="JJG36" s="545"/>
      <c r="JJH36" s="545"/>
      <c r="JJI36" s="544"/>
      <c r="JJJ36" s="545"/>
      <c r="JJK36" s="545"/>
      <c r="JJL36" s="545"/>
      <c r="JJM36" s="545"/>
      <c r="JJN36" s="545"/>
      <c r="JJO36" s="545"/>
      <c r="JJP36" s="544"/>
      <c r="JJQ36" s="545"/>
      <c r="JJR36" s="545"/>
      <c r="JJS36" s="545"/>
      <c r="JJT36" s="545"/>
      <c r="JJU36" s="545"/>
      <c r="JJV36" s="545"/>
      <c r="JJW36" s="544"/>
      <c r="JJX36" s="545"/>
      <c r="JJY36" s="545"/>
      <c r="JJZ36" s="545"/>
      <c r="JKA36" s="545"/>
      <c r="JKB36" s="545"/>
      <c r="JKC36" s="545"/>
      <c r="JKD36" s="544"/>
      <c r="JKE36" s="545"/>
      <c r="JKF36" s="545"/>
      <c r="JKG36" s="545"/>
      <c r="JKH36" s="545"/>
      <c r="JKI36" s="545"/>
      <c r="JKJ36" s="545"/>
      <c r="JKK36" s="544"/>
      <c r="JKL36" s="545"/>
      <c r="JKM36" s="545"/>
      <c r="JKN36" s="545"/>
      <c r="JKO36" s="545"/>
      <c r="JKP36" s="545"/>
      <c r="JKQ36" s="545"/>
      <c r="JKR36" s="544"/>
      <c r="JKS36" s="545"/>
      <c r="JKT36" s="545"/>
      <c r="JKU36" s="545"/>
      <c r="JKV36" s="545"/>
      <c r="JKW36" s="545"/>
      <c r="JKX36" s="545"/>
      <c r="JKY36" s="544"/>
      <c r="JKZ36" s="545"/>
      <c r="JLA36" s="545"/>
      <c r="JLB36" s="545"/>
      <c r="JLC36" s="545"/>
      <c r="JLD36" s="545"/>
      <c r="JLE36" s="545"/>
      <c r="JLF36" s="544"/>
      <c r="JLG36" s="545"/>
      <c r="JLH36" s="545"/>
      <c r="JLI36" s="545"/>
      <c r="JLJ36" s="545"/>
      <c r="JLK36" s="545"/>
      <c r="JLL36" s="545"/>
      <c r="JLM36" s="544"/>
      <c r="JLN36" s="545"/>
      <c r="JLO36" s="545"/>
      <c r="JLP36" s="545"/>
      <c r="JLQ36" s="545"/>
      <c r="JLR36" s="545"/>
      <c r="JLS36" s="545"/>
      <c r="JLT36" s="544"/>
      <c r="JLU36" s="545"/>
      <c r="JLV36" s="545"/>
      <c r="JLW36" s="545"/>
      <c r="JLX36" s="545"/>
      <c r="JLY36" s="545"/>
      <c r="JLZ36" s="545"/>
      <c r="JMA36" s="544"/>
      <c r="JMB36" s="545"/>
      <c r="JMC36" s="545"/>
      <c r="JMD36" s="545"/>
      <c r="JME36" s="545"/>
      <c r="JMF36" s="545"/>
      <c r="JMG36" s="545"/>
      <c r="JMH36" s="544"/>
      <c r="JMI36" s="545"/>
      <c r="JMJ36" s="545"/>
      <c r="JMK36" s="545"/>
      <c r="JML36" s="545"/>
      <c r="JMM36" s="545"/>
      <c r="JMN36" s="545"/>
      <c r="JMO36" s="544"/>
      <c r="JMP36" s="545"/>
      <c r="JMQ36" s="545"/>
      <c r="JMR36" s="545"/>
      <c r="JMS36" s="545"/>
      <c r="JMT36" s="545"/>
      <c r="JMU36" s="545"/>
      <c r="JMV36" s="544"/>
      <c r="JMW36" s="545"/>
      <c r="JMX36" s="545"/>
      <c r="JMY36" s="545"/>
      <c r="JMZ36" s="545"/>
      <c r="JNA36" s="545"/>
      <c r="JNB36" s="545"/>
      <c r="JNC36" s="544"/>
      <c r="JND36" s="545"/>
      <c r="JNE36" s="545"/>
      <c r="JNF36" s="545"/>
      <c r="JNG36" s="545"/>
      <c r="JNH36" s="545"/>
      <c r="JNI36" s="545"/>
      <c r="JNJ36" s="544"/>
      <c r="JNK36" s="545"/>
      <c r="JNL36" s="545"/>
      <c r="JNM36" s="545"/>
      <c r="JNN36" s="545"/>
      <c r="JNO36" s="545"/>
      <c r="JNP36" s="545"/>
      <c r="JNQ36" s="544"/>
      <c r="JNR36" s="545"/>
      <c r="JNS36" s="545"/>
      <c r="JNT36" s="545"/>
      <c r="JNU36" s="545"/>
      <c r="JNV36" s="545"/>
      <c r="JNW36" s="545"/>
      <c r="JNX36" s="544"/>
      <c r="JNY36" s="545"/>
      <c r="JNZ36" s="545"/>
      <c r="JOA36" s="545"/>
      <c r="JOB36" s="545"/>
      <c r="JOC36" s="545"/>
      <c r="JOD36" s="545"/>
      <c r="JOE36" s="544"/>
      <c r="JOF36" s="545"/>
      <c r="JOG36" s="545"/>
      <c r="JOH36" s="545"/>
      <c r="JOI36" s="545"/>
      <c r="JOJ36" s="545"/>
      <c r="JOK36" s="545"/>
      <c r="JOL36" s="544"/>
      <c r="JOM36" s="545"/>
      <c r="JON36" s="545"/>
      <c r="JOO36" s="545"/>
      <c r="JOP36" s="545"/>
      <c r="JOQ36" s="545"/>
      <c r="JOR36" s="545"/>
      <c r="JOS36" s="544"/>
      <c r="JOT36" s="545"/>
      <c r="JOU36" s="545"/>
      <c r="JOV36" s="545"/>
      <c r="JOW36" s="545"/>
      <c r="JOX36" s="545"/>
      <c r="JOY36" s="545"/>
      <c r="JOZ36" s="544"/>
      <c r="JPA36" s="545"/>
      <c r="JPB36" s="545"/>
      <c r="JPC36" s="545"/>
      <c r="JPD36" s="545"/>
      <c r="JPE36" s="545"/>
      <c r="JPF36" s="545"/>
      <c r="JPG36" s="544"/>
      <c r="JPH36" s="545"/>
      <c r="JPI36" s="545"/>
      <c r="JPJ36" s="545"/>
      <c r="JPK36" s="545"/>
      <c r="JPL36" s="545"/>
      <c r="JPM36" s="545"/>
      <c r="JPN36" s="544"/>
      <c r="JPO36" s="545"/>
      <c r="JPP36" s="545"/>
      <c r="JPQ36" s="545"/>
      <c r="JPR36" s="545"/>
      <c r="JPS36" s="545"/>
      <c r="JPT36" s="545"/>
      <c r="JPU36" s="544"/>
      <c r="JPV36" s="545"/>
      <c r="JPW36" s="545"/>
      <c r="JPX36" s="545"/>
      <c r="JPY36" s="545"/>
      <c r="JPZ36" s="545"/>
      <c r="JQA36" s="545"/>
      <c r="JQB36" s="544"/>
      <c r="JQC36" s="545"/>
      <c r="JQD36" s="545"/>
      <c r="JQE36" s="545"/>
      <c r="JQF36" s="545"/>
      <c r="JQG36" s="545"/>
      <c r="JQH36" s="545"/>
      <c r="JQI36" s="544"/>
      <c r="JQJ36" s="545"/>
      <c r="JQK36" s="545"/>
      <c r="JQL36" s="545"/>
      <c r="JQM36" s="545"/>
      <c r="JQN36" s="545"/>
      <c r="JQO36" s="545"/>
      <c r="JQP36" s="544"/>
      <c r="JQQ36" s="545"/>
      <c r="JQR36" s="545"/>
      <c r="JQS36" s="545"/>
      <c r="JQT36" s="545"/>
      <c r="JQU36" s="545"/>
      <c r="JQV36" s="545"/>
      <c r="JQW36" s="544"/>
      <c r="JQX36" s="545"/>
      <c r="JQY36" s="545"/>
      <c r="JQZ36" s="545"/>
      <c r="JRA36" s="545"/>
      <c r="JRB36" s="545"/>
      <c r="JRC36" s="545"/>
      <c r="JRD36" s="544"/>
      <c r="JRE36" s="545"/>
      <c r="JRF36" s="545"/>
      <c r="JRG36" s="545"/>
      <c r="JRH36" s="545"/>
      <c r="JRI36" s="545"/>
      <c r="JRJ36" s="545"/>
      <c r="JRK36" s="544"/>
      <c r="JRL36" s="545"/>
      <c r="JRM36" s="545"/>
      <c r="JRN36" s="545"/>
      <c r="JRO36" s="545"/>
      <c r="JRP36" s="545"/>
      <c r="JRQ36" s="545"/>
      <c r="JRR36" s="544"/>
      <c r="JRS36" s="545"/>
      <c r="JRT36" s="545"/>
      <c r="JRU36" s="545"/>
      <c r="JRV36" s="545"/>
      <c r="JRW36" s="545"/>
      <c r="JRX36" s="545"/>
      <c r="JRY36" s="544"/>
      <c r="JRZ36" s="545"/>
      <c r="JSA36" s="545"/>
      <c r="JSB36" s="545"/>
      <c r="JSC36" s="545"/>
      <c r="JSD36" s="545"/>
      <c r="JSE36" s="545"/>
      <c r="JSF36" s="544"/>
      <c r="JSG36" s="545"/>
      <c r="JSH36" s="545"/>
      <c r="JSI36" s="545"/>
      <c r="JSJ36" s="545"/>
      <c r="JSK36" s="545"/>
      <c r="JSL36" s="545"/>
      <c r="JSM36" s="544"/>
      <c r="JSN36" s="545"/>
      <c r="JSO36" s="545"/>
      <c r="JSP36" s="545"/>
      <c r="JSQ36" s="545"/>
      <c r="JSR36" s="545"/>
      <c r="JSS36" s="545"/>
      <c r="JST36" s="544"/>
      <c r="JSU36" s="545"/>
      <c r="JSV36" s="545"/>
      <c r="JSW36" s="545"/>
      <c r="JSX36" s="545"/>
      <c r="JSY36" s="545"/>
      <c r="JSZ36" s="545"/>
      <c r="JTA36" s="544"/>
      <c r="JTB36" s="545"/>
      <c r="JTC36" s="545"/>
      <c r="JTD36" s="545"/>
      <c r="JTE36" s="545"/>
      <c r="JTF36" s="545"/>
      <c r="JTG36" s="545"/>
      <c r="JTH36" s="544"/>
      <c r="JTI36" s="545"/>
      <c r="JTJ36" s="545"/>
      <c r="JTK36" s="545"/>
      <c r="JTL36" s="545"/>
      <c r="JTM36" s="545"/>
      <c r="JTN36" s="545"/>
      <c r="JTO36" s="544"/>
      <c r="JTP36" s="545"/>
      <c r="JTQ36" s="545"/>
      <c r="JTR36" s="545"/>
      <c r="JTS36" s="545"/>
      <c r="JTT36" s="545"/>
      <c r="JTU36" s="545"/>
      <c r="JTV36" s="544"/>
      <c r="JTW36" s="545"/>
      <c r="JTX36" s="545"/>
      <c r="JTY36" s="545"/>
      <c r="JTZ36" s="545"/>
      <c r="JUA36" s="545"/>
      <c r="JUB36" s="545"/>
      <c r="JUC36" s="544"/>
      <c r="JUD36" s="545"/>
      <c r="JUE36" s="545"/>
      <c r="JUF36" s="545"/>
      <c r="JUG36" s="545"/>
      <c r="JUH36" s="545"/>
      <c r="JUI36" s="545"/>
      <c r="JUJ36" s="544"/>
      <c r="JUK36" s="545"/>
      <c r="JUL36" s="545"/>
      <c r="JUM36" s="545"/>
      <c r="JUN36" s="545"/>
      <c r="JUO36" s="545"/>
      <c r="JUP36" s="545"/>
      <c r="JUQ36" s="544"/>
      <c r="JUR36" s="545"/>
      <c r="JUS36" s="545"/>
      <c r="JUT36" s="545"/>
      <c r="JUU36" s="545"/>
      <c r="JUV36" s="545"/>
      <c r="JUW36" s="545"/>
      <c r="JUX36" s="544"/>
      <c r="JUY36" s="545"/>
      <c r="JUZ36" s="545"/>
      <c r="JVA36" s="545"/>
      <c r="JVB36" s="545"/>
      <c r="JVC36" s="545"/>
      <c r="JVD36" s="545"/>
      <c r="JVE36" s="544"/>
      <c r="JVF36" s="545"/>
      <c r="JVG36" s="545"/>
      <c r="JVH36" s="545"/>
      <c r="JVI36" s="545"/>
      <c r="JVJ36" s="545"/>
      <c r="JVK36" s="545"/>
      <c r="JVL36" s="544"/>
      <c r="JVM36" s="545"/>
      <c r="JVN36" s="545"/>
      <c r="JVO36" s="545"/>
      <c r="JVP36" s="545"/>
      <c r="JVQ36" s="545"/>
      <c r="JVR36" s="545"/>
      <c r="JVS36" s="544"/>
      <c r="JVT36" s="545"/>
      <c r="JVU36" s="545"/>
      <c r="JVV36" s="545"/>
      <c r="JVW36" s="545"/>
      <c r="JVX36" s="545"/>
      <c r="JVY36" s="545"/>
      <c r="JVZ36" s="544"/>
      <c r="JWA36" s="545"/>
      <c r="JWB36" s="545"/>
      <c r="JWC36" s="545"/>
      <c r="JWD36" s="545"/>
      <c r="JWE36" s="545"/>
      <c r="JWF36" s="545"/>
      <c r="JWG36" s="544"/>
      <c r="JWH36" s="545"/>
      <c r="JWI36" s="545"/>
      <c r="JWJ36" s="545"/>
      <c r="JWK36" s="545"/>
      <c r="JWL36" s="545"/>
      <c r="JWM36" s="545"/>
      <c r="JWN36" s="544"/>
      <c r="JWO36" s="545"/>
      <c r="JWP36" s="545"/>
      <c r="JWQ36" s="545"/>
      <c r="JWR36" s="545"/>
      <c r="JWS36" s="545"/>
      <c r="JWT36" s="545"/>
      <c r="JWU36" s="544"/>
      <c r="JWV36" s="545"/>
      <c r="JWW36" s="545"/>
      <c r="JWX36" s="545"/>
      <c r="JWY36" s="545"/>
      <c r="JWZ36" s="545"/>
      <c r="JXA36" s="545"/>
      <c r="JXB36" s="544"/>
      <c r="JXC36" s="545"/>
      <c r="JXD36" s="545"/>
      <c r="JXE36" s="545"/>
      <c r="JXF36" s="545"/>
      <c r="JXG36" s="545"/>
      <c r="JXH36" s="545"/>
      <c r="JXI36" s="544"/>
      <c r="JXJ36" s="545"/>
      <c r="JXK36" s="545"/>
      <c r="JXL36" s="545"/>
      <c r="JXM36" s="545"/>
      <c r="JXN36" s="545"/>
      <c r="JXO36" s="545"/>
      <c r="JXP36" s="544"/>
      <c r="JXQ36" s="545"/>
      <c r="JXR36" s="545"/>
      <c r="JXS36" s="545"/>
      <c r="JXT36" s="545"/>
      <c r="JXU36" s="545"/>
      <c r="JXV36" s="545"/>
      <c r="JXW36" s="544"/>
      <c r="JXX36" s="545"/>
      <c r="JXY36" s="545"/>
      <c r="JXZ36" s="545"/>
      <c r="JYA36" s="545"/>
      <c r="JYB36" s="545"/>
      <c r="JYC36" s="545"/>
      <c r="JYD36" s="544"/>
      <c r="JYE36" s="545"/>
      <c r="JYF36" s="545"/>
      <c r="JYG36" s="545"/>
      <c r="JYH36" s="545"/>
      <c r="JYI36" s="545"/>
      <c r="JYJ36" s="545"/>
      <c r="JYK36" s="544"/>
      <c r="JYL36" s="545"/>
      <c r="JYM36" s="545"/>
      <c r="JYN36" s="545"/>
      <c r="JYO36" s="545"/>
      <c r="JYP36" s="545"/>
      <c r="JYQ36" s="545"/>
      <c r="JYR36" s="544"/>
      <c r="JYS36" s="545"/>
      <c r="JYT36" s="545"/>
      <c r="JYU36" s="545"/>
      <c r="JYV36" s="545"/>
      <c r="JYW36" s="545"/>
      <c r="JYX36" s="545"/>
      <c r="JYY36" s="544"/>
      <c r="JYZ36" s="545"/>
      <c r="JZA36" s="545"/>
      <c r="JZB36" s="545"/>
      <c r="JZC36" s="545"/>
      <c r="JZD36" s="545"/>
      <c r="JZE36" s="545"/>
      <c r="JZF36" s="544"/>
      <c r="JZG36" s="545"/>
      <c r="JZH36" s="545"/>
      <c r="JZI36" s="545"/>
      <c r="JZJ36" s="545"/>
      <c r="JZK36" s="545"/>
      <c r="JZL36" s="545"/>
      <c r="JZM36" s="544"/>
      <c r="JZN36" s="545"/>
      <c r="JZO36" s="545"/>
      <c r="JZP36" s="545"/>
      <c r="JZQ36" s="545"/>
      <c r="JZR36" s="545"/>
      <c r="JZS36" s="545"/>
      <c r="JZT36" s="544"/>
      <c r="JZU36" s="545"/>
      <c r="JZV36" s="545"/>
      <c r="JZW36" s="545"/>
      <c r="JZX36" s="545"/>
      <c r="JZY36" s="545"/>
      <c r="JZZ36" s="545"/>
      <c r="KAA36" s="544"/>
      <c r="KAB36" s="545"/>
      <c r="KAC36" s="545"/>
      <c r="KAD36" s="545"/>
      <c r="KAE36" s="545"/>
      <c r="KAF36" s="545"/>
      <c r="KAG36" s="545"/>
      <c r="KAH36" s="544"/>
      <c r="KAI36" s="545"/>
      <c r="KAJ36" s="545"/>
      <c r="KAK36" s="545"/>
      <c r="KAL36" s="545"/>
      <c r="KAM36" s="545"/>
      <c r="KAN36" s="545"/>
      <c r="KAO36" s="544"/>
      <c r="KAP36" s="545"/>
      <c r="KAQ36" s="545"/>
      <c r="KAR36" s="545"/>
      <c r="KAS36" s="545"/>
      <c r="KAT36" s="545"/>
      <c r="KAU36" s="545"/>
      <c r="KAV36" s="544"/>
      <c r="KAW36" s="545"/>
      <c r="KAX36" s="545"/>
      <c r="KAY36" s="545"/>
      <c r="KAZ36" s="545"/>
      <c r="KBA36" s="545"/>
      <c r="KBB36" s="545"/>
      <c r="KBC36" s="544"/>
      <c r="KBD36" s="545"/>
      <c r="KBE36" s="545"/>
      <c r="KBF36" s="545"/>
      <c r="KBG36" s="545"/>
      <c r="KBH36" s="545"/>
      <c r="KBI36" s="545"/>
      <c r="KBJ36" s="544"/>
      <c r="KBK36" s="545"/>
      <c r="KBL36" s="545"/>
      <c r="KBM36" s="545"/>
      <c r="KBN36" s="545"/>
      <c r="KBO36" s="545"/>
      <c r="KBP36" s="545"/>
      <c r="KBQ36" s="544"/>
      <c r="KBR36" s="545"/>
      <c r="KBS36" s="545"/>
      <c r="KBT36" s="545"/>
      <c r="KBU36" s="545"/>
      <c r="KBV36" s="545"/>
      <c r="KBW36" s="545"/>
      <c r="KBX36" s="544"/>
      <c r="KBY36" s="545"/>
      <c r="KBZ36" s="545"/>
      <c r="KCA36" s="545"/>
      <c r="KCB36" s="545"/>
      <c r="KCC36" s="545"/>
      <c r="KCD36" s="545"/>
      <c r="KCE36" s="544"/>
      <c r="KCF36" s="545"/>
      <c r="KCG36" s="545"/>
      <c r="KCH36" s="545"/>
      <c r="KCI36" s="545"/>
      <c r="KCJ36" s="545"/>
      <c r="KCK36" s="545"/>
      <c r="KCL36" s="544"/>
      <c r="KCM36" s="545"/>
      <c r="KCN36" s="545"/>
      <c r="KCO36" s="545"/>
      <c r="KCP36" s="545"/>
      <c r="KCQ36" s="545"/>
      <c r="KCR36" s="545"/>
      <c r="KCS36" s="544"/>
      <c r="KCT36" s="545"/>
      <c r="KCU36" s="545"/>
      <c r="KCV36" s="545"/>
      <c r="KCW36" s="545"/>
      <c r="KCX36" s="545"/>
      <c r="KCY36" s="545"/>
      <c r="KCZ36" s="544"/>
      <c r="KDA36" s="545"/>
      <c r="KDB36" s="545"/>
      <c r="KDC36" s="545"/>
      <c r="KDD36" s="545"/>
      <c r="KDE36" s="545"/>
      <c r="KDF36" s="545"/>
      <c r="KDG36" s="544"/>
      <c r="KDH36" s="545"/>
      <c r="KDI36" s="545"/>
      <c r="KDJ36" s="545"/>
      <c r="KDK36" s="545"/>
      <c r="KDL36" s="545"/>
      <c r="KDM36" s="545"/>
      <c r="KDN36" s="544"/>
      <c r="KDO36" s="545"/>
      <c r="KDP36" s="545"/>
      <c r="KDQ36" s="545"/>
      <c r="KDR36" s="545"/>
      <c r="KDS36" s="545"/>
      <c r="KDT36" s="545"/>
      <c r="KDU36" s="544"/>
      <c r="KDV36" s="545"/>
      <c r="KDW36" s="545"/>
      <c r="KDX36" s="545"/>
      <c r="KDY36" s="545"/>
      <c r="KDZ36" s="545"/>
      <c r="KEA36" s="545"/>
      <c r="KEB36" s="544"/>
      <c r="KEC36" s="545"/>
      <c r="KED36" s="545"/>
      <c r="KEE36" s="545"/>
      <c r="KEF36" s="545"/>
      <c r="KEG36" s="545"/>
      <c r="KEH36" s="545"/>
      <c r="KEI36" s="544"/>
      <c r="KEJ36" s="545"/>
      <c r="KEK36" s="545"/>
      <c r="KEL36" s="545"/>
      <c r="KEM36" s="545"/>
      <c r="KEN36" s="545"/>
      <c r="KEO36" s="545"/>
      <c r="KEP36" s="544"/>
      <c r="KEQ36" s="545"/>
      <c r="KER36" s="545"/>
      <c r="KES36" s="545"/>
      <c r="KET36" s="545"/>
      <c r="KEU36" s="545"/>
      <c r="KEV36" s="545"/>
      <c r="KEW36" s="544"/>
      <c r="KEX36" s="545"/>
      <c r="KEY36" s="545"/>
      <c r="KEZ36" s="545"/>
      <c r="KFA36" s="545"/>
      <c r="KFB36" s="545"/>
      <c r="KFC36" s="545"/>
      <c r="KFD36" s="544"/>
      <c r="KFE36" s="545"/>
      <c r="KFF36" s="545"/>
      <c r="KFG36" s="545"/>
      <c r="KFH36" s="545"/>
      <c r="KFI36" s="545"/>
      <c r="KFJ36" s="545"/>
      <c r="KFK36" s="544"/>
      <c r="KFL36" s="545"/>
      <c r="KFM36" s="545"/>
      <c r="KFN36" s="545"/>
      <c r="KFO36" s="545"/>
      <c r="KFP36" s="545"/>
      <c r="KFQ36" s="545"/>
      <c r="KFR36" s="544"/>
      <c r="KFS36" s="545"/>
      <c r="KFT36" s="545"/>
      <c r="KFU36" s="545"/>
      <c r="KFV36" s="545"/>
      <c r="KFW36" s="545"/>
      <c r="KFX36" s="545"/>
      <c r="KFY36" s="544"/>
      <c r="KFZ36" s="545"/>
      <c r="KGA36" s="545"/>
      <c r="KGB36" s="545"/>
      <c r="KGC36" s="545"/>
      <c r="KGD36" s="545"/>
      <c r="KGE36" s="545"/>
      <c r="KGF36" s="544"/>
      <c r="KGG36" s="545"/>
      <c r="KGH36" s="545"/>
      <c r="KGI36" s="545"/>
      <c r="KGJ36" s="545"/>
      <c r="KGK36" s="545"/>
      <c r="KGL36" s="545"/>
      <c r="KGM36" s="544"/>
      <c r="KGN36" s="545"/>
      <c r="KGO36" s="545"/>
      <c r="KGP36" s="545"/>
      <c r="KGQ36" s="545"/>
      <c r="KGR36" s="545"/>
      <c r="KGS36" s="545"/>
      <c r="KGT36" s="544"/>
      <c r="KGU36" s="545"/>
      <c r="KGV36" s="545"/>
      <c r="KGW36" s="545"/>
      <c r="KGX36" s="545"/>
      <c r="KGY36" s="545"/>
      <c r="KGZ36" s="545"/>
      <c r="KHA36" s="544"/>
      <c r="KHB36" s="545"/>
      <c r="KHC36" s="545"/>
      <c r="KHD36" s="545"/>
      <c r="KHE36" s="545"/>
      <c r="KHF36" s="545"/>
      <c r="KHG36" s="545"/>
      <c r="KHH36" s="544"/>
      <c r="KHI36" s="545"/>
      <c r="KHJ36" s="545"/>
      <c r="KHK36" s="545"/>
      <c r="KHL36" s="545"/>
      <c r="KHM36" s="545"/>
      <c r="KHN36" s="545"/>
      <c r="KHO36" s="544"/>
      <c r="KHP36" s="545"/>
      <c r="KHQ36" s="545"/>
      <c r="KHR36" s="545"/>
      <c r="KHS36" s="545"/>
      <c r="KHT36" s="545"/>
      <c r="KHU36" s="545"/>
      <c r="KHV36" s="544"/>
      <c r="KHW36" s="545"/>
      <c r="KHX36" s="545"/>
      <c r="KHY36" s="545"/>
      <c r="KHZ36" s="545"/>
      <c r="KIA36" s="545"/>
      <c r="KIB36" s="545"/>
      <c r="KIC36" s="544"/>
      <c r="KID36" s="545"/>
      <c r="KIE36" s="545"/>
      <c r="KIF36" s="545"/>
      <c r="KIG36" s="545"/>
      <c r="KIH36" s="545"/>
      <c r="KII36" s="545"/>
      <c r="KIJ36" s="544"/>
      <c r="KIK36" s="545"/>
      <c r="KIL36" s="545"/>
      <c r="KIM36" s="545"/>
      <c r="KIN36" s="545"/>
      <c r="KIO36" s="545"/>
      <c r="KIP36" s="545"/>
      <c r="KIQ36" s="544"/>
      <c r="KIR36" s="545"/>
      <c r="KIS36" s="545"/>
      <c r="KIT36" s="545"/>
      <c r="KIU36" s="545"/>
      <c r="KIV36" s="545"/>
      <c r="KIW36" s="545"/>
      <c r="KIX36" s="544"/>
      <c r="KIY36" s="545"/>
      <c r="KIZ36" s="545"/>
      <c r="KJA36" s="545"/>
      <c r="KJB36" s="545"/>
      <c r="KJC36" s="545"/>
      <c r="KJD36" s="545"/>
      <c r="KJE36" s="544"/>
      <c r="KJF36" s="545"/>
      <c r="KJG36" s="545"/>
      <c r="KJH36" s="545"/>
      <c r="KJI36" s="545"/>
      <c r="KJJ36" s="545"/>
      <c r="KJK36" s="545"/>
      <c r="KJL36" s="544"/>
      <c r="KJM36" s="545"/>
      <c r="KJN36" s="545"/>
      <c r="KJO36" s="545"/>
      <c r="KJP36" s="545"/>
      <c r="KJQ36" s="545"/>
      <c r="KJR36" s="545"/>
      <c r="KJS36" s="544"/>
      <c r="KJT36" s="545"/>
      <c r="KJU36" s="545"/>
      <c r="KJV36" s="545"/>
      <c r="KJW36" s="545"/>
      <c r="KJX36" s="545"/>
      <c r="KJY36" s="545"/>
      <c r="KJZ36" s="544"/>
      <c r="KKA36" s="545"/>
      <c r="KKB36" s="545"/>
      <c r="KKC36" s="545"/>
      <c r="KKD36" s="545"/>
      <c r="KKE36" s="545"/>
      <c r="KKF36" s="545"/>
      <c r="KKG36" s="544"/>
      <c r="KKH36" s="545"/>
      <c r="KKI36" s="545"/>
      <c r="KKJ36" s="545"/>
      <c r="KKK36" s="545"/>
      <c r="KKL36" s="545"/>
      <c r="KKM36" s="545"/>
      <c r="KKN36" s="544"/>
      <c r="KKO36" s="545"/>
      <c r="KKP36" s="545"/>
      <c r="KKQ36" s="545"/>
      <c r="KKR36" s="545"/>
      <c r="KKS36" s="545"/>
      <c r="KKT36" s="545"/>
      <c r="KKU36" s="544"/>
      <c r="KKV36" s="545"/>
      <c r="KKW36" s="545"/>
      <c r="KKX36" s="545"/>
      <c r="KKY36" s="545"/>
      <c r="KKZ36" s="545"/>
      <c r="KLA36" s="545"/>
      <c r="KLB36" s="544"/>
      <c r="KLC36" s="545"/>
      <c r="KLD36" s="545"/>
      <c r="KLE36" s="545"/>
      <c r="KLF36" s="545"/>
      <c r="KLG36" s="545"/>
      <c r="KLH36" s="545"/>
      <c r="KLI36" s="544"/>
      <c r="KLJ36" s="545"/>
      <c r="KLK36" s="545"/>
      <c r="KLL36" s="545"/>
      <c r="KLM36" s="545"/>
      <c r="KLN36" s="545"/>
      <c r="KLO36" s="545"/>
      <c r="KLP36" s="544"/>
      <c r="KLQ36" s="545"/>
      <c r="KLR36" s="545"/>
      <c r="KLS36" s="545"/>
      <c r="KLT36" s="545"/>
      <c r="KLU36" s="545"/>
      <c r="KLV36" s="545"/>
      <c r="KLW36" s="544"/>
      <c r="KLX36" s="545"/>
      <c r="KLY36" s="545"/>
      <c r="KLZ36" s="545"/>
      <c r="KMA36" s="545"/>
      <c r="KMB36" s="545"/>
      <c r="KMC36" s="545"/>
      <c r="KMD36" s="544"/>
      <c r="KME36" s="545"/>
      <c r="KMF36" s="545"/>
      <c r="KMG36" s="545"/>
      <c r="KMH36" s="545"/>
      <c r="KMI36" s="545"/>
      <c r="KMJ36" s="545"/>
      <c r="KMK36" s="544"/>
      <c r="KML36" s="545"/>
      <c r="KMM36" s="545"/>
      <c r="KMN36" s="545"/>
      <c r="KMO36" s="545"/>
      <c r="KMP36" s="545"/>
      <c r="KMQ36" s="545"/>
      <c r="KMR36" s="544"/>
      <c r="KMS36" s="545"/>
      <c r="KMT36" s="545"/>
      <c r="KMU36" s="545"/>
      <c r="KMV36" s="545"/>
      <c r="KMW36" s="545"/>
      <c r="KMX36" s="545"/>
      <c r="KMY36" s="544"/>
      <c r="KMZ36" s="545"/>
      <c r="KNA36" s="545"/>
      <c r="KNB36" s="545"/>
      <c r="KNC36" s="545"/>
      <c r="KND36" s="545"/>
      <c r="KNE36" s="545"/>
      <c r="KNF36" s="544"/>
      <c r="KNG36" s="545"/>
      <c r="KNH36" s="545"/>
      <c r="KNI36" s="545"/>
      <c r="KNJ36" s="545"/>
      <c r="KNK36" s="545"/>
      <c r="KNL36" s="545"/>
      <c r="KNM36" s="544"/>
      <c r="KNN36" s="545"/>
      <c r="KNO36" s="545"/>
      <c r="KNP36" s="545"/>
      <c r="KNQ36" s="545"/>
      <c r="KNR36" s="545"/>
      <c r="KNS36" s="545"/>
      <c r="KNT36" s="544"/>
      <c r="KNU36" s="545"/>
      <c r="KNV36" s="545"/>
      <c r="KNW36" s="545"/>
      <c r="KNX36" s="545"/>
      <c r="KNY36" s="545"/>
      <c r="KNZ36" s="545"/>
      <c r="KOA36" s="544"/>
      <c r="KOB36" s="545"/>
      <c r="KOC36" s="545"/>
      <c r="KOD36" s="545"/>
      <c r="KOE36" s="545"/>
      <c r="KOF36" s="545"/>
      <c r="KOG36" s="545"/>
      <c r="KOH36" s="544"/>
      <c r="KOI36" s="545"/>
      <c r="KOJ36" s="545"/>
      <c r="KOK36" s="545"/>
      <c r="KOL36" s="545"/>
      <c r="KOM36" s="545"/>
      <c r="KON36" s="545"/>
      <c r="KOO36" s="544"/>
      <c r="KOP36" s="545"/>
      <c r="KOQ36" s="545"/>
      <c r="KOR36" s="545"/>
      <c r="KOS36" s="545"/>
      <c r="KOT36" s="545"/>
      <c r="KOU36" s="545"/>
      <c r="KOV36" s="544"/>
      <c r="KOW36" s="545"/>
      <c r="KOX36" s="545"/>
      <c r="KOY36" s="545"/>
      <c r="KOZ36" s="545"/>
      <c r="KPA36" s="545"/>
      <c r="KPB36" s="545"/>
      <c r="KPC36" s="544"/>
      <c r="KPD36" s="545"/>
      <c r="KPE36" s="545"/>
      <c r="KPF36" s="545"/>
      <c r="KPG36" s="545"/>
      <c r="KPH36" s="545"/>
      <c r="KPI36" s="545"/>
      <c r="KPJ36" s="544"/>
      <c r="KPK36" s="545"/>
      <c r="KPL36" s="545"/>
      <c r="KPM36" s="545"/>
      <c r="KPN36" s="545"/>
      <c r="KPO36" s="545"/>
      <c r="KPP36" s="545"/>
      <c r="KPQ36" s="544"/>
      <c r="KPR36" s="545"/>
      <c r="KPS36" s="545"/>
      <c r="KPT36" s="545"/>
      <c r="KPU36" s="545"/>
      <c r="KPV36" s="545"/>
      <c r="KPW36" s="545"/>
      <c r="KPX36" s="544"/>
      <c r="KPY36" s="545"/>
      <c r="KPZ36" s="545"/>
      <c r="KQA36" s="545"/>
      <c r="KQB36" s="545"/>
      <c r="KQC36" s="545"/>
      <c r="KQD36" s="545"/>
      <c r="KQE36" s="544"/>
      <c r="KQF36" s="545"/>
      <c r="KQG36" s="545"/>
      <c r="KQH36" s="545"/>
      <c r="KQI36" s="545"/>
      <c r="KQJ36" s="545"/>
      <c r="KQK36" s="545"/>
      <c r="KQL36" s="544"/>
      <c r="KQM36" s="545"/>
      <c r="KQN36" s="545"/>
      <c r="KQO36" s="545"/>
      <c r="KQP36" s="545"/>
      <c r="KQQ36" s="545"/>
      <c r="KQR36" s="545"/>
      <c r="KQS36" s="544"/>
      <c r="KQT36" s="545"/>
      <c r="KQU36" s="545"/>
      <c r="KQV36" s="545"/>
      <c r="KQW36" s="545"/>
      <c r="KQX36" s="545"/>
      <c r="KQY36" s="545"/>
      <c r="KQZ36" s="544"/>
      <c r="KRA36" s="545"/>
      <c r="KRB36" s="545"/>
      <c r="KRC36" s="545"/>
      <c r="KRD36" s="545"/>
      <c r="KRE36" s="545"/>
      <c r="KRF36" s="545"/>
      <c r="KRG36" s="544"/>
      <c r="KRH36" s="545"/>
      <c r="KRI36" s="545"/>
      <c r="KRJ36" s="545"/>
      <c r="KRK36" s="545"/>
      <c r="KRL36" s="545"/>
      <c r="KRM36" s="545"/>
      <c r="KRN36" s="544"/>
      <c r="KRO36" s="545"/>
      <c r="KRP36" s="545"/>
      <c r="KRQ36" s="545"/>
      <c r="KRR36" s="545"/>
      <c r="KRS36" s="545"/>
      <c r="KRT36" s="545"/>
      <c r="KRU36" s="544"/>
      <c r="KRV36" s="545"/>
      <c r="KRW36" s="545"/>
      <c r="KRX36" s="545"/>
      <c r="KRY36" s="545"/>
      <c r="KRZ36" s="545"/>
      <c r="KSA36" s="545"/>
      <c r="KSB36" s="544"/>
      <c r="KSC36" s="545"/>
      <c r="KSD36" s="545"/>
      <c r="KSE36" s="545"/>
      <c r="KSF36" s="545"/>
      <c r="KSG36" s="545"/>
      <c r="KSH36" s="545"/>
      <c r="KSI36" s="544"/>
      <c r="KSJ36" s="545"/>
      <c r="KSK36" s="545"/>
      <c r="KSL36" s="545"/>
      <c r="KSM36" s="545"/>
      <c r="KSN36" s="545"/>
      <c r="KSO36" s="545"/>
      <c r="KSP36" s="544"/>
      <c r="KSQ36" s="545"/>
      <c r="KSR36" s="545"/>
      <c r="KSS36" s="545"/>
      <c r="KST36" s="545"/>
      <c r="KSU36" s="545"/>
      <c r="KSV36" s="545"/>
      <c r="KSW36" s="544"/>
      <c r="KSX36" s="545"/>
      <c r="KSY36" s="545"/>
      <c r="KSZ36" s="545"/>
      <c r="KTA36" s="545"/>
      <c r="KTB36" s="545"/>
      <c r="KTC36" s="545"/>
      <c r="KTD36" s="544"/>
      <c r="KTE36" s="545"/>
      <c r="KTF36" s="545"/>
      <c r="KTG36" s="545"/>
      <c r="KTH36" s="545"/>
      <c r="KTI36" s="545"/>
      <c r="KTJ36" s="545"/>
      <c r="KTK36" s="544"/>
      <c r="KTL36" s="545"/>
      <c r="KTM36" s="545"/>
      <c r="KTN36" s="545"/>
      <c r="KTO36" s="545"/>
      <c r="KTP36" s="545"/>
      <c r="KTQ36" s="545"/>
      <c r="KTR36" s="544"/>
      <c r="KTS36" s="545"/>
      <c r="KTT36" s="545"/>
      <c r="KTU36" s="545"/>
      <c r="KTV36" s="545"/>
      <c r="KTW36" s="545"/>
      <c r="KTX36" s="545"/>
      <c r="KTY36" s="544"/>
      <c r="KTZ36" s="545"/>
      <c r="KUA36" s="545"/>
      <c r="KUB36" s="545"/>
      <c r="KUC36" s="545"/>
      <c r="KUD36" s="545"/>
      <c r="KUE36" s="545"/>
      <c r="KUF36" s="544"/>
      <c r="KUG36" s="545"/>
      <c r="KUH36" s="545"/>
      <c r="KUI36" s="545"/>
      <c r="KUJ36" s="545"/>
      <c r="KUK36" s="545"/>
      <c r="KUL36" s="545"/>
      <c r="KUM36" s="544"/>
      <c r="KUN36" s="545"/>
      <c r="KUO36" s="545"/>
      <c r="KUP36" s="545"/>
      <c r="KUQ36" s="545"/>
      <c r="KUR36" s="545"/>
      <c r="KUS36" s="545"/>
      <c r="KUT36" s="544"/>
      <c r="KUU36" s="545"/>
      <c r="KUV36" s="545"/>
      <c r="KUW36" s="545"/>
      <c r="KUX36" s="545"/>
      <c r="KUY36" s="545"/>
      <c r="KUZ36" s="545"/>
      <c r="KVA36" s="544"/>
      <c r="KVB36" s="545"/>
      <c r="KVC36" s="545"/>
      <c r="KVD36" s="545"/>
      <c r="KVE36" s="545"/>
      <c r="KVF36" s="545"/>
      <c r="KVG36" s="545"/>
      <c r="KVH36" s="544"/>
      <c r="KVI36" s="545"/>
      <c r="KVJ36" s="545"/>
      <c r="KVK36" s="545"/>
      <c r="KVL36" s="545"/>
      <c r="KVM36" s="545"/>
      <c r="KVN36" s="545"/>
      <c r="KVO36" s="544"/>
      <c r="KVP36" s="545"/>
      <c r="KVQ36" s="545"/>
      <c r="KVR36" s="545"/>
      <c r="KVS36" s="545"/>
      <c r="KVT36" s="545"/>
      <c r="KVU36" s="545"/>
      <c r="KVV36" s="544"/>
      <c r="KVW36" s="545"/>
      <c r="KVX36" s="545"/>
      <c r="KVY36" s="545"/>
      <c r="KVZ36" s="545"/>
      <c r="KWA36" s="545"/>
      <c r="KWB36" s="545"/>
      <c r="KWC36" s="544"/>
      <c r="KWD36" s="545"/>
      <c r="KWE36" s="545"/>
      <c r="KWF36" s="545"/>
      <c r="KWG36" s="545"/>
      <c r="KWH36" s="545"/>
      <c r="KWI36" s="545"/>
      <c r="KWJ36" s="544"/>
      <c r="KWK36" s="545"/>
      <c r="KWL36" s="545"/>
      <c r="KWM36" s="545"/>
      <c r="KWN36" s="545"/>
      <c r="KWO36" s="545"/>
      <c r="KWP36" s="545"/>
      <c r="KWQ36" s="544"/>
      <c r="KWR36" s="545"/>
      <c r="KWS36" s="545"/>
      <c r="KWT36" s="545"/>
      <c r="KWU36" s="545"/>
      <c r="KWV36" s="545"/>
      <c r="KWW36" s="545"/>
      <c r="KWX36" s="544"/>
      <c r="KWY36" s="545"/>
      <c r="KWZ36" s="545"/>
      <c r="KXA36" s="545"/>
      <c r="KXB36" s="545"/>
      <c r="KXC36" s="545"/>
      <c r="KXD36" s="545"/>
      <c r="KXE36" s="544"/>
      <c r="KXF36" s="545"/>
      <c r="KXG36" s="545"/>
      <c r="KXH36" s="545"/>
      <c r="KXI36" s="545"/>
      <c r="KXJ36" s="545"/>
      <c r="KXK36" s="545"/>
      <c r="KXL36" s="544"/>
      <c r="KXM36" s="545"/>
      <c r="KXN36" s="545"/>
      <c r="KXO36" s="545"/>
      <c r="KXP36" s="545"/>
      <c r="KXQ36" s="545"/>
      <c r="KXR36" s="545"/>
      <c r="KXS36" s="544"/>
      <c r="KXT36" s="545"/>
      <c r="KXU36" s="545"/>
      <c r="KXV36" s="545"/>
      <c r="KXW36" s="545"/>
      <c r="KXX36" s="545"/>
      <c r="KXY36" s="545"/>
      <c r="KXZ36" s="544"/>
      <c r="KYA36" s="545"/>
      <c r="KYB36" s="545"/>
      <c r="KYC36" s="545"/>
      <c r="KYD36" s="545"/>
      <c r="KYE36" s="545"/>
      <c r="KYF36" s="545"/>
      <c r="KYG36" s="544"/>
      <c r="KYH36" s="545"/>
      <c r="KYI36" s="545"/>
      <c r="KYJ36" s="545"/>
      <c r="KYK36" s="545"/>
      <c r="KYL36" s="545"/>
      <c r="KYM36" s="545"/>
      <c r="KYN36" s="544"/>
      <c r="KYO36" s="545"/>
      <c r="KYP36" s="545"/>
      <c r="KYQ36" s="545"/>
      <c r="KYR36" s="545"/>
      <c r="KYS36" s="545"/>
      <c r="KYT36" s="545"/>
      <c r="KYU36" s="544"/>
      <c r="KYV36" s="545"/>
      <c r="KYW36" s="545"/>
      <c r="KYX36" s="545"/>
      <c r="KYY36" s="545"/>
      <c r="KYZ36" s="545"/>
      <c r="KZA36" s="545"/>
      <c r="KZB36" s="544"/>
      <c r="KZC36" s="545"/>
      <c r="KZD36" s="545"/>
      <c r="KZE36" s="545"/>
      <c r="KZF36" s="545"/>
      <c r="KZG36" s="545"/>
      <c r="KZH36" s="545"/>
      <c r="KZI36" s="544"/>
      <c r="KZJ36" s="545"/>
      <c r="KZK36" s="545"/>
      <c r="KZL36" s="545"/>
      <c r="KZM36" s="545"/>
      <c r="KZN36" s="545"/>
      <c r="KZO36" s="545"/>
      <c r="KZP36" s="544"/>
      <c r="KZQ36" s="545"/>
      <c r="KZR36" s="545"/>
      <c r="KZS36" s="545"/>
      <c r="KZT36" s="545"/>
      <c r="KZU36" s="545"/>
      <c r="KZV36" s="545"/>
      <c r="KZW36" s="544"/>
      <c r="KZX36" s="545"/>
      <c r="KZY36" s="545"/>
      <c r="KZZ36" s="545"/>
      <c r="LAA36" s="545"/>
      <c r="LAB36" s="545"/>
      <c r="LAC36" s="545"/>
      <c r="LAD36" s="544"/>
      <c r="LAE36" s="545"/>
      <c r="LAF36" s="545"/>
      <c r="LAG36" s="545"/>
      <c r="LAH36" s="545"/>
      <c r="LAI36" s="545"/>
      <c r="LAJ36" s="545"/>
      <c r="LAK36" s="544"/>
      <c r="LAL36" s="545"/>
      <c r="LAM36" s="545"/>
      <c r="LAN36" s="545"/>
      <c r="LAO36" s="545"/>
      <c r="LAP36" s="545"/>
      <c r="LAQ36" s="545"/>
      <c r="LAR36" s="544"/>
      <c r="LAS36" s="545"/>
      <c r="LAT36" s="545"/>
      <c r="LAU36" s="545"/>
      <c r="LAV36" s="545"/>
      <c r="LAW36" s="545"/>
      <c r="LAX36" s="545"/>
      <c r="LAY36" s="544"/>
      <c r="LAZ36" s="545"/>
      <c r="LBA36" s="545"/>
      <c r="LBB36" s="545"/>
      <c r="LBC36" s="545"/>
      <c r="LBD36" s="545"/>
      <c r="LBE36" s="545"/>
      <c r="LBF36" s="544"/>
      <c r="LBG36" s="545"/>
      <c r="LBH36" s="545"/>
      <c r="LBI36" s="545"/>
      <c r="LBJ36" s="545"/>
      <c r="LBK36" s="545"/>
      <c r="LBL36" s="545"/>
      <c r="LBM36" s="544"/>
      <c r="LBN36" s="545"/>
      <c r="LBO36" s="545"/>
      <c r="LBP36" s="545"/>
      <c r="LBQ36" s="545"/>
      <c r="LBR36" s="545"/>
      <c r="LBS36" s="545"/>
      <c r="LBT36" s="544"/>
      <c r="LBU36" s="545"/>
      <c r="LBV36" s="545"/>
      <c r="LBW36" s="545"/>
      <c r="LBX36" s="545"/>
      <c r="LBY36" s="545"/>
      <c r="LBZ36" s="545"/>
      <c r="LCA36" s="544"/>
      <c r="LCB36" s="545"/>
      <c r="LCC36" s="545"/>
      <c r="LCD36" s="545"/>
      <c r="LCE36" s="545"/>
      <c r="LCF36" s="545"/>
      <c r="LCG36" s="545"/>
      <c r="LCH36" s="544"/>
      <c r="LCI36" s="545"/>
      <c r="LCJ36" s="545"/>
      <c r="LCK36" s="545"/>
      <c r="LCL36" s="545"/>
      <c r="LCM36" s="545"/>
      <c r="LCN36" s="545"/>
      <c r="LCO36" s="544"/>
      <c r="LCP36" s="545"/>
      <c r="LCQ36" s="545"/>
      <c r="LCR36" s="545"/>
      <c r="LCS36" s="545"/>
      <c r="LCT36" s="545"/>
      <c r="LCU36" s="545"/>
      <c r="LCV36" s="544"/>
      <c r="LCW36" s="545"/>
      <c r="LCX36" s="545"/>
      <c r="LCY36" s="545"/>
      <c r="LCZ36" s="545"/>
      <c r="LDA36" s="545"/>
      <c r="LDB36" s="545"/>
      <c r="LDC36" s="544"/>
      <c r="LDD36" s="545"/>
      <c r="LDE36" s="545"/>
      <c r="LDF36" s="545"/>
      <c r="LDG36" s="545"/>
      <c r="LDH36" s="545"/>
      <c r="LDI36" s="545"/>
      <c r="LDJ36" s="544"/>
      <c r="LDK36" s="545"/>
      <c r="LDL36" s="545"/>
      <c r="LDM36" s="545"/>
      <c r="LDN36" s="545"/>
      <c r="LDO36" s="545"/>
      <c r="LDP36" s="545"/>
      <c r="LDQ36" s="544"/>
      <c r="LDR36" s="545"/>
      <c r="LDS36" s="545"/>
      <c r="LDT36" s="545"/>
      <c r="LDU36" s="545"/>
      <c r="LDV36" s="545"/>
      <c r="LDW36" s="545"/>
      <c r="LDX36" s="544"/>
      <c r="LDY36" s="545"/>
      <c r="LDZ36" s="545"/>
      <c r="LEA36" s="545"/>
      <c r="LEB36" s="545"/>
      <c r="LEC36" s="545"/>
      <c r="LED36" s="545"/>
      <c r="LEE36" s="544"/>
      <c r="LEF36" s="545"/>
      <c r="LEG36" s="545"/>
      <c r="LEH36" s="545"/>
      <c r="LEI36" s="545"/>
      <c r="LEJ36" s="545"/>
      <c r="LEK36" s="545"/>
      <c r="LEL36" s="544"/>
      <c r="LEM36" s="545"/>
      <c r="LEN36" s="545"/>
      <c r="LEO36" s="545"/>
      <c r="LEP36" s="545"/>
      <c r="LEQ36" s="545"/>
      <c r="LER36" s="545"/>
      <c r="LES36" s="544"/>
      <c r="LET36" s="545"/>
      <c r="LEU36" s="545"/>
      <c r="LEV36" s="545"/>
      <c r="LEW36" s="545"/>
      <c r="LEX36" s="545"/>
      <c r="LEY36" s="545"/>
      <c r="LEZ36" s="544"/>
      <c r="LFA36" s="545"/>
      <c r="LFB36" s="545"/>
      <c r="LFC36" s="545"/>
      <c r="LFD36" s="545"/>
      <c r="LFE36" s="545"/>
      <c r="LFF36" s="545"/>
      <c r="LFG36" s="544"/>
      <c r="LFH36" s="545"/>
      <c r="LFI36" s="545"/>
      <c r="LFJ36" s="545"/>
      <c r="LFK36" s="545"/>
      <c r="LFL36" s="545"/>
      <c r="LFM36" s="545"/>
      <c r="LFN36" s="544"/>
      <c r="LFO36" s="545"/>
      <c r="LFP36" s="545"/>
      <c r="LFQ36" s="545"/>
      <c r="LFR36" s="545"/>
      <c r="LFS36" s="545"/>
      <c r="LFT36" s="545"/>
      <c r="LFU36" s="544"/>
      <c r="LFV36" s="545"/>
      <c r="LFW36" s="545"/>
      <c r="LFX36" s="545"/>
      <c r="LFY36" s="545"/>
      <c r="LFZ36" s="545"/>
      <c r="LGA36" s="545"/>
      <c r="LGB36" s="544"/>
      <c r="LGC36" s="545"/>
      <c r="LGD36" s="545"/>
      <c r="LGE36" s="545"/>
      <c r="LGF36" s="545"/>
      <c r="LGG36" s="545"/>
      <c r="LGH36" s="545"/>
      <c r="LGI36" s="544"/>
      <c r="LGJ36" s="545"/>
      <c r="LGK36" s="545"/>
      <c r="LGL36" s="545"/>
      <c r="LGM36" s="545"/>
      <c r="LGN36" s="545"/>
      <c r="LGO36" s="545"/>
      <c r="LGP36" s="544"/>
      <c r="LGQ36" s="545"/>
      <c r="LGR36" s="545"/>
      <c r="LGS36" s="545"/>
      <c r="LGT36" s="545"/>
      <c r="LGU36" s="545"/>
      <c r="LGV36" s="545"/>
      <c r="LGW36" s="544"/>
      <c r="LGX36" s="545"/>
      <c r="LGY36" s="545"/>
      <c r="LGZ36" s="545"/>
      <c r="LHA36" s="545"/>
      <c r="LHB36" s="545"/>
      <c r="LHC36" s="545"/>
      <c r="LHD36" s="544"/>
      <c r="LHE36" s="545"/>
      <c r="LHF36" s="545"/>
      <c r="LHG36" s="545"/>
      <c r="LHH36" s="545"/>
      <c r="LHI36" s="545"/>
      <c r="LHJ36" s="545"/>
      <c r="LHK36" s="544"/>
      <c r="LHL36" s="545"/>
      <c r="LHM36" s="545"/>
      <c r="LHN36" s="545"/>
      <c r="LHO36" s="545"/>
      <c r="LHP36" s="545"/>
      <c r="LHQ36" s="545"/>
      <c r="LHR36" s="544"/>
      <c r="LHS36" s="545"/>
      <c r="LHT36" s="545"/>
      <c r="LHU36" s="545"/>
      <c r="LHV36" s="545"/>
      <c r="LHW36" s="545"/>
      <c r="LHX36" s="545"/>
      <c r="LHY36" s="544"/>
      <c r="LHZ36" s="545"/>
      <c r="LIA36" s="545"/>
      <c r="LIB36" s="545"/>
      <c r="LIC36" s="545"/>
      <c r="LID36" s="545"/>
      <c r="LIE36" s="545"/>
      <c r="LIF36" s="544"/>
      <c r="LIG36" s="545"/>
      <c r="LIH36" s="545"/>
      <c r="LII36" s="545"/>
      <c r="LIJ36" s="545"/>
      <c r="LIK36" s="545"/>
      <c r="LIL36" s="545"/>
      <c r="LIM36" s="544"/>
      <c r="LIN36" s="545"/>
      <c r="LIO36" s="545"/>
      <c r="LIP36" s="545"/>
      <c r="LIQ36" s="545"/>
      <c r="LIR36" s="545"/>
      <c r="LIS36" s="545"/>
      <c r="LIT36" s="544"/>
      <c r="LIU36" s="545"/>
      <c r="LIV36" s="545"/>
      <c r="LIW36" s="545"/>
      <c r="LIX36" s="545"/>
      <c r="LIY36" s="545"/>
      <c r="LIZ36" s="545"/>
      <c r="LJA36" s="544"/>
      <c r="LJB36" s="545"/>
      <c r="LJC36" s="545"/>
      <c r="LJD36" s="545"/>
      <c r="LJE36" s="545"/>
      <c r="LJF36" s="545"/>
      <c r="LJG36" s="545"/>
      <c r="LJH36" s="544"/>
      <c r="LJI36" s="545"/>
      <c r="LJJ36" s="545"/>
      <c r="LJK36" s="545"/>
      <c r="LJL36" s="545"/>
      <c r="LJM36" s="545"/>
      <c r="LJN36" s="545"/>
      <c r="LJO36" s="544"/>
      <c r="LJP36" s="545"/>
      <c r="LJQ36" s="545"/>
      <c r="LJR36" s="545"/>
      <c r="LJS36" s="545"/>
      <c r="LJT36" s="545"/>
      <c r="LJU36" s="545"/>
      <c r="LJV36" s="544"/>
      <c r="LJW36" s="545"/>
      <c r="LJX36" s="545"/>
      <c r="LJY36" s="545"/>
      <c r="LJZ36" s="545"/>
      <c r="LKA36" s="545"/>
      <c r="LKB36" s="545"/>
      <c r="LKC36" s="544"/>
      <c r="LKD36" s="545"/>
      <c r="LKE36" s="545"/>
      <c r="LKF36" s="545"/>
      <c r="LKG36" s="545"/>
      <c r="LKH36" s="545"/>
      <c r="LKI36" s="545"/>
      <c r="LKJ36" s="544"/>
      <c r="LKK36" s="545"/>
      <c r="LKL36" s="545"/>
      <c r="LKM36" s="545"/>
      <c r="LKN36" s="545"/>
      <c r="LKO36" s="545"/>
      <c r="LKP36" s="545"/>
      <c r="LKQ36" s="544"/>
      <c r="LKR36" s="545"/>
      <c r="LKS36" s="545"/>
      <c r="LKT36" s="545"/>
      <c r="LKU36" s="545"/>
      <c r="LKV36" s="545"/>
      <c r="LKW36" s="545"/>
      <c r="LKX36" s="544"/>
      <c r="LKY36" s="545"/>
      <c r="LKZ36" s="545"/>
      <c r="LLA36" s="545"/>
      <c r="LLB36" s="545"/>
      <c r="LLC36" s="545"/>
      <c r="LLD36" s="545"/>
      <c r="LLE36" s="544"/>
      <c r="LLF36" s="545"/>
      <c r="LLG36" s="545"/>
      <c r="LLH36" s="545"/>
      <c r="LLI36" s="545"/>
      <c r="LLJ36" s="545"/>
      <c r="LLK36" s="545"/>
      <c r="LLL36" s="544"/>
      <c r="LLM36" s="545"/>
      <c r="LLN36" s="545"/>
      <c r="LLO36" s="545"/>
      <c r="LLP36" s="545"/>
      <c r="LLQ36" s="545"/>
      <c r="LLR36" s="545"/>
      <c r="LLS36" s="544"/>
      <c r="LLT36" s="545"/>
      <c r="LLU36" s="545"/>
      <c r="LLV36" s="545"/>
      <c r="LLW36" s="545"/>
      <c r="LLX36" s="545"/>
      <c r="LLY36" s="545"/>
      <c r="LLZ36" s="544"/>
      <c r="LMA36" s="545"/>
      <c r="LMB36" s="545"/>
      <c r="LMC36" s="545"/>
      <c r="LMD36" s="545"/>
      <c r="LME36" s="545"/>
      <c r="LMF36" s="545"/>
      <c r="LMG36" s="544"/>
      <c r="LMH36" s="545"/>
      <c r="LMI36" s="545"/>
      <c r="LMJ36" s="545"/>
      <c r="LMK36" s="545"/>
      <c r="LML36" s="545"/>
      <c r="LMM36" s="545"/>
      <c r="LMN36" s="544"/>
      <c r="LMO36" s="545"/>
      <c r="LMP36" s="545"/>
      <c r="LMQ36" s="545"/>
      <c r="LMR36" s="545"/>
      <c r="LMS36" s="545"/>
      <c r="LMT36" s="545"/>
      <c r="LMU36" s="544"/>
      <c r="LMV36" s="545"/>
      <c r="LMW36" s="545"/>
      <c r="LMX36" s="545"/>
      <c r="LMY36" s="545"/>
      <c r="LMZ36" s="545"/>
      <c r="LNA36" s="545"/>
      <c r="LNB36" s="544"/>
      <c r="LNC36" s="545"/>
      <c r="LND36" s="545"/>
      <c r="LNE36" s="545"/>
      <c r="LNF36" s="545"/>
      <c r="LNG36" s="545"/>
      <c r="LNH36" s="545"/>
      <c r="LNI36" s="544"/>
      <c r="LNJ36" s="545"/>
      <c r="LNK36" s="545"/>
      <c r="LNL36" s="545"/>
      <c r="LNM36" s="545"/>
      <c r="LNN36" s="545"/>
      <c r="LNO36" s="545"/>
      <c r="LNP36" s="544"/>
      <c r="LNQ36" s="545"/>
      <c r="LNR36" s="545"/>
      <c r="LNS36" s="545"/>
      <c r="LNT36" s="545"/>
      <c r="LNU36" s="545"/>
      <c r="LNV36" s="545"/>
      <c r="LNW36" s="544"/>
      <c r="LNX36" s="545"/>
      <c r="LNY36" s="545"/>
      <c r="LNZ36" s="545"/>
      <c r="LOA36" s="545"/>
      <c r="LOB36" s="545"/>
      <c r="LOC36" s="545"/>
      <c r="LOD36" s="544"/>
      <c r="LOE36" s="545"/>
      <c r="LOF36" s="545"/>
      <c r="LOG36" s="545"/>
      <c r="LOH36" s="545"/>
      <c r="LOI36" s="545"/>
      <c r="LOJ36" s="545"/>
      <c r="LOK36" s="544"/>
      <c r="LOL36" s="545"/>
      <c r="LOM36" s="545"/>
      <c r="LON36" s="545"/>
      <c r="LOO36" s="545"/>
      <c r="LOP36" s="545"/>
      <c r="LOQ36" s="545"/>
      <c r="LOR36" s="544"/>
      <c r="LOS36" s="545"/>
      <c r="LOT36" s="545"/>
      <c r="LOU36" s="545"/>
      <c r="LOV36" s="545"/>
      <c r="LOW36" s="545"/>
      <c r="LOX36" s="545"/>
      <c r="LOY36" s="544"/>
      <c r="LOZ36" s="545"/>
      <c r="LPA36" s="545"/>
      <c r="LPB36" s="545"/>
      <c r="LPC36" s="545"/>
      <c r="LPD36" s="545"/>
      <c r="LPE36" s="545"/>
      <c r="LPF36" s="544"/>
      <c r="LPG36" s="545"/>
      <c r="LPH36" s="545"/>
      <c r="LPI36" s="545"/>
      <c r="LPJ36" s="545"/>
      <c r="LPK36" s="545"/>
      <c r="LPL36" s="545"/>
      <c r="LPM36" s="544"/>
      <c r="LPN36" s="545"/>
      <c r="LPO36" s="545"/>
      <c r="LPP36" s="545"/>
      <c r="LPQ36" s="545"/>
      <c r="LPR36" s="545"/>
      <c r="LPS36" s="545"/>
      <c r="LPT36" s="544"/>
      <c r="LPU36" s="545"/>
      <c r="LPV36" s="545"/>
      <c r="LPW36" s="545"/>
      <c r="LPX36" s="545"/>
      <c r="LPY36" s="545"/>
      <c r="LPZ36" s="545"/>
      <c r="LQA36" s="544"/>
      <c r="LQB36" s="545"/>
      <c r="LQC36" s="545"/>
      <c r="LQD36" s="545"/>
      <c r="LQE36" s="545"/>
      <c r="LQF36" s="545"/>
      <c r="LQG36" s="545"/>
      <c r="LQH36" s="544"/>
      <c r="LQI36" s="545"/>
      <c r="LQJ36" s="545"/>
      <c r="LQK36" s="545"/>
      <c r="LQL36" s="545"/>
      <c r="LQM36" s="545"/>
      <c r="LQN36" s="545"/>
      <c r="LQO36" s="544"/>
      <c r="LQP36" s="545"/>
      <c r="LQQ36" s="545"/>
      <c r="LQR36" s="545"/>
      <c r="LQS36" s="545"/>
      <c r="LQT36" s="545"/>
      <c r="LQU36" s="545"/>
      <c r="LQV36" s="544"/>
      <c r="LQW36" s="545"/>
      <c r="LQX36" s="545"/>
      <c r="LQY36" s="545"/>
      <c r="LQZ36" s="545"/>
      <c r="LRA36" s="545"/>
      <c r="LRB36" s="545"/>
      <c r="LRC36" s="544"/>
      <c r="LRD36" s="545"/>
      <c r="LRE36" s="545"/>
      <c r="LRF36" s="545"/>
      <c r="LRG36" s="545"/>
      <c r="LRH36" s="545"/>
      <c r="LRI36" s="545"/>
      <c r="LRJ36" s="544"/>
      <c r="LRK36" s="545"/>
      <c r="LRL36" s="545"/>
      <c r="LRM36" s="545"/>
      <c r="LRN36" s="545"/>
      <c r="LRO36" s="545"/>
      <c r="LRP36" s="545"/>
      <c r="LRQ36" s="544"/>
      <c r="LRR36" s="545"/>
      <c r="LRS36" s="545"/>
      <c r="LRT36" s="545"/>
      <c r="LRU36" s="545"/>
      <c r="LRV36" s="545"/>
      <c r="LRW36" s="545"/>
      <c r="LRX36" s="544"/>
      <c r="LRY36" s="545"/>
      <c r="LRZ36" s="545"/>
      <c r="LSA36" s="545"/>
      <c r="LSB36" s="545"/>
      <c r="LSC36" s="545"/>
      <c r="LSD36" s="545"/>
      <c r="LSE36" s="544"/>
      <c r="LSF36" s="545"/>
      <c r="LSG36" s="545"/>
      <c r="LSH36" s="545"/>
      <c r="LSI36" s="545"/>
      <c r="LSJ36" s="545"/>
      <c r="LSK36" s="545"/>
      <c r="LSL36" s="544"/>
      <c r="LSM36" s="545"/>
      <c r="LSN36" s="545"/>
      <c r="LSO36" s="545"/>
      <c r="LSP36" s="545"/>
      <c r="LSQ36" s="545"/>
      <c r="LSR36" s="545"/>
      <c r="LSS36" s="544"/>
      <c r="LST36" s="545"/>
      <c r="LSU36" s="545"/>
      <c r="LSV36" s="545"/>
      <c r="LSW36" s="545"/>
      <c r="LSX36" s="545"/>
      <c r="LSY36" s="545"/>
      <c r="LSZ36" s="544"/>
      <c r="LTA36" s="545"/>
      <c r="LTB36" s="545"/>
      <c r="LTC36" s="545"/>
      <c r="LTD36" s="545"/>
      <c r="LTE36" s="545"/>
      <c r="LTF36" s="545"/>
      <c r="LTG36" s="544"/>
      <c r="LTH36" s="545"/>
      <c r="LTI36" s="545"/>
      <c r="LTJ36" s="545"/>
      <c r="LTK36" s="545"/>
      <c r="LTL36" s="545"/>
      <c r="LTM36" s="545"/>
      <c r="LTN36" s="544"/>
      <c r="LTO36" s="545"/>
      <c r="LTP36" s="545"/>
      <c r="LTQ36" s="545"/>
      <c r="LTR36" s="545"/>
      <c r="LTS36" s="545"/>
      <c r="LTT36" s="545"/>
      <c r="LTU36" s="544"/>
      <c r="LTV36" s="545"/>
      <c r="LTW36" s="545"/>
      <c r="LTX36" s="545"/>
      <c r="LTY36" s="545"/>
      <c r="LTZ36" s="545"/>
      <c r="LUA36" s="545"/>
      <c r="LUB36" s="544"/>
      <c r="LUC36" s="545"/>
      <c r="LUD36" s="545"/>
      <c r="LUE36" s="545"/>
      <c r="LUF36" s="545"/>
      <c r="LUG36" s="545"/>
      <c r="LUH36" s="545"/>
      <c r="LUI36" s="544"/>
      <c r="LUJ36" s="545"/>
      <c r="LUK36" s="545"/>
      <c r="LUL36" s="545"/>
      <c r="LUM36" s="545"/>
      <c r="LUN36" s="545"/>
      <c r="LUO36" s="545"/>
      <c r="LUP36" s="544"/>
      <c r="LUQ36" s="545"/>
      <c r="LUR36" s="545"/>
      <c r="LUS36" s="545"/>
      <c r="LUT36" s="545"/>
      <c r="LUU36" s="545"/>
      <c r="LUV36" s="545"/>
      <c r="LUW36" s="544"/>
      <c r="LUX36" s="545"/>
      <c r="LUY36" s="545"/>
      <c r="LUZ36" s="545"/>
      <c r="LVA36" s="545"/>
      <c r="LVB36" s="545"/>
      <c r="LVC36" s="545"/>
      <c r="LVD36" s="544"/>
      <c r="LVE36" s="545"/>
      <c r="LVF36" s="545"/>
      <c r="LVG36" s="545"/>
      <c r="LVH36" s="545"/>
      <c r="LVI36" s="545"/>
      <c r="LVJ36" s="545"/>
      <c r="LVK36" s="544"/>
      <c r="LVL36" s="545"/>
      <c r="LVM36" s="545"/>
      <c r="LVN36" s="545"/>
      <c r="LVO36" s="545"/>
      <c r="LVP36" s="545"/>
      <c r="LVQ36" s="545"/>
      <c r="LVR36" s="544"/>
      <c r="LVS36" s="545"/>
      <c r="LVT36" s="545"/>
      <c r="LVU36" s="545"/>
      <c r="LVV36" s="545"/>
      <c r="LVW36" s="545"/>
      <c r="LVX36" s="545"/>
      <c r="LVY36" s="544"/>
      <c r="LVZ36" s="545"/>
      <c r="LWA36" s="545"/>
      <c r="LWB36" s="545"/>
      <c r="LWC36" s="545"/>
      <c r="LWD36" s="545"/>
      <c r="LWE36" s="545"/>
      <c r="LWF36" s="544"/>
      <c r="LWG36" s="545"/>
      <c r="LWH36" s="545"/>
      <c r="LWI36" s="545"/>
      <c r="LWJ36" s="545"/>
      <c r="LWK36" s="545"/>
      <c r="LWL36" s="545"/>
      <c r="LWM36" s="544"/>
      <c r="LWN36" s="545"/>
      <c r="LWO36" s="545"/>
      <c r="LWP36" s="545"/>
      <c r="LWQ36" s="545"/>
      <c r="LWR36" s="545"/>
      <c r="LWS36" s="545"/>
      <c r="LWT36" s="544"/>
      <c r="LWU36" s="545"/>
      <c r="LWV36" s="545"/>
      <c r="LWW36" s="545"/>
      <c r="LWX36" s="545"/>
      <c r="LWY36" s="545"/>
      <c r="LWZ36" s="545"/>
      <c r="LXA36" s="544"/>
      <c r="LXB36" s="545"/>
      <c r="LXC36" s="545"/>
      <c r="LXD36" s="545"/>
      <c r="LXE36" s="545"/>
      <c r="LXF36" s="545"/>
      <c r="LXG36" s="545"/>
      <c r="LXH36" s="544"/>
      <c r="LXI36" s="545"/>
      <c r="LXJ36" s="545"/>
      <c r="LXK36" s="545"/>
      <c r="LXL36" s="545"/>
      <c r="LXM36" s="545"/>
      <c r="LXN36" s="545"/>
      <c r="LXO36" s="544"/>
      <c r="LXP36" s="545"/>
      <c r="LXQ36" s="545"/>
      <c r="LXR36" s="545"/>
      <c r="LXS36" s="545"/>
      <c r="LXT36" s="545"/>
      <c r="LXU36" s="545"/>
      <c r="LXV36" s="544"/>
      <c r="LXW36" s="545"/>
      <c r="LXX36" s="545"/>
      <c r="LXY36" s="545"/>
      <c r="LXZ36" s="545"/>
      <c r="LYA36" s="545"/>
      <c r="LYB36" s="545"/>
      <c r="LYC36" s="544"/>
      <c r="LYD36" s="545"/>
      <c r="LYE36" s="545"/>
      <c r="LYF36" s="545"/>
      <c r="LYG36" s="545"/>
      <c r="LYH36" s="545"/>
      <c r="LYI36" s="545"/>
      <c r="LYJ36" s="544"/>
      <c r="LYK36" s="545"/>
      <c r="LYL36" s="545"/>
      <c r="LYM36" s="545"/>
      <c r="LYN36" s="545"/>
      <c r="LYO36" s="545"/>
      <c r="LYP36" s="545"/>
      <c r="LYQ36" s="544"/>
      <c r="LYR36" s="545"/>
      <c r="LYS36" s="545"/>
      <c r="LYT36" s="545"/>
      <c r="LYU36" s="545"/>
      <c r="LYV36" s="545"/>
      <c r="LYW36" s="545"/>
      <c r="LYX36" s="544"/>
      <c r="LYY36" s="545"/>
      <c r="LYZ36" s="545"/>
      <c r="LZA36" s="545"/>
      <c r="LZB36" s="545"/>
      <c r="LZC36" s="545"/>
      <c r="LZD36" s="545"/>
      <c r="LZE36" s="544"/>
      <c r="LZF36" s="545"/>
      <c r="LZG36" s="545"/>
      <c r="LZH36" s="545"/>
      <c r="LZI36" s="545"/>
      <c r="LZJ36" s="545"/>
      <c r="LZK36" s="545"/>
      <c r="LZL36" s="544"/>
      <c r="LZM36" s="545"/>
      <c r="LZN36" s="545"/>
      <c r="LZO36" s="545"/>
      <c r="LZP36" s="545"/>
      <c r="LZQ36" s="545"/>
      <c r="LZR36" s="545"/>
      <c r="LZS36" s="544"/>
      <c r="LZT36" s="545"/>
      <c r="LZU36" s="545"/>
      <c r="LZV36" s="545"/>
      <c r="LZW36" s="545"/>
      <c r="LZX36" s="545"/>
      <c r="LZY36" s="545"/>
      <c r="LZZ36" s="544"/>
      <c r="MAA36" s="545"/>
      <c r="MAB36" s="545"/>
      <c r="MAC36" s="545"/>
      <c r="MAD36" s="545"/>
      <c r="MAE36" s="545"/>
      <c r="MAF36" s="545"/>
      <c r="MAG36" s="544"/>
      <c r="MAH36" s="545"/>
      <c r="MAI36" s="545"/>
      <c r="MAJ36" s="545"/>
      <c r="MAK36" s="545"/>
      <c r="MAL36" s="545"/>
      <c r="MAM36" s="545"/>
      <c r="MAN36" s="544"/>
      <c r="MAO36" s="545"/>
      <c r="MAP36" s="545"/>
      <c r="MAQ36" s="545"/>
      <c r="MAR36" s="545"/>
      <c r="MAS36" s="545"/>
      <c r="MAT36" s="545"/>
      <c r="MAU36" s="544"/>
      <c r="MAV36" s="545"/>
      <c r="MAW36" s="545"/>
      <c r="MAX36" s="545"/>
      <c r="MAY36" s="545"/>
      <c r="MAZ36" s="545"/>
      <c r="MBA36" s="545"/>
      <c r="MBB36" s="544"/>
      <c r="MBC36" s="545"/>
      <c r="MBD36" s="545"/>
      <c r="MBE36" s="545"/>
      <c r="MBF36" s="545"/>
      <c r="MBG36" s="545"/>
      <c r="MBH36" s="545"/>
      <c r="MBI36" s="544"/>
      <c r="MBJ36" s="545"/>
      <c r="MBK36" s="545"/>
      <c r="MBL36" s="545"/>
      <c r="MBM36" s="545"/>
      <c r="MBN36" s="545"/>
      <c r="MBO36" s="545"/>
      <c r="MBP36" s="544"/>
      <c r="MBQ36" s="545"/>
      <c r="MBR36" s="545"/>
      <c r="MBS36" s="545"/>
      <c r="MBT36" s="545"/>
      <c r="MBU36" s="545"/>
      <c r="MBV36" s="545"/>
      <c r="MBW36" s="544"/>
      <c r="MBX36" s="545"/>
      <c r="MBY36" s="545"/>
      <c r="MBZ36" s="545"/>
      <c r="MCA36" s="545"/>
      <c r="MCB36" s="545"/>
      <c r="MCC36" s="545"/>
      <c r="MCD36" s="544"/>
      <c r="MCE36" s="545"/>
      <c r="MCF36" s="545"/>
      <c r="MCG36" s="545"/>
      <c r="MCH36" s="545"/>
      <c r="MCI36" s="545"/>
      <c r="MCJ36" s="545"/>
      <c r="MCK36" s="544"/>
      <c r="MCL36" s="545"/>
      <c r="MCM36" s="545"/>
      <c r="MCN36" s="545"/>
      <c r="MCO36" s="545"/>
      <c r="MCP36" s="545"/>
      <c r="MCQ36" s="545"/>
      <c r="MCR36" s="544"/>
      <c r="MCS36" s="545"/>
      <c r="MCT36" s="545"/>
      <c r="MCU36" s="545"/>
      <c r="MCV36" s="545"/>
      <c r="MCW36" s="545"/>
      <c r="MCX36" s="545"/>
      <c r="MCY36" s="544"/>
      <c r="MCZ36" s="545"/>
      <c r="MDA36" s="545"/>
      <c r="MDB36" s="545"/>
      <c r="MDC36" s="545"/>
      <c r="MDD36" s="545"/>
      <c r="MDE36" s="545"/>
      <c r="MDF36" s="544"/>
      <c r="MDG36" s="545"/>
      <c r="MDH36" s="545"/>
      <c r="MDI36" s="545"/>
      <c r="MDJ36" s="545"/>
      <c r="MDK36" s="545"/>
      <c r="MDL36" s="545"/>
      <c r="MDM36" s="544"/>
      <c r="MDN36" s="545"/>
      <c r="MDO36" s="545"/>
      <c r="MDP36" s="545"/>
      <c r="MDQ36" s="545"/>
      <c r="MDR36" s="545"/>
      <c r="MDS36" s="545"/>
      <c r="MDT36" s="544"/>
      <c r="MDU36" s="545"/>
      <c r="MDV36" s="545"/>
      <c r="MDW36" s="545"/>
      <c r="MDX36" s="545"/>
      <c r="MDY36" s="545"/>
      <c r="MDZ36" s="545"/>
      <c r="MEA36" s="544"/>
      <c r="MEB36" s="545"/>
      <c r="MEC36" s="545"/>
      <c r="MED36" s="545"/>
      <c r="MEE36" s="545"/>
      <c r="MEF36" s="545"/>
      <c r="MEG36" s="545"/>
      <c r="MEH36" s="544"/>
      <c r="MEI36" s="545"/>
      <c r="MEJ36" s="545"/>
      <c r="MEK36" s="545"/>
      <c r="MEL36" s="545"/>
      <c r="MEM36" s="545"/>
      <c r="MEN36" s="545"/>
      <c r="MEO36" s="544"/>
      <c r="MEP36" s="545"/>
      <c r="MEQ36" s="545"/>
      <c r="MER36" s="545"/>
      <c r="MES36" s="545"/>
      <c r="MET36" s="545"/>
      <c r="MEU36" s="545"/>
      <c r="MEV36" s="544"/>
      <c r="MEW36" s="545"/>
      <c r="MEX36" s="545"/>
      <c r="MEY36" s="545"/>
      <c r="MEZ36" s="545"/>
      <c r="MFA36" s="545"/>
      <c r="MFB36" s="545"/>
      <c r="MFC36" s="544"/>
      <c r="MFD36" s="545"/>
      <c r="MFE36" s="545"/>
      <c r="MFF36" s="545"/>
      <c r="MFG36" s="545"/>
      <c r="MFH36" s="545"/>
      <c r="MFI36" s="545"/>
      <c r="MFJ36" s="544"/>
      <c r="MFK36" s="545"/>
      <c r="MFL36" s="545"/>
      <c r="MFM36" s="545"/>
      <c r="MFN36" s="545"/>
      <c r="MFO36" s="545"/>
      <c r="MFP36" s="545"/>
      <c r="MFQ36" s="544"/>
      <c r="MFR36" s="545"/>
      <c r="MFS36" s="545"/>
      <c r="MFT36" s="545"/>
      <c r="MFU36" s="545"/>
      <c r="MFV36" s="545"/>
      <c r="MFW36" s="545"/>
      <c r="MFX36" s="544"/>
      <c r="MFY36" s="545"/>
      <c r="MFZ36" s="545"/>
      <c r="MGA36" s="545"/>
      <c r="MGB36" s="545"/>
      <c r="MGC36" s="545"/>
      <c r="MGD36" s="545"/>
      <c r="MGE36" s="544"/>
      <c r="MGF36" s="545"/>
      <c r="MGG36" s="545"/>
      <c r="MGH36" s="545"/>
      <c r="MGI36" s="545"/>
      <c r="MGJ36" s="545"/>
      <c r="MGK36" s="545"/>
      <c r="MGL36" s="544"/>
      <c r="MGM36" s="545"/>
      <c r="MGN36" s="545"/>
      <c r="MGO36" s="545"/>
      <c r="MGP36" s="545"/>
      <c r="MGQ36" s="545"/>
      <c r="MGR36" s="545"/>
      <c r="MGS36" s="544"/>
      <c r="MGT36" s="545"/>
      <c r="MGU36" s="545"/>
      <c r="MGV36" s="545"/>
      <c r="MGW36" s="545"/>
      <c r="MGX36" s="545"/>
      <c r="MGY36" s="545"/>
      <c r="MGZ36" s="544"/>
      <c r="MHA36" s="545"/>
      <c r="MHB36" s="545"/>
      <c r="MHC36" s="545"/>
      <c r="MHD36" s="545"/>
      <c r="MHE36" s="545"/>
      <c r="MHF36" s="545"/>
      <c r="MHG36" s="544"/>
      <c r="MHH36" s="545"/>
      <c r="MHI36" s="545"/>
      <c r="MHJ36" s="545"/>
      <c r="MHK36" s="545"/>
      <c r="MHL36" s="545"/>
      <c r="MHM36" s="545"/>
      <c r="MHN36" s="544"/>
      <c r="MHO36" s="545"/>
      <c r="MHP36" s="545"/>
      <c r="MHQ36" s="545"/>
      <c r="MHR36" s="545"/>
      <c r="MHS36" s="545"/>
      <c r="MHT36" s="545"/>
      <c r="MHU36" s="544"/>
      <c r="MHV36" s="545"/>
      <c r="MHW36" s="545"/>
      <c r="MHX36" s="545"/>
      <c r="MHY36" s="545"/>
      <c r="MHZ36" s="545"/>
      <c r="MIA36" s="545"/>
      <c r="MIB36" s="544"/>
      <c r="MIC36" s="545"/>
      <c r="MID36" s="545"/>
      <c r="MIE36" s="545"/>
      <c r="MIF36" s="545"/>
      <c r="MIG36" s="545"/>
      <c r="MIH36" s="545"/>
      <c r="MII36" s="544"/>
      <c r="MIJ36" s="545"/>
      <c r="MIK36" s="545"/>
      <c r="MIL36" s="545"/>
      <c r="MIM36" s="545"/>
      <c r="MIN36" s="545"/>
      <c r="MIO36" s="545"/>
      <c r="MIP36" s="544"/>
      <c r="MIQ36" s="545"/>
      <c r="MIR36" s="545"/>
      <c r="MIS36" s="545"/>
      <c r="MIT36" s="545"/>
      <c r="MIU36" s="545"/>
      <c r="MIV36" s="545"/>
      <c r="MIW36" s="544"/>
      <c r="MIX36" s="545"/>
      <c r="MIY36" s="545"/>
      <c r="MIZ36" s="545"/>
      <c r="MJA36" s="545"/>
      <c r="MJB36" s="545"/>
      <c r="MJC36" s="545"/>
      <c r="MJD36" s="544"/>
      <c r="MJE36" s="545"/>
      <c r="MJF36" s="545"/>
      <c r="MJG36" s="545"/>
      <c r="MJH36" s="545"/>
      <c r="MJI36" s="545"/>
      <c r="MJJ36" s="545"/>
      <c r="MJK36" s="544"/>
      <c r="MJL36" s="545"/>
      <c r="MJM36" s="545"/>
      <c r="MJN36" s="545"/>
      <c r="MJO36" s="545"/>
      <c r="MJP36" s="545"/>
      <c r="MJQ36" s="545"/>
      <c r="MJR36" s="544"/>
      <c r="MJS36" s="545"/>
      <c r="MJT36" s="545"/>
      <c r="MJU36" s="545"/>
      <c r="MJV36" s="545"/>
      <c r="MJW36" s="545"/>
      <c r="MJX36" s="545"/>
      <c r="MJY36" s="544"/>
      <c r="MJZ36" s="545"/>
      <c r="MKA36" s="545"/>
      <c r="MKB36" s="545"/>
      <c r="MKC36" s="545"/>
      <c r="MKD36" s="545"/>
      <c r="MKE36" s="545"/>
      <c r="MKF36" s="544"/>
      <c r="MKG36" s="545"/>
      <c r="MKH36" s="545"/>
      <c r="MKI36" s="545"/>
      <c r="MKJ36" s="545"/>
      <c r="MKK36" s="545"/>
      <c r="MKL36" s="545"/>
      <c r="MKM36" s="544"/>
      <c r="MKN36" s="545"/>
      <c r="MKO36" s="545"/>
      <c r="MKP36" s="545"/>
      <c r="MKQ36" s="545"/>
      <c r="MKR36" s="545"/>
      <c r="MKS36" s="545"/>
      <c r="MKT36" s="544"/>
      <c r="MKU36" s="545"/>
      <c r="MKV36" s="545"/>
      <c r="MKW36" s="545"/>
      <c r="MKX36" s="545"/>
      <c r="MKY36" s="545"/>
      <c r="MKZ36" s="545"/>
      <c r="MLA36" s="544"/>
      <c r="MLB36" s="545"/>
      <c r="MLC36" s="545"/>
      <c r="MLD36" s="545"/>
      <c r="MLE36" s="545"/>
      <c r="MLF36" s="545"/>
      <c r="MLG36" s="545"/>
      <c r="MLH36" s="544"/>
      <c r="MLI36" s="545"/>
      <c r="MLJ36" s="545"/>
      <c r="MLK36" s="545"/>
      <c r="MLL36" s="545"/>
      <c r="MLM36" s="545"/>
      <c r="MLN36" s="545"/>
      <c r="MLO36" s="544"/>
      <c r="MLP36" s="545"/>
      <c r="MLQ36" s="545"/>
      <c r="MLR36" s="545"/>
      <c r="MLS36" s="545"/>
      <c r="MLT36" s="545"/>
      <c r="MLU36" s="545"/>
      <c r="MLV36" s="544"/>
      <c r="MLW36" s="545"/>
      <c r="MLX36" s="545"/>
      <c r="MLY36" s="545"/>
      <c r="MLZ36" s="545"/>
      <c r="MMA36" s="545"/>
      <c r="MMB36" s="545"/>
      <c r="MMC36" s="544"/>
      <c r="MMD36" s="545"/>
      <c r="MME36" s="545"/>
      <c r="MMF36" s="545"/>
      <c r="MMG36" s="545"/>
      <c r="MMH36" s="545"/>
      <c r="MMI36" s="545"/>
      <c r="MMJ36" s="544"/>
      <c r="MMK36" s="545"/>
      <c r="MML36" s="545"/>
      <c r="MMM36" s="545"/>
      <c r="MMN36" s="545"/>
      <c r="MMO36" s="545"/>
      <c r="MMP36" s="545"/>
      <c r="MMQ36" s="544"/>
      <c r="MMR36" s="545"/>
      <c r="MMS36" s="545"/>
      <c r="MMT36" s="545"/>
      <c r="MMU36" s="545"/>
      <c r="MMV36" s="545"/>
      <c r="MMW36" s="545"/>
      <c r="MMX36" s="544"/>
      <c r="MMY36" s="545"/>
      <c r="MMZ36" s="545"/>
      <c r="MNA36" s="545"/>
      <c r="MNB36" s="545"/>
      <c r="MNC36" s="545"/>
      <c r="MND36" s="545"/>
      <c r="MNE36" s="544"/>
      <c r="MNF36" s="545"/>
      <c r="MNG36" s="545"/>
      <c r="MNH36" s="545"/>
      <c r="MNI36" s="545"/>
      <c r="MNJ36" s="545"/>
      <c r="MNK36" s="545"/>
      <c r="MNL36" s="544"/>
      <c r="MNM36" s="545"/>
      <c r="MNN36" s="545"/>
      <c r="MNO36" s="545"/>
      <c r="MNP36" s="545"/>
      <c r="MNQ36" s="545"/>
      <c r="MNR36" s="545"/>
      <c r="MNS36" s="544"/>
      <c r="MNT36" s="545"/>
      <c r="MNU36" s="545"/>
      <c r="MNV36" s="545"/>
      <c r="MNW36" s="545"/>
      <c r="MNX36" s="545"/>
      <c r="MNY36" s="545"/>
      <c r="MNZ36" s="544"/>
      <c r="MOA36" s="545"/>
      <c r="MOB36" s="545"/>
      <c r="MOC36" s="545"/>
      <c r="MOD36" s="545"/>
      <c r="MOE36" s="545"/>
      <c r="MOF36" s="545"/>
      <c r="MOG36" s="544"/>
      <c r="MOH36" s="545"/>
      <c r="MOI36" s="545"/>
      <c r="MOJ36" s="545"/>
      <c r="MOK36" s="545"/>
      <c r="MOL36" s="545"/>
      <c r="MOM36" s="545"/>
      <c r="MON36" s="544"/>
      <c r="MOO36" s="545"/>
      <c r="MOP36" s="545"/>
      <c r="MOQ36" s="545"/>
      <c r="MOR36" s="545"/>
      <c r="MOS36" s="545"/>
      <c r="MOT36" s="545"/>
      <c r="MOU36" s="544"/>
      <c r="MOV36" s="545"/>
      <c r="MOW36" s="545"/>
      <c r="MOX36" s="545"/>
      <c r="MOY36" s="545"/>
      <c r="MOZ36" s="545"/>
      <c r="MPA36" s="545"/>
      <c r="MPB36" s="544"/>
      <c r="MPC36" s="545"/>
      <c r="MPD36" s="545"/>
      <c r="MPE36" s="545"/>
      <c r="MPF36" s="545"/>
      <c r="MPG36" s="545"/>
      <c r="MPH36" s="545"/>
      <c r="MPI36" s="544"/>
      <c r="MPJ36" s="545"/>
      <c r="MPK36" s="545"/>
      <c r="MPL36" s="545"/>
      <c r="MPM36" s="545"/>
      <c r="MPN36" s="545"/>
      <c r="MPO36" s="545"/>
      <c r="MPP36" s="544"/>
      <c r="MPQ36" s="545"/>
      <c r="MPR36" s="545"/>
      <c r="MPS36" s="545"/>
      <c r="MPT36" s="545"/>
      <c r="MPU36" s="545"/>
      <c r="MPV36" s="545"/>
      <c r="MPW36" s="544"/>
      <c r="MPX36" s="545"/>
      <c r="MPY36" s="545"/>
      <c r="MPZ36" s="545"/>
      <c r="MQA36" s="545"/>
      <c r="MQB36" s="545"/>
      <c r="MQC36" s="545"/>
      <c r="MQD36" s="544"/>
      <c r="MQE36" s="545"/>
      <c r="MQF36" s="545"/>
      <c r="MQG36" s="545"/>
      <c r="MQH36" s="545"/>
      <c r="MQI36" s="545"/>
      <c r="MQJ36" s="545"/>
      <c r="MQK36" s="544"/>
      <c r="MQL36" s="545"/>
      <c r="MQM36" s="545"/>
      <c r="MQN36" s="545"/>
      <c r="MQO36" s="545"/>
      <c r="MQP36" s="545"/>
      <c r="MQQ36" s="545"/>
      <c r="MQR36" s="544"/>
      <c r="MQS36" s="545"/>
      <c r="MQT36" s="545"/>
      <c r="MQU36" s="545"/>
      <c r="MQV36" s="545"/>
      <c r="MQW36" s="545"/>
      <c r="MQX36" s="545"/>
      <c r="MQY36" s="544"/>
      <c r="MQZ36" s="545"/>
      <c r="MRA36" s="545"/>
      <c r="MRB36" s="545"/>
      <c r="MRC36" s="545"/>
      <c r="MRD36" s="545"/>
      <c r="MRE36" s="545"/>
      <c r="MRF36" s="544"/>
      <c r="MRG36" s="545"/>
      <c r="MRH36" s="545"/>
      <c r="MRI36" s="545"/>
      <c r="MRJ36" s="545"/>
      <c r="MRK36" s="545"/>
      <c r="MRL36" s="545"/>
      <c r="MRM36" s="544"/>
      <c r="MRN36" s="545"/>
      <c r="MRO36" s="545"/>
      <c r="MRP36" s="545"/>
      <c r="MRQ36" s="545"/>
      <c r="MRR36" s="545"/>
      <c r="MRS36" s="545"/>
      <c r="MRT36" s="544"/>
      <c r="MRU36" s="545"/>
      <c r="MRV36" s="545"/>
      <c r="MRW36" s="545"/>
      <c r="MRX36" s="545"/>
      <c r="MRY36" s="545"/>
      <c r="MRZ36" s="545"/>
      <c r="MSA36" s="544"/>
      <c r="MSB36" s="545"/>
      <c r="MSC36" s="545"/>
      <c r="MSD36" s="545"/>
      <c r="MSE36" s="545"/>
      <c r="MSF36" s="545"/>
      <c r="MSG36" s="545"/>
      <c r="MSH36" s="544"/>
      <c r="MSI36" s="545"/>
      <c r="MSJ36" s="545"/>
      <c r="MSK36" s="545"/>
      <c r="MSL36" s="545"/>
      <c r="MSM36" s="545"/>
      <c r="MSN36" s="545"/>
      <c r="MSO36" s="544"/>
      <c r="MSP36" s="545"/>
      <c r="MSQ36" s="545"/>
      <c r="MSR36" s="545"/>
      <c r="MSS36" s="545"/>
      <c r="MST36" s="545"/>
      <c r="MSU36" s="545"/>
      <c r="MSV36" s="544"/>
      <c r="MSW36" s="545"/>
      <c r="MSX36" s="545"/>
      <c r="MSY36" s="545"/>
      <c r="MSZ36" s="545"/>
      <c r="MTA36" s="545"/>
      <c r="MTB36" s="545"/>
      <c r="MTC36" s="544"/>
      <c r="MTD36" s="545"/>
      <c r="MTE36" s="545"/>
      <c r="MTF36" s="545"/>
      <c r="MTG36" s="545"/>
      <c r="MTH36" s="545"/>
      <c r="MTI36" s="545"/>
      <c r="MTJ36" s="544"/>
      <c r="MTK36" s="545"/>
      <c r="MTL36" s="545"/>
      <c r="MTM36" s="545"/>
      <c r="MTN36" s="545"/>
      <c r="MTO36" s="545"/>
      <c r="MTP36" s="545"/>
      <c r="MTQ36" s="544"/>
      <c r="MTR36" s="545"/>
      <c r="MTS36" s="545"/>
      <c r="MTT36" s="545"/>
      <c r="MTU36" s="545"/>
      <c r="MTV36" s="545"/>
      <c r="MTW36" s="545"/>
      <c r="MTX36" s="544"/>
      <c r="MTY36" s="545"/>
      <c r="MTZ36" s="545"/>
      <c r="MUA36" s="545"/>
      <c r="MUB36" s="545"/>
      <c r="MUC36" s="545"/>
      <c r="MUD36" s="545"/>
      <c r="MUE36" s="544"/>
      <c r="MUF36" s="545"/>
      <c r="MUG36" s="545"/>
      <c r="MUH36" s="545"/>
      <c r="MUI36" s="545"/>
      <c r="MUJ36" s="545"/>
      <c r="MUK36" s="545"/>
      <c r="MUL36" s="544"/>
      <c r="MUM36" s="545"/>
      <c r="MUN36" s="545"/>
      <c r="MUO36" s="545"/>
      <c r="MUP36" s="545"/>
      <c r="MUQ36" s="545"/>
      <c r="MUR36" s="545"/>
      <c r="MUS36" s="544"/>
      <c r="MUT36" s="545"/>
      <c r="MUU36" s="545"/>
      <c r="MUV36" s="545"/>
      <c r="MUW36" s="545"/>
      <c r="MUX36" s="545"/>
      <c r="MUY36" s="545"/>
      <c r="MUZ36" s="544"/>
      <c r="MVA36" s="545"/>
      <c r="MVB36" s="545"/>
      <c r="MVC36" s="545"/>
      <c r="MVD36" s="545"/>
      <c r="MVE36" s="545"/>
      <c r="MVF36" s="545"/>
      <c r="MVG36" s="544"/>
      <c r="MVH36" s="545"/>
      <c r="MVI36" s="545"/>
      <c r="MVJ36" s="545"/>
      <c r="MVK36" s="545"/>
      <c r="MVL36" s="545"/>
      <c r="MVM36" s="545"/>
      <c r="MVN36" s="544"/>
      <c r="MVO36" s="545"/>
      <c r="MVP36" s="545"/>
      <c r="MVQ36" s="545"/>
      <c r="MVR36" s="545"/>
      <c r="MVS36" s="545"/>
      <c r="MVT36" s="545"/>
      <c r="MVU36" s="544"/>
      <c r="MVV36" s="545"/>
      <c r="MVW36" s="545"/>
      <c r="MVX36" s="545"/>
      <c r="MVY36" s="545"/>
      <c r="MVZ36" s="545"/>
      <c r="MWA36" s="545"/>
      <c r="MWB36" s="544"/>
      <c r="MWC36" s="545"/>
      <c r="MWD36" s="545"/>
      <c r="MWE36" s="545"/>
      <c r="MWF36" s="545"/>
      <c r="MWG36" s="545"/>
      <c r="MWH36" s="545"/>
      <c r="MWI36" s="544"/>
      <c r="MWJ36" s="545"/>
      <c r="MWK36" s="545"/>
      <c r="MWL36" s="545"/>
      <c r="MWM36" s="545"/>
      <c r="MWN36" s="545"/>
      <c r="MWO36" s="545"/>
      <c r="MWP36" s="544"/>
      <c r="MWQ36" s="545"/>
      <c r="MWR36" s="545"/>
      <c r="MWS36" s="545"/>
      <c r="MWT36" s="545"/>
      <c r="MWU36" s="545"/>
      <c r="MWV36" s="545"/>
      <c r="MWW36" s="544"/>
      <c r="MWX36" s="545"/>
      <c r="MWY36" s="545"/>
      <c r="MWZ36" s="545"/>
      <c r="MXA36" s="545"/>
      <c r="MXB36" s="545"/>
      <c r="MXC36" s="545"/>
      <c r="MXD36" s="544"/>
      <c r="MXE36" s="545"/>
      <c r="MXF36" s="545"/>
      <c r="MXG36" s="545"/>
      <c r="MXH36" s="545"/>
      <c r="MXI36" s="545"/>
      <c r="MXJ36" s="545"/>
      <c r="MXK36" s="544"/>
      <c r="MXL36" s="545"/>
      <c r="MXM36" s="545"/>
      <c r="MXN36" s="545"/>
      <c r="MXO36" s="545"/>
      <c r="MXP36" s="545"/>
      <c r="MXQ36" s="545"/>
      <c r="MXR36" s="544"/>
      <c r="MXS36" s="545"/>
      <c r="MXT36" s="545"/>
      <c r="MXU36" s="545"/>
      <c r="MXV36" s="545"/>
      <c r="MXW36" s="545"/>
      <c r="MXX36" s="545"/>
      <c r="MXY36" s="544"/>
      <c r="MXZ36" s="545"/>
      <c r="MYA36" s="545"/>
      <c r="MYB36" s="545"/>
      <c r="MYC36" s="545"/>
      <c r="MYD36" s="545"/>
      <c r="MYE36" s="545"/>
      <c r="MYF36" s="544"/>
      <c r="MYG36" s="545"/>
      <c r="MYH36" s="545"/>
      <c r="MYI36" s="545"/>
      <c r="MYJ36" s="545"/>
      <c r="MYK36" s="545"/>
      <c r="MYL36" s="545"/>
      <c r="MYM36" s="544"/>
      <c r="MYN36" s="545"/>
      <c r="MYO36" s="545"/>
      <c r="MYP36" s="545"/>
      <c r="MYQ36" s="545"/>
      <c r="MYR36" s="545"/>
      <c r="MYS36" s="545"/>
      <c r="MYT36" s="544"/>
      <c r="MYU36" s="545"/>
      <c r="MYV36" s="545"/>
      <c r="MYW36" s="545"/>
      <c r="MYX36" s="545"/>
      <c r="MYY36" s="545"/>
      <c r="MYZ36" s="545"/>
      <c r="MZA36" s="544"/>
      <c r="MZB36" s="545"/>
      <c r="MZC36" s="545"/>
      <c r="MZD36" s="545"/>
      <c r="MZE36" s="545"/>
      <c r="MZF36" s="545"/>
      <c r="MZG36" s="545"/>
      <c r="MZH36" s="544"/>
      <c r="MZI36" s="545"/>
      <c r="MZJ36" s="545"/>
      <c r="MZK36" s="545"/>
      <c r="MZL36" s="545"/>
      <c r="MZM36" s="545"/>
      <c r="MZN36" s="545"/>
      <c r="MZO36" s="544"/>
      <c r="MZP36" s="545"/>
      <c r="MZQ36" s="545"/>
      <c r="MZR36" s="545"/>
      <c r="MZS36" s="545"/>
      <c r="MZT36" s="545"/>
      <c r="MZU36" s="545"/>
      <c r="MZV36" s="544"/>
      <c r="MZW36" s="545"/>
      <c r="MZX36" s="545"/>
      <c r="MZY36" s="545"/>
      <c r="MZZ36" s="545"/>
      <c r="NAA36" s="545"/>
      <c r="NAB36" s="545"/>
      <c r="NAC36" s="544"/>
      <c r="NAD36" s="545"/>
      <c r="NAE36" s="545"/>
      <c r="NAF36" s="545"/>
      <c r="NAG36" s="545"/>
      <c r="NAH36" s="545"/>
      <c r="NAI36" s="545"/>
      <c r="NAJ36" s="544"/>
      <c r="NAK36" s="545"/>
      <c r="NAL36" s="545"/>
      <c r="NAM36" s="545"/>
      <c r="NAN36" s="545"/>
      <c r="NAO36" s="545"/>
      <c r="NAP36" s="545"/>
      <c r="NAQ36" s="544"/>
      <c r="NAR36" s="545"/>
      <c r="NAS36" s="545"/>
      <c r="NAT36" s="545"/>
      <c r="NAU36" s="545"/>
      <c r="NAV36" s="545"/>
      <c r="NAW36" s="545"/>
      <c r="NAX36" s="544"/>
      <c r="NAY36" s="545"/>
      <c r="NAZ36" s="545"/>
      <c r="NBA36" s="545"/>
      <c r="NBB36" s="545"/>
      <c r="NBC36" s="545"/>
      <c r="NBD36" s="545"/>
      <c r="NBE36" s="544"/>
      <c r="NBF36" s="545"/>
      <c r="NBG36" s="545"/>
      <c r="NBH36" s="545"/>
      <c r="NBI36" s="545"/>
      <c r="NBJ36" s="545"/>
      <c r="NBK36" s="545"/>
      <c r="NBL36" s="544"/>
      <c r="NBM36" s="545"/>
      <c r="NBN36" s="545"/>
      <c r="NBO36" s="545"/>
      <c r="NBP36" s="545"/>
      <c r="NBQ36" s="545"/>
      <c r="NBR36" s="545"/>
      <c r="NBS36" s="544"/>
      <c r="NBT36" s="545"/>
      <c r="NBU36" s="545"/>
      <c r="NBV36" s="545"/>
      <c r="NBW36" s="545"/>
      <c r="NBX36" s="545"/>
      <c r="NBY36" s="545"/>
      <c r="NBZ36" s="544"/>
      <c r="NCA36" s="545"/>
      <c r="NCB36" s="545"/>
      <c r="NCC36" s="545"/>
      <c r="NCD36" s="545"/>
      <c r="NCE36" s="545"/>
      <c r="NCF36" s="545"/>
      <c r="NCG36" s="544"/>
      <c r="NCH36" s="545"/>
      <c r="NCI36" s="545"/>
      <c r="NCJ36" s="545"/>
      <c r="NCK36" s="545"/>
      <c r="NCL36" s="545"/>
      <c r="NCM36" s="545"/>
      <c r="NCN36" s="544"/>
      <c r="NCO36" s="545"/>
      <c r="NCP36" s="545"/>
      <c r="NCQ36" s="545"/>
      <c r="NCR36" s="545"/>
      <c r="NCS36" s="545"/>
      <c r="NCT36" s="545"/>
      <c r="NCU36" s="544"/>
      <c r="NCV36" s="545"/>
      <c r="NCW36" s="545"/>
      <c r="NCX36" s="545"/>
      <c r="NCY36" s="545"/>
      <c r="NCZ36" s="545"/>
      <c r="NDA36" s="545"/>
      <c r="NDB36" s="544"/>
      <c r="NDC36" s="545"/>
      <c r="NDD36" s="545"/>
      <c r="NDE36" s="545"/>
      <c r="NDF36" s="545"/>
      <c r="NDG36" s="545"/>
      <c r="NDH36" s="545"/>
      <c r="NDI36" s="544"/>
      <c r="NDJ36" s="545"/>
      <c r="NDK36" s="545"/>
      <c r="NDL36" s="545"/>
      <c r="NDM36" s="545"/>
      <c r="NDN36" s="545"/>
      <c r="NDO36" s="545"/>
      <c r="NDP36" s="544"/>
      <c r="NDQ36" s="545"/>
      <c r="NDR36" s="545"/>
      <c r="NDS36" s="545"/>
      <c r="NDT36" s="545"/>
      <c r="NDU36" s="545"/>
      <c r="NDV36" s="545"/>
      <c r="NDW36" s="544"/>
      <c r="NDX36" s="545"/>
      <c r="NDY36" s="545"/>
      <c r="NDZ36" s="545"/>
      <c r="NEA36" s="545"/>
      <c r="NEB36" s="545"/>
      <c r="NEC36" s="545"/>
      <c r="NED36" s="544"/>
      <c r="NEE36" s="545"/>
      <c r="NEF36" s="545"/>
      <c r="NEG36" s="545"/>
      <c r="NEH36" s="545"/>
      <c r="NEI36" s="545"/>
      <c r="NEJ36" s="545"/>
      <c r="NEK36" s="544"/>
      <c r="NEL36" s="545"/>
      <c r="NEM36" s="545"/>
      <c r="NEN36" s="545"/>
      <c r="NEO36" s="545"/>
      <c r="NEP36" s="545"/>
      <c r="NEQ36" s="545"/>
      <c r="NER36" s="544"/>
      <c r="NES36" s="545"/>
      <c r="NET36" s="545"/>
      <c r="NEU36" s="545"/>
      <c r="NEV36" s="545"/>
      <c r="NEW36" s="545"/>
      <c r="NEX36" s="545"/>
      <c r="NEY36" s="544"/>
      <c r="NEZ36" s="545"/>
      <c r="NFA36" s="545"/>
      <c r="NFB36" s="545"/>
      <c r="NFC36" s="545"/>
      <c r="NFD36" s="545"/>
      <c r="NFE36" s="545"/>
      <c r="NFF36" s="544"/>
      <c r="NFG36" s="545"/>
      <c r="NFH36" s="545"/>
      <c r="NFI36" s="545"/>
      <c r="NFJ36" s="545"/>
      <c r="NFK36" s="545"/>
      <c r="NFL36" s="545"/>
      <c r="NFM36" s="544"/>
      <c r="NFN36" s="545"/>
      <c r="NFO36" s="545"/>
      <c r="NFP36" s="545"/>
      <c r="NFQ36" s="545"/>
      <c r="NFR36" s="545"/>
      <c r="NFS36" s="545"/>
      <c r="NFT36" s="544"/>
      <c r="NFU36" s="545"/>
      <c r="NFV36" s="545"/>
      <c r="NFW36" s="545"/>
      <c r="NFX36" s="545"/>
      <c r="NFY36" s="545"/>
      <c r="NFZ36" s="545"/>
      <c r="NGA36" s="544"/>
      <c r="NGB36" s="545"/>
      <c r="NGC36" s="545"/>
      <c r="NGD36" s="545"/>
      <c r="NGE36" s="545"/>
      <c r="NGF36" s="545"/>
      <c r="NGG36" s="545"/>
      <c r="NGH36" s="544"/>
      <c r="NGI36" s="545"/>
      <c r="NGJ36" s="545"/>
      <c r="NGK36" s="545"/>
      <c r="NGL36" s="545"/>
      <c r="NGM36" s="545"/>
      <c r="NGN36" s="545"/>
      <c r="NGO36" s="544"/>
      <c r="NGP36" s="545"/>
      <c r="NGQ36" s="545"/>
      <c r="NGR36" s="545"/>
      <c r="NGS36" s="545"/>
      <c r="NGT36" s="545"/>
      <c r="NGU36" s="545"/>
      <c r="NGV36" s="544"/>
      <c r="NGW36" s="545"/>
      <c r="NGX36" s="545"/>
      <c r="NGY36" s="545"/>
      <c r="NGZ36" s="545"/>
      <c r="NHA36" s="545"/>
      <c r="NHB36" s="545"/>
      <c r="NHC36" s="544"/>
      <c r="NHD36" s="545"/>
      <c r="NHE36" s="545"/>
      <c r="NHF36" s="545"/>
      <c r="NHG36" s="545"/>
      <c r="NHH36" s="545"/>
      <c r="NHI36" s="545"/>
      <c r="NHJ36" s="544"/>
      <c r="NHK36" s="545"/>
      <c r="NHL36" s="545"/>
      <c r="NHM36" s="545"/>
      <c r="NHN36" s="545"/>
      <c r="NHO36" s="545"/>
      <c r="NHP36" s="545"/>
      <c r="NHQ36" s="544"/>
      <c r="NHR36" s="545"/>
      <c r="NHS36" s="545"/>
      <c r="NHT36" s="545"/>
      <c r="NHU36" s="545"/>
      <c r="NHV36" s="545"/>
      <c r="NHW36" s="545"/>
      <c r="NHX36" s="544"/>
      <c r="NHY36" s="545"/>
      <c r="NHZ36" s="545"/>
      <c r="NIA36" s="545"/>
      <c r="NIB36" s="545"/>
      <c r="NIC36" s="545"/>
      <c r="NID36" s="545"/>
      <c r="NIE36" s="544"/>
      <c r="NIF36" s="545"/>
      <c r="NIG36" s="545"/>
      <c r="NIH36" s="545"/>
      <c r="NII36" s="545"/>
      <c r="NIJ36" s="545"/>
      <c r="NIK36" s="545"/>
      <c r="NIL36" s="544"/>
      <c r="NIM36" s="545"/>
      <c r="NIN36" s="545"/>
      <c r="NIO36" s="545"/>
      <c r="NIP36" s="545"/>
      <c r="NIQ36" s="545"/>
      <c r="NIR36" s="545"/>
      <c r="NIS36" s="544"/>
      <c r="NIT36" s="545"/>
      <c r="NIU36" s="545"/>
      <c r="NIV36" s="545"/>
      <c r="NIW36" s="545"/>
      <c r="NIX36" s="545"/>
      <c r="NIY36" s="545"/>
      <c r="NIZ36" s="544"/>
      <c r="NJA36" s="545"/>
      <c r="NJB36" s="545"/>
      <c r="NJC36" s="545"/>
      <c r="NJD36" s="545"/>
      <c r="NJE36" s="545"/>
      <c r="NJF36" s="545"/>
      <c r="NJG36" s="544"/>
      <c r="NJH36" s="545"/>
      <c r="NJI36" s="545"/>
      <c r="NJJ36" s="545"/>
      <c r="NJK36" s="545"/>
      <c r="NJL36" s="545"/>
      <c r="NJM36" s="545"/>
      <c r="NJN36" s="544"/>
      <c r="NJO36" s="545"/>
      <c r="NJP36" s="545"/>
      <c r="NJQ36" s="545"/>
      <c r="NJR36" s="545"/>
      <c r="NJS36" s="545"/>
      <c r="NJT36" s="545"/>
      <c r="NJU36" s="544"/>
      <c r="NJV36" s="545"/>
      <c r="NJW36" s="545"/>
      <c r="NJX36" s="545"/>
      <c r="NJY36" s="545"/>
      <c r="NJZ36" s="545"/>
      <c r="NKA36" s="545"/>
      <c r="NKB36" s="544"/>
      <c r="NKC36" s="545"/>
      <c r="NKD36" s="545"/>
      <c r="NKE36" s="545"/>
      <c r="NKF36" s="545"/>
      <c r="NKG36" s="545"/>
      <c r="NKH36" s="545"/>
      <c r="NKI36" s="544"/>
      <c r="NKJ36" s="545"/>
      <c r="NKK36" s="545"/>
      <c r="NKL36" s="545"/>
      <c r="NKM36" s="545"/>
      <c r="NKN36" s="545"/>
      <c r="NKO36" s="545"/>
      <c r="NKP36" s="544"/>
      <c r="NKQ36" s="545"/>
      <c r="NKR36" s="545"/>
      <c r="NKS36" s="545"/>
      <c r="NKT36" s="545"/>
      <c r="NKU36" s="545"/>
      <c r="NKV36" s="545"/>
      <c r="NKW36" s="544"/>
      <c r="NKX36" s="545"/>
      <c r="NKY36" s="545"/>
      <c r="NKZ36" s="545"/>
      <c r="NLA36" s="545"/>
      <c r="NLB36" s="545"/>
      <c r="NLC36" s="545"/>
      <c r="NLD36" s="544"/>
      <c r="NLE36" s="545"/>
      <c r="NLF36" s="545"/>
      <c r="NLG36" s="545"/>
      <c r="NLH36" s="545"/>
      <c r="NLI36" s="545"/>
      <c r="NLJ36" s="545"/>
      <c r="NLK36" s="544"/>
      <c r="NLL36" s="545"/>
      <c r="NLM36" s="545"/>
      <c r="NLN36" s="545"/>
      <c r="NLO36" s="545"/>
      <c r="NLP36" s="545"/>
      <c r="NLQ36" s="545"/>
      <c r="NLR36" s="544"/>
      <c r="NLS36" s="545"/>
      <c r="NLT36" s="545"/>
      <c r="NLU36" s="545"/>
      <c r="NLV36" s="545"/>
      <c r="NLW36" s="545"/>
      <c r="NLX36" s="545"/>
      <c r="NLY36" s="544"/>
      <c r="NLZ36" s="545"/>
      <c r="NMA36" s="545"/>
      <c r="NMB36" s="545"/>
      <c r="NMC36" s="545"/>
      <c r="NMD36" s="545"/>
      <c r="NME36" s="545"/>
      <c r="NMF36" s="544"/>
      <c r="NMG36" s="545"/>
      <c r="NMH36" s="545"/>
      <c r="NMI36" s="545"/>
      <c r="NMJ36" s="545"/>
      <c r="NMK36" s="545"/>
      <c r="NML36" s="545"/>
      <c r="NMM36" s="544"/>
      <c r="NMN36" s="545"/>
      <c r="NMO36" s="545"/>
      <c r="NMP36" s="545"/>
      <c r="NMQ36" s="545"/>
      <c r="NMR36" s="545"/>
      <c r="NMS36" s="545"/>
      <c r="NMT36" s="544"/>
      <c r="NMU36" s="545"/>
      <c r="NMV36" s="545"/>
      <c r="NMW36" s="545"/>
      <c r="NMX36" s="545"/>
      <c r="NMY36" s="545"/>
      <c r="NMZ36" s="545"/>
      <c r="NNA36" s="544"/>
      <c r="NNB36" s="545"/>
      <c r="NNC36" s="545"/>
      <c r="NND36" s="545"/>
      <c r="NNE36" s="545"/>
      <c r="NNF36" s="545"/>
      <c r="NNG36" s="545"/>
      <c r="NNH36" s="544"/>
      <c r="NNI36" s="545"/>
      <c r="NNJ36" s="545"/>
      <c r="NNK36" s="545"/>
      <c r="NNL36" s="545"/>
      <c r="NNM36" s="545"/>
      <c r="NNN36" s="545"/>
      <c r="NNO36" s="544"/>
      <c r="NNP36" s="545"/>
      <c r="NNQ36" s="545"/>
      <c r="NNR36" s="545"/>
      <c r="NNS36" s="545"/>
      <c r="NNT36" s="545"/>
      <c r="NNU36" s="545"/>
      <c r="NNV36" s="544"/>
      <c r="NNW36" s="545"/>
      <c r="NNX36" s="545"/>
      <c r="NNY36" s="545"/>
      <c r="NNZ36" s="545"/>
      <c r="NOA36" s="545"/>
      <c r="NOB36" s="545"/>
      <c r="NOC36" s="544"/>
      <c r="NOD36" s="545"/>
      <c r="NOE36" s="545"/>
      <c r="NOF36" s="545"/>
      <c r="NOG36" s="545"/>
      <c r="NOH36" s="545"/>
      <c r="NOI36" s="545"/>
      <c r="NOJ36" s="544"/>
      <c r="NOK36" s="545"/>
      <c r="NOL36" s="545"/>
      <c r="NOM36" s="545"/>
      <c r="NON36" s="545"/>
      <c r="NOO36" s="545"/>
      <c r="NOP36" s="545"/>
      <c r="NOQ36" s="544"/>
      <c r="NOR36" s="545"/>
      <c r="NOS36" s="545"/>
      <c r="NOT36" s="545"/>
      <c r="NOU36" s="545"/>
      <c r="NOV36" s="545"/>
      <c r="NOW36" s="545"/>
      <c r="NOX36" s="544"/>
      <c r="NOY36" s="545"/>
      <c r="NOZ36" s="545"/>
      <c r="NPA36" s="545"/>
      <c r="NPB36" s="545"/>
      <c r="NPC36" s="545"/>
      <c r="NPD36" s="545"/>
      <c r="NPE36" s="544"/>
      <c r="NPF36" s="545"/>
      <c r="NPG36" s="545"/>
      <c r="NPH36" s="545"/>
      <c r="NPI36" s="545"/>
      <c r="NPJ36" s="545"/>
      <c r="NPK36" s="545"/>
      <c r="NPL36" s="544"/>
      <c r="NPM36" s="545"/>
      <c r="NPN36" s="545"/>
      <c r="NPO36" s="545"/>
      <c r="NPP36" s="545"/>
      <c r="NPQ36" s="545"/>
      <c r="NPR36" s="545"/>
      <c r="NPS36" s="544"/>
      <c r="NPT36" s="545"/>
      <c r="NPU36" s="545"/>
      <c r="NPV36" s="545"/>
      <c r="NPW36" s="545"/>
      <c r="NPX36" s="545"/>
      <c r="NPY36" s="545"/>
      <c r="NPZ36" s="544"/>
      <c r="NQA36" s="545"/>
      <c r="NQB36" s="545"/>
      <c r="NQC36" s="545"/>
      <c r="NQD36" s="545"/>
      <c r="NQE36" s="545"/>
      <c r="NQF36" s="545"/>
      <c r="NQG36" s="544"/>
      <c r="NQH36" s="545"/>
      <c r="NQI36" s="545"/>
      <c r="NQJ36" s="545"/>
      <c r="NQK36" s="545"/>
      <c r="NQL36" s="545"/>
      <c r="NQM36" s="545"/>
      <c r="NQN36" s="544"/>
      <c r="NQO36" s="545"/>
      <c r="NQP36" s="545"/>
      <c r="NQQ36" s="545"/>
      <c r="NQR36" s="545"/>
      <c r="NQS36" s="545"/>
      <c r="NQT36" s="545"/>
      <c r="NQU36" s="544"/>
      <c r="NQV36" s="545"/>
      <c r="NQW36" s="545"/>
      <c r="NQX36" s="545"/>
      <c r="NQY36" s="545"/>
      <c r="NQZ36" s="545"/>
      <c r="NRA36" s="545"/>
      <c r="NRB36" s="544"/>
      <c r="NRC36" s="545"/>
      <c r="NRD36" s="545"/>
      <c r="NRE36" s="545"/>
      <c r="NRF36" s="545"/>
      <c r="NRG36" s="545"/>
      <c r="NRH36" s="545"/>
      <c r="NRI36" s="544"/>
      <c r="NRJ36" s="545"/>
      <c r="NRK36" s="545"/>
      <c r="NRL36" s="545"/>
      <c r="NRM36" s="545"/>
      <c r="NRN36" s="545"/>
      <c r="NRO36" s="545"/>
      <c r="NRP36" s="544"/>
      <c r="NRQ36" s="545"/>
      <c r="NRR36" s="545"/>
      <c r="NRS36" s="545"/>
      <c r="NRT36" s="545"/>
      <c r="NRU36" s="545"/>
      <c r="NRV36" s="545"/>
      <c r="NRW36" s="544"/>
      <c r="NRX36" s="545"/>
      <c r="NRY36" s="545"/>
      <c r="NRZ36" s="545"/>
      <c r="NSA36" s="545"/>
      <c r="NSB36" s="545"/>
      <c r="NSC36" s="545"/>
      <c r="NSD36" s="544"/>
      <c r="NSE36" s="545"/>
      <c r="NSF36" s="545"/>
      <c r="NSG36" s="545"/>
      <c r="NSH36" s="545"/>
      <c r="NSI36" s="545"/>
      <c r="NSJ36" s="545"/>
      <c r="NSK36" s="544"/>
      <c r="NSL36" s="545"/>
      <c r="NSM36" s="545"/>
      <c r="NSN36" s="545"/>
      <c r="NSO36" s="545"/>
      <c r="NSP36" s="545"/>
      <c r="NSQ36" s="545"/>
      <c r="NSR36" s="544"/>
      <c r="NSS36" s="545"/>
      <c r="NST36" s="545"/>
      <c r="NSU36" s="545"/>
      <c r="NSV36" s="545"/>
      <c r="NSW36" s="545"/>
      <c r="NSX36" s="545"/>
      <c r="NSY36" s="544"/>
      <c r="NSZ36" s="545"/>
      <c r="NTA36" s="545"/>
      <c r="NTB36" s="545"/>
      <c r="NTC36" s="545"/>
      <c r="NTD36" s="545"/>
      <c r="NTE36" s="545"/>
      <c r="NTF36" s="544"/>
      <c r="NTG36" s="545"/>
      <c r="NTH36" s="545"/>
      <c r="NTI36" s="545"/>
      <c r="NTJ36" s="545"/>
      <c r="NTK36" s="545"/>
      <c r="NTL36" s="545"/>
      <c r="NTM36" s="544"/>
      <c r="NTN36" s="545"/>
      <c r="NTO36" s="545"/>
      <c r="NTP36" s="545"/>
      <c r="NTQ36" s="545"/>
      <c r="NTR36" s="545"/>
      <c r="NTS36" s="545"/>
      <c r="NTT36" s="544"/>
      <c r="NTU36" s="545"/>
      <c r="NTV36" s="545"/>
      <c r="NTW36" s="545"/>
      <c r="NTX36" s="545"/>
      <c r="NTY36" s="545"/>
      <c r="NTZ36" s="545"/>
      <c r="NUA36" s="544"/>
      <c r="NUB36" s="545"/>
      <c r="NUC36" s="545"/>
      <c r="NUD36" s="545"/>
      <c r="NUE36" s="545"/>
      <c r="NUF36" s="545"/>
      <c r="NUG36" s="545"/>
      <c r="NUH36" s="544"/>
      <c r="NUI36" s="545"/>
      <c r="NUJ36" s="545"/>
      <c r="NUK36" s="545"/>
      <c r="NUL36" s="545"/>
      <c r="NUM36" s="545"/>
      <c r="NUN36" s="545"/>
      <c r="NUO36" s="544"/>
      <c r="NUP36" s="545"/>
      <c r="NUQ36" s="545"/>
      <c r="NUR36" s="545"/>
      <c r="NUS36" s="545"/>
      <c r="NUT36" s="545"/>
      <c r="NUU36" s="545"/>
      <c r="NUV36" s="544"/>
      <c r="NUW36" s="545"/>
      <c r="NUX36" s="545"/>
      <c r="NUY36" s="545"/>
      <c r="NUZ36" s="545"/>
      <c r="NVA36" s="545"/>
      <c r="NVB36" s="545"/>
      <c r="NVC36" s="544"/>
      <c r="NVD36" s="545"/>
      <c r="NVE36" s="545"/>
      <c r="NVF36" s="545"/>
      <c r="NVG36" s="545"/>
      <c r="NVH36" s="545"/>
      <c r="NVI36" s="545"/>
      <c r="NVJ36" s="544"/>
      <c r="NVK36" s="545"/>
      <c r="NVL36" s="545"/>
      <c r="NVM36" s="545"/>
      <c r="NVN36" s="545"/>
      <c r="NVO36" s="545"/>
      <c r="NVP36" s="545"/>
      <c r="NVQ36" s="544"/>
      <c r="NVR36" s="545"/>
      <c r="NVS36" s="545"/>
      <c r="NVT36" s="545"/>
      <c r="NVU36" s="545"/>
      <c r="NVV36" s="545"/>
      <c r="NVW36" s="545"/>
      <c r="NVX36" s="544"/>
      <c r="NVY36" s="545"/>
      <c r="NVZ36" s="545"/>
      <c r="NWA36" s="545"/>
      <c r="NWB36" s="545"/>
      <c r="NWC36" s="545"/>
      <c r="NWD36" s="545"/>
      <c r="NWE36" s="544"/>
      <c r="NWF36" s="545"/>
      <c r="NWG36" s="545"/>
      <c r="NWH36" s="545"/>
      <c r="NWI36" s="545"/>
      <c r="NWJ36" s="545"/>
      <c r="NWK36" s="545"/>
      <c r="NWL36" s="544"/>
      <c r="NWM36" s="545"/>
      <c r="NWN36" s="545"/>
      <c r="NWO36" s="545"/>
      <c r="NWP36" s="545"/>
      <c r="NWQ36" s="545"/>
      <c r="NWR36" s="545"/>
      <c r="NWS36" s="544"/>
      <c r="NWT36" s="545"/>
      <c r="NWU36" s="545"/>
      <c r="NWV36" s="545"/>
      <c r="NWW36" s="545"/>
      <c r="NWX36" s="545"/>
      <c r="NWY36" s="545"/>
      <c r="NWZ36" s="544"/>
      <c r="NXA36" s="545"/>
      <c r="NXB36" s="545"/>
      <c r="NXC36" s="545"/>
      <c r="NXD36" s="545"/>
      <c r="NXE36" s="545"/>
      <c r="NXF36" s="545"/>
      <c r="NXG36" s="544"/>
      <c r="NXH36" s="545"/>
      <c r="NXI36" s="545"/>
      <c r="NXJ36" s="545"/>
      <c r="NXK36" s="545"/>
      <c r="NXL36" s="545"/>
      <c r="NXM36" s="545"/>
      <c r="NXN36" s="544"/>
      <c r="NXO36" s="545"/>
      <c r="NXP36" s="545"/>
      <c r="NXQ36" s="545"/>
      <c r="NXR36" s="545"/>
      <c r="NXS36" s="545"/>
      <c r="NXT36" s="545"/>
      <c r="NXU36" s="544"/>
      <c r="NXV36" s="545"/>
      <c r="NXW36" s="545"/>
      <c r="NXX36" s="545"/>
      <c r="NXY36" s="545"/>
      <c r="NXZ36" s="545"/>
      <c r="NYA36" s="545"/>
      <c r="NYB36" s="544"/>
      <c r="NYC36" s="545"/>
      <c r="NYD36" s="545"/>
      <c r="NYE36" s="545"/>
      <c r="NYF36" s="545"/>
      <c r="NYG36" s="545"/>
      <c r="NYH36" s="545"/>
      <c r="NYI36" s="544"/>
      <c r="NYJ36" s="545"/>
      <c r="NYK36" s="545"/>
      <c r="NYL36" s="545"/>
      <c r="NYM36" s="545"/>
      <c r="NYN36" s="545"/>
      <c r="NYO36" s="545"/>
      <c r="NYP36" s="544"/>
      <c r="NYQ36" s="545"/>
      <c r="NYR36" s="545"/>
      <c r="NYS36" s="545"/>
      <c r="NYT36" s="545"/>
      <c r="NYU36" s="545"/>
      <c r="NYV36" s="545"/>
      <c r="NYW36" s="544"/>
      <c r="NYX36" s="545"/>
      <c r="NYY36" s="545"/>
      <c r="NYZ36" s="545"/>
      <c r="NZA36" s="545"/>
      <c r="NZB36" s="545"/>
      <c r="NZC36" s="545"/>
      <c r="NZD36" s="544"/>
      <c r="NZE36" s="545"/>
      <c r="NZF36" s="545"/>
      <c r="NZG36" s="545"/>
      <c r="NZH36" s="545"/>
      <c r="NZI36" s="545"/>
      <c r="NZJ36" s="545"/>
      <c r="NZK36" s="544"/>
      <c r="NZL36" s="545"/>
      <c r="NZM36" s="545"/>
      <c r="NZN36" s="545"/>
      <c r="NZO36" s="545"/>
      <c r="NZP36" s="545"/>
      <c r="NZQ36" s="545"/>
      <c r="NZR36" s="544"/>
      <c r="NZS36" s="545"/>
      <c r="NZT36" s="545"/>
      <c r="NZU36" s="545"/>
      <c r="NZV36" s="545"/>
      <c r="NZW36" s="545"/>
      <c r="NZX36" s="545"/>
      <c r="NZY36" s="544"/>
      <c r="NZZ36" s="545"/>
      <c r="OAA36" s="545"/>
      <c r="OAB36" s="545"/>
      <c r="OAC36" s="545"/>
      <c r="OAD36" s="545"/>
      <c r="OAE36" s="545"/>
      <c r="OAF36" s="544"/>
      <c r="OAG36" s="545"/>
      <c r="OAH36" s="545"/>
      <c r="OAI36" s="545"/>
      <c r="OAJ36" s="545"/>
      <c r="OAK36" s="545"/>
      <c r="OAL36" s="545"/>
      <c r="OAM36" s="544"/>
      <c r="OAN36" s="545"/>
      <c r="OAO36" s="545"/>
      <c r="OAP36" s="545"/>
      <c r="OAQ36" s="545"/>
      <c r="OAR36" s="545"/>
      <c r="OAS36" s="545"/>
      <c r="OAT36" s="544"/>
      <c r="OAU36" s="545"/>
      <c r="OAV36" s="545"/>
      <c r="OAW36" s="545"/>
      <c r="OAX36" s="545"/>
      <c r="OAY36" s="545"/>
      <c r="OAZ36" s="545"/>
      <c r="OBA36" s="544"/>
      <c r="OBB36" s="545"/>
      <c r="OBC36" s="545"/>
      <c r="OBD36" s="545"/>
      <c r="OBE36" s="545"/>
      <c r="OBF36" s="545"/>
      <c r="OBG36" s="545"/>
      <c r="OBH36" s="544"/>
      <c r="OBI36" s="545"/>
      <c r="OBJ36" s="545"/>
      <c r="OBK36" s="545"/>
      <c r="OBL36" s="545"/>
      <c r="OBM36" s="545"/>
      <c r="OBN36" s="545"/>
      <c r="OBO36" s="544"/>
      <c r="OBP36" s="545"/>
      <c r="OBQ36" s="545"/>
      <c r="OBR36" s="545"/>
      <c r="OBS36" s="545"/>
      <c r="OBT36" s="545"/>
      <c r="OBU36" s="545"/>
      <c r="OBV36" s="544"/>
      <c r="OBW36" s="545"/>
      <c r="OBX36" s="545"/>
      <c r="OBY36" s="545"/>
      <c r="OBZ36" s="545"/>
      <c r="OCA36" s="545"/>
      <c r="OCB36" s="545"/>
      <c r="OCC36" s="544"/>
      <c r="OCD36" s="545"/>
      <c r="OCE36" s="545"/>
      <c r="OCF36" s="545"/>
      <c r="OCG36" s="545"/>
      <c r="OCH36" s="545"/>
      <c r="OCI36" s="545"/>
      <c r="OCJ36" s="544"/>
      <c r="OCK36" s="545"/>
      <c r="OCL36" s="545"/>
      <c r="OCM36" s="545"/>
      <c r="OCN36" s="545"/>
      <c r="OCO36" s="545"/>
      <c r="OCP36" s="545"/>
      <c r="OCQ36" s="544"/>
      <c r="OCR36" s="545"/>
      <c r="OCS36" s="545"/>
      <c r="OCT36" s="545"/>
      <c r="OCU36" s="545"/>
      <c r="OCV36" s="545"/>
      <c r="OCW36" s="545"/>
      <c r="OCX36" s="544"/>
      <c r="OCY36" s="545"/>
      <c r="OCZ36" s="545"/>
      <c r="ODA36" s="545"/>
      <c r="ODB36" s="545"/>
      <c r="ODC36" s="545"/>
      <c r="ODD36" s="545"/>
      <c r="ODE36" s="544"/>
      <c r="ODF36" s="545"/>
      <c r="ODG36" s="545"/>
      <c r="ODH36" s="545"/>
      <c r="ODI36" s="545"/>
      <c r="ODJ36" s="545"/>
      <c r="ODK36" s="545"/>
      <c r="ODL36" s="544"/>
      <c r="ODM36" s="545"/>
      <c r="ODN36" s="545"/>
      <c r="ODO36" s="545"/>
      <c r="ODP36" s="545"/>
      <c r="ODQ36" s="545"/>
      <c r="ODR36" s="545"/>
      <c r="ODS36" s="544"/>
      <c r="ODT36" s="545"/>
      <c r="ODU36" s="545"/>
      <c r="ODV36" s="545"/>
      <c r="ODW36" s="545"/>
      <c r="ODX36" s="545"/>
      <c r="ODY36" s="545"/>
      <c r="ODZ36" s="544"/>
      <c r="OEA36" s="545"/>
      <c r="OEB36" s="545"/>
      <c r="OEC36" s="545"/>
      <c r="OED36" s="545"/>
      <c r="OEE36" s="545"/>
      <c r="OEF36" s="545"/>
      <c r="OEG36" s="544"/>
      <c r="OEH36" s="545"/>
      <c r="OEI36" s="545"/>
      <c r="OEJ36" s="545"/>
      <c r="OEK36" s="545"/>
      <c r="OEL36" s="545"/>
      <c r="OEM36" s="545"/>
      <c r="OEN36" s="544"/>
      <c r="OEO36" s="545"/>
      <c r="OEP36" s="545"/>
      <c r="OEQ36" s="545"/>
      <c r="OER36" s="545"/>
      <c r="OES36" s="545"/>
      <c r="OET36" s="545"/>
      <c r="OEU36" s="544"/>
      <c r="OEV36" s="545"/>
      <c r="OEW36" s="545"/>
      <c r="OEX36" s="545"/>
      <c r="OEY36" s="545"/>
      <c r="OEZ36" s="545"/>
      <c r="OFA36" s="545"/>
      <c r="OFB36" s="544"/>
      <c r="OFC36" s="545"/>
      <c r="OFD36" s="545"/>
      <c r="OFE36" s="545"/>
      <c r="OFF36" s="545"/>
      <c r="OFG36" s="545"/>
      <c r="OFH36" s="545"/>
      <c r="OFI36" s="544"/>
      <c r="OFJ36" s="545"/>
      <c r="OFK36" s="545"/>
      <c r="OFL36" s="545"/>
      <c r="OFM36" s="545"/>
      <c r="OFN36" s="545"/>
      <c r="OFO36" s="545"/>
      <c r="OFP36" s="544"/>
      <c r="OFQ36" s="545"/>
      <c r="OFR36" s="545"/>
      <c r="OFS36" s="545"/>
      <c r="OFT36" s="545"/>
      <c r="OFU36" s="545"/>
      <c r="OFV36" s="545"/>
      <c r="OFW36" s="544"/>
      <c r="OFX36" s="545"/>
      <c r="OFY36" s="545"/>
      <c r="OFZ36" s="545"/>
      <c r="OGA36" s="545"/>
      <c r="OGB36" s="545"/>
      <c r="OGC36" s="545"/>
      <c r="OGD36" s="544"/>
      <c r="OGE36" s="545"/>
      <c r="OGF36" s="545"/>
      <c r="OGG36" s="545"/>
      <c r="OGH36" s="545"/>
      <c r="OGI36" s="545"/>
      <c r="OGJ36" s="545"/>
      <c r="OGK36" s="544"/>
      <c r="OGL36" s="545"/>
      <c r="OGM36" s="545"/>
      <c r="OGN36" s="545"/>
      <c r="OGO36" s="545"/>
      <c r="OGP36" s="545"/>
      <c r="OGQ36" s="545"/>
      <c r="OGR36" s="544"/>
      <c r="OGS36" s="545"/>
      <c r="OGT36" s="545"/>
      <c r="OGU36" s="545"/>
      <c r="OGV36" s="545"/>
      <c r="OGW36" s="545"/>
      <c r="OGX36" s="545"/>
      <c r="OGY36" s="544"/>
      <c r="OGZ36" s="545"/>
      <c r="OHA36" s="545"/>
      <c r="OHB36" s="545"/>
      <c r="OHC36" s="545"/>
      <c r="OHD36" s="545"/>
      <c r="OHE36" s="545"/>
      <c r="OHF36" s="544"/>
      <c r="OHG36" s="545"/>
      <c r="OHH36" s="545"/>
      <c r="OHI36" s="545"/>
      <c r="OHJ36" s="545"/>
      <c r="OHK36" s="545"/>
      <c r="OHL36" s="545"/>
      <c r="OHM36" s="544"/>
      <c r="OHN36" s="545"/>
      <c r="OHO36" s="545"/>
      <c r="OHP36" s="545"/>
      <c r="OHQ36" s="545"/>
      <c r="OHR36" s="545"/>
      <c r="OHS36" s="545"/>
      <c r="OHT36" s="544"/>
      <c r="OHU36" s="545"/>
      <c r="OHV36" s="545"/>
      <c r="OHW36" s="545"/>
      <c r="OHX36" s="545"/>
      <c r="OHY36" s="545"/>
      <c r="OHZ36" s="545"/>
      <c r="OIA36" s="544"/>
      <c r="OIB36" s="545"/>
      <c r="OIC36" s="545"/>
      <c r="OID36" s="545"/>
      <c r="OIE36" s="545"/>
      <c r="OIF36" s="545"/>
      <c r="OIG36" s="545"/>
      <c r="OIH36" s="544"/>
      <c r="OII36" s="545"/>
      <c r="OIJ36" s="545"/>
      <c r="OIK36" s="545"/>
      <c r="OIL36" s="545"/>
      <c r="OIM36" s="545"/>
      <c r="OIN36" s="545"/>
      <c r="OIO36" s="544"/>
      <c r="OIP36" s="545"/>
      <c r="OIQ36" s="545"/>
      <c r="OIR36" s="545"/>
      <c r="OIS36" s="545"/>
      <c r="OIT36" s="545"/>
      <c r="OIU36" s="545"/>
      <c r="OIV36" s="544"/>
      <c r="OIW36" s="545"/>
      <c r="OIX36" s="545"/>
      <c r="OIY36" s="545"/>
      <c r="OIZ36" s="545"/>
      <c r="OJA36" s="545"/>
      <c r="OJB36" s="545"/>
      <c r="OJC36" s="544"/>
      <c r="OJD36" s="545"/>
      <c r="OJE36" s="545"/>
      <c r="OJF36" s="545"/>
      <c r="OJG36" s="545"/>
      <c r="OJH36" s="545"/>
      <c r="OJI36" s="545"/>
      <c r="OJJ36" s="544"/>
      <c r="OJK36" s="545"/>
      <c r="OJL36" s="545"/>
      <c r="OJM36" s="545"/>
      <c r="OJN36" s="545"/>
      <c r="OJO36" s="545"/>
      <c r="OJP36" s="545"/>
      <c r="OJQ36" s="544"/>
      <c r="OJR36" s="545"/>
      <c r="OJS36" s="545"/>
      <c r="OJT36" s="545"/>
      <c r="OJU36" s="545"/>
      <c r="OJV36" s="545"/>
      <c r="OJW36" s="545"/>
      <c r="OJX36" s="544"/>
      <c r="OJY36" s="545"/>
      <c r="OJZ36" s="545"/>
      <c r="OKA36" s="545"/>
      <c r="OKB36" s="545"/>
      <c r="OKC36" s="545"/>
      <c r="OKD36" s="545"/>
      <c r="OKE36" s="544"/>
      <c r="OKF36" s="545"/>
      <c r="OKG36" s="545"/>
      <c r="OKH36" s="545"/>
      <c r="OKI36" s="545"/>
      <c r="OKJ36" s="545"/>
      <c r="OKK36" s="545"/>
      <c r="OKL36" s="544"/>
      <c r="OKM36" s="545"/>
      <c r="OKN36" s="545"/>
      <c r="OKO36" s="545"/>
      <c r="OKP36" s="545"/>
      <c r="OKQ36" s="545"/>
      <c r="OKR36" s="545"/>
      <c r="OKS36" s="544"/>
      <c r="OKT36" s="545"/>
      <c r="OKU36" s="545"/>
      <c r="OKV36" s="545"/>
      <c r="OKW36" s="545"/>
      <c r="OKX36" s="545"/>
      <c r="OKY36" s="545"/>
      <c r="OKZ36" s="544"/>
      <c r="OLA36" s="545"/>
      <c r="OLB36" s="545"/>
      <c r="OLC36" s="545"/>
      <c r="OLD36" s="545"/>
      <c r="OLE36" s="545"/>
      <c r="OLF36" s="545"/>
      <c r="OLG36" s="544"/>
      <c r="OLH36" s="545"/>
      <c r="OLI36" s="545"/>
      <c r="OLJ36" s="545"/>
      <c r="OLK36" s="545"/>
      <c r="OLL36" s="545"/>
      <c r="OLM36" s="545"/>
      <c r="OLN36" s="544"/>
      <c r="OLO36" s="545"/>
      <c r="OLP36" s="545"/>
      <c r="OLQ36" s="545"/>
      <c r="OLR36" s="545"/>
      <c r="OLS36" s="545"/>
      <c r="OLT36" s="545"/>
      <c r="OLU36" s="544"/>
      <c r="OLV36" s="545"/>
      <c r="OLW36" s="545"/>
      <c r="OLX36" s="545"/>
      <c r="OLY36" s="545"/>
      <c r="OLZ36" s="545"/>
      <c r="OMA36" s="545"/>
      <c r="OMB36" s="544"/>
      <c r="OMC36" s="545"/>
      <c r="OMD36" s="545"/>
      <c r="OME36" s="545"/>
      <c r="OMF36" s="545"/>
      <c r="OMG36" s="545"/>
      <c r="OMH36" s="545"/>
      <c r="OMI36" s="544"/>
      <c r="OMJ36" s="545"/>
      <c r="OMK36" s="545"/>
      <c r="OML36" s="545"/>
      <c r="OMM36" s="545"/>
      <c r="OMN36" s="545"/>
      <c r="OMO36" s="545"/>
      <c r="OMP36" s="544"/>
      <c r="OMQ36" s="545"/>
      <c r="OMR36" s="545"/>
      <c r="OMS36" s="545"/>
      <c r="OMT36" s="545"/>
      <c r="OMU36" s="545"/>
      <c r="OMV36" s="545"/>
      <c r="OMW36" s="544"/>
      <c r="OMX36" s="545"/>
      <c r="OMY36" s="545"/>
      <c r="OMZ36" s="545"/>
      <c r="ONA36" s="545"/>
      <c r="ONB36" s="545"/>
      <c r="ONC36" s="545"/>
      <c r="OND36" s="544"/>
      <c r="ONE36" s="545"/>
      <c r="ONF36" s="545"/>
      <c r="ONG36" s="545"/>
      <c r="ONH36" s="545"/>
      <c r="ONI36" s="545"/>
      <c r="ONJ36" s="545"/>
      <c r="ONK36" s="544"/>
      <c r="ONL36" s="545"/>
      <c r="ONM36" s="545"/>
      <c r="ONN36" s="545"/>
      <c r="ONO36" s="545"/>
      <c r="ONP36" s="545"/>
      <c r="ONQ36" s="545"/>
      <c r="ONR36" s="544"/>
      <c r="ONS36" s="545"/>
      <c r="ONT36" s="545"/>
      <c r="ONU36" s="545"/>
      <c r="ONV36" s="545"/>
      <c r="ONW36" s="545"/>
      <c r="ONX36" s="545"/>
      <c r="ONY36" s="544"/>
      <c r="ONZ36" s="545"/>
      <c r="OOA36" s="545"/>
      <c r="OOB36" s="545"/>
      <c r="OOC36" s="545"/>
      <c r="OOD36" s="545"/>
      <c r="OOE36" s="545"/>
      <c r="OOF36" s="544"/>
      <c r="OOG36" s="545"/>
      <c r="OOH36" s="545"/>
      <c r="OOI36" s="545"/>
      <c r="OOJ36" s="545"/>
      <c r="OOK36" s="545"/>
      <c r="OOL36" s="545"/>
      <c r="OOM36" s="544"/>
      <c r="OON36" s="545"/>
      <c r="OOO36" s="545"/>
      <c r="OOP36" s="545"/>
      <c r="OOQ36" s="545"/>
      <c r="OOR36" s="545"/>
      <c r="OOS36" s="545"/>
      <c r="OOT36" s="544"/>
      <c r="OOU36" s="545"/>
      <c r="OOV36" s="545"/>
      <c r="OOW36" s="545"/>
      <c r="OOX36" s="545"/>
      <c r="OOY36" s="545"/>
      <c r="OOZ36" s="545"/>
      <c r="OPA36" s="544"/>
      <c r="OPB36" s="545"/>
      <c r="OPC36" s="545"/>
      <c r="OPD36" s="545"/>
      <c r="OPE36" s="545"/>
      <c r="OPF36" s="545"/>
      <c r="OPG36" s="545"/>
      <c r="OPH36" s="544"/>
      <c r="OPI36" s="545"/>
      <c r="OPJ36" s="545"/>
      <c r="OPK36" s="545"/>
      <c r="OPL36" s="545"/>
      <c r="OPM36" s="545"/>
      <c r="OPN36" s="545"/>
      <c r="OPO36" s="544"/>
      <c r="OPP36" s="545"/>
      <c r="OPQ36" s="545"/>
      <c r="OPR36" s="545"/>
      <c r="OPS36" s="545"/>
      <c r="OPT36" s="545"/>
      <c r="OPU36" s="545"/>
      <c r="OPV36" s="544"/>
      <c r="OPW36" s="545"/>
      <c r="OPX36" s="545"/>
      <c r="OPY36" s="545"/>
      <c r="OPZ36" s="545"/>
      <c r="OQA36" s="545"/>
      <c r="OQB36" s="545"/>
      <c r="OQC36" s="544"/>
      <c r="OQD36" s="545"/>
      <c r="OQE36" s="545"/>
      <c r="OQF36" s="545"/>
      <c r="OQG36" s="545"/>
      <c r="OQH36" s="545"/>
      <c r="OQI36" s="545"/>
      <c r="OQJ36" s="544"/>
      <c r="OQK36" s="545"/>
      <c r="OQL36" s="545"/>
      <c r="OQM36" s="545"/>
      <c r="OQN36" s="545"/>
      <c r="OQO36" s="545"/>
      <c r="OQP36" s="545"/>
      <c r="OQQ36" s="544"/>
      <c r="OQR36" s="545"/>
      <c r="OQS36" s="545"/>
      <c r="OQT36" s="545"/>
      <c r="OQU36" s="545"/>
      <c r="OQV36" s="545"/>
      <c r="OQW36" s="545"/>
      <c r="OQX36" s="544"/>
      <c r="OQY36" s="545"/>
      <c r="OQZ36" s="545"/>
      <c r="ORA36" s="545"/>
      <c r="ORB36" s="545"/>
      <c r="ORC36" s="545"/>
      <c r="ORD36" s="545"/>
      <c r="ORE36" s="544"/>
      <c r="ORF36" s="545"/>
      <c r="ORG36" s="545"/>
      <c r="ORH36" s="545"/>
      <c r="ORI36" s="545"/>
      <c r="ORJ36" s="545"/>
      <c r="ORK36" s="545"/>
      <c r="ORL36" s="544"/>
      <c r="ORM36" s="545"/>
      <c r="ORN36" s="545"/>
      <c r="ORO36" s="545"/>
      <c r="ORP36" s="545"/>
      <c r="ORQ36" s="545"/>
      <c r="ORR36" s="545"/>
      <c r="ORS36" s="544"/>
      <c r="ORT36" s="545"/>
      <c r="ORU36" s="545"/>
      <c r="ORV36" s="545"/>
      <c r="ORW36" s="545"/>
      <c r="ORX36" s="545"/>
      <c r="ORY36" s="545"/>
      <c r="ORZ36" s="544"/>
      <c r="OSA36" s="545"/>
      <c r="OSB36" s="545"/>
      <c r="OSC36" s="545"/>
      <c r="OSD36" s="545"/>
      <c r="OSE36" s="545"/>
      <c r="OSF36" s="545"/>
      <c r="OSG36" s="544"/>
      <c r="OSH36" s="545"/>
      <c r="OSI36" s="545"/>
      <c r="OSJ36" s="545"/>
      <c r="OSK36" s="545"/>
      <c r="OSL36" s="545"/>
      <c r="OSM36" s="545"/>
      <c r="OSN36" s="544"/>
      <c r="OSO36" s="545"/>
      <c r="OSP36" s="545"/>
      <c r="OSQ36" s="545"/>
      <c r="OSR36" s="545"/>
      <c r="OSS36" s="545"/>
      <c r="OST36" s="545"/>
      <c r="OSU36" s="544"/>
      <c r="OSV36" s="545"/>
      <c r="OSW36" s="545"/>
      <c r="OSX36" s="545"/>
      <c r="OSY36" s="545"/>
      <c r="OSZ36" s="545"/>
      <c r="OTA36" s="545"/>
      <c r="OTB36" s="544"/>
      <c r="OTC36" s="545"/>
      <c r="OTD36" s="545"/>
      <c r="OTE36" s="545"/>
      <c r="OTF36" s="545"/>
      <c r="OTG36" s="545"/>
      <c r="OTH36" s="545"/>
      <c r="OTI36" s="544"/>
      <c r="OTJ36" s="545"/>
      <c r="OTK36" s="545"/>
      <c r="OTL36" s="545"/>
      <c r="OTM36" s="545"/>
      <c r="OTN36" s="545"/>
      <c r="OTO36" s="545"/>
      <c r="OTP36" s="544"/>
      <c r="OTQ36" s="545"/>
      <c r="OTR36" s="545"/>
      <c r="OTS36" s="545"/>
      <c r="OTT36" s="545"/>
      <c r="OTU36" s="545"/>
      <c r="OTV36" s="545"/>
      <c r="OTW36" s="544"/>
      <c r="OTX36" s="545"/>
      <c r="OTY36" s="545"/>
      <c r="OTZ36" s="545"/>
      <c r="OUA36" s="545"/>
      <c r="OUB36" s="545"/>
      <c r="OUC36" s="545"/>
      <c r="OUD36" s="544"/>
      <c r="OUE36" s="545"/>
      <c r="OUF36" s="545"/>
      <c r="OUG36" s="545"/>
      <c r="OUH36" s="545"/>
      <c r="OUI36" s="545"/>
      <c r="OUJ36" s="545"/>
      <c r="OUK36" s="544"/>
      <c r="OUL36" s="545"/>
      <c r="OUM36" s="545"/>
      <c r="OUN36" s="545"/>
      <c r="OUO36" s="545"/>
      <c r="OUP36" s="545"/>
      <c r="OUQ36" s="545"/>
      <c r="OUR36" s="544"/>
      <c r="OUS36" s="545"/>
      <c r="OUT36" s="545"/>
      <c r="OUU36" s="545"/>
      <c r="OUV36" s="545"/>
      <c r="OUW36" s="545"/>
      <c r="OUX36" s="545"/>
      <c r="OUY36" s="544"/>
      <c r="OUZ36" s="545"/>
      <c r="OVA36" s="545"/>
      <c r="OVB36" s="545"/>
      <c r="OVC36" s="545"/>
      <c r="OVD36" s="545"/>
      <c r="OVE36" s="545"/>
      <c r="OVF36" s="544"/>
      <c r="OVG36" s="545"/>
      <c r="OVH36" s="545"/>
      <c r="OVI36" s="545"/>
      <c r="OVJ36" s="545"/>
      <c r="OVK36" s="545"/>
      <c r="OVL36" s="545"/>
      <c r="OVM36" s="544"/>
      <c r="OVN36" s="545"/>
      <c r="OVO36" s="545"/>
      <c r="OVP36" s="545"/>
      <c r="OVQ36" s="545"/>
      <c r="OVR36" s="545"/>
      <c r="OVS36" s="545"/>
      <c r="OVT36" s="544"/>
      <c r="OVU36" s="545"/>
      <c r="OVV36" s="545"/>
      <c r="OVW36" s="545"/>
      <c r="OVX36" s="545"/>
      <c r="OVY36" s="545"/>
      <c r="OVZ36" s="545"/>
      <c r="OWA36" s="544"/>
      <c r="OWB36" s="545"/>
      <c r="OWC36" s="545"/>
      <c r="OWD36" s="545"/>
      <c r="OWE36" s="545"/>
      <c r="OWF36" s="545"/>
      <c r="OWG36" s="545"/>
      <c r="OWH36" s="544"/>
      <c r="OWI36" s="545"/>
      <c r="OWJ36" s="545"/>
      <c r="OWK36" s="545"/>
      <c r="OWL36" s="545"/>
      <c r="OWM36" s="545"/>
      <c r="OWN36" s="545"/>
      <c r="OWO36" s="544"/>
      <c r="OWP36" s="545"/>
      <c r="OWQ36" s="545"/>
      <c r="OWR36" s="545"/>
      <c r="OWS36" s="545"/>
      <c r="OWT36" s="545"/>
      <c r="OWU36" s="545"/>
      <c r="OWV36" s="544"/>
      <c r="OWW36" s="545"/>
      <c r="OWX36" s="545"/>
      <c r="OWY36" s="545"/>
      <c r="OWZ36" s="545"/>
      <c r="OXA36" s="545"/>
      <c r="OXB36" s="545"/>
      <c r="OXC36" s="544"/>
      <c r="OXD36" s="545"/>
      <c r="OXE36" s="545"/>
      <c r="OXF36" s="545"/>
      <c r="OXG36" s="545"/>
      <c r="OXH36" s="545"/>
      <c r="OXI36" s="545"/>
      <c r="OXJ36" s="544"/>
      <c r="OXK36" s="545"/>
      <c r="OXL36" s="545"/>
      <c r="OXM36" s="545"/>
      <c r="OXN36" s="545"/>
      <c r="OXO36" s="545"/>
      <c r="OXP36" s="545"/>
      <c r="OXQ36" s="544"/>
      <c r="OXR36" s="545"/>
      <c r="OXS36" s="545"/>
      <c r="OXT36" s="545"/>
      <c r="OXU36" s="545"/>
      <c r="OXV36" s="545"/>
      <c r="OXW36" s="545"/>
      <c r="OXX36" s="544"/>
      <c r="OXY36" s="545"/>
      <c r="OXZ36" s="545"/>
      <c r="OYA36" s="545"/>
      <c r="OYB36" s="545"/>
      <c r="OYC36" s="545"/>
      <c r="OYD36" s="545"/>
      <c r="OYE36" s="544"/>
      <c r="OYF36" s="545"/>
      <c r="OYG36" s="545"/>
      <c r="OYH36" s="545"/>
      <c r="OYI36" s="545"/>
      <c r="OYJ36" s="545"/>
      <c r="OYK36" s="545"/>
      <c r="OYL36" s="544"/>
      <c r="OYM36" s="545"/>
      <c r="OYN36" s="545"/>
      <c r="OYO36" s="545"/>
      <c r="OYP36" s="545"/>
      <c r="OYQ36" s="545"/>
      <c r="OYR36" s="545"/>
      <c r="OYS36" s="544"/>
      <c r="OYT36" s="545"/>
      <c r="OYU36" s="545"/>
      <c r="OYV36" s="545"/>
      <c r="OYW36" s="545"/>
      <c r="OYX36" s="545"/>
      <c r="OYY36" s="545"/>
      <c r="OYZ36" s="544"/>
      <c r="OZA36" s="545"/>
      <c r="OZB36" s="545"/>
      <c r="OZC36" s="545"/>
      <c r="OZD36" s="545"/>
      <c r="OZE36" s="545"/>
      <c r="OZF36" s="545"/>
      <c r="OZG36" s="544"/>
      <c r="OZH36" s="545"/>
      <c r="OZI36" s="545"/>
      <c r="OZJ36" s="545"/>
      <c r="OZK36" s="545"/>
      <c r="OZL36" s="545"/>
      <c r="OZM36" s="545"/>
      <c r="OZN36" s="544"/>
      <c r="OZO36" s="545"/>
      <c r="OZP36" s="545"/>
      <c r="OZQ36" s="545"/>
      <c r="OZR36" s="545"/>
      <c r="OZS36" s="545"/>
      <c r="OZT36" s="545"/>
      <c r="OZU36" s="544"/>
      <c r="OZV36" s="545"/>
      <c r="OZW36" s="545"/>
      <c r="OZX36" s="545"/>
      <c r="OZY36" s="545"/>
      <c r="OZZ36" s="545"/>
      <c r="PAA36" s="545"/>
      <c r="PAB36" s="544"/>
      <c r="PAC36" s="545"/>
      <c r="PAD36" s="545"/>
      <c r="PAE36" s="545"/>
      <c r="PAF36" s="545"/>
      <c r="PAG36" s="545"/>
      <c r="PAH36" s="545"/>
      <c r="PAI36" s="544"/>
      <c r="PAJ36" s="545"/>
      <c r="PAK36" s="545"/>
      <c r="PAL36" s="545"/>
      <c r="PAM36" s="545"/>
      <c r="PAN36" s="545"/>
      <c r="PAO36" s="545"/>
      <c r="PAP36" s="544"/>
      <c r="PAQ36" s="545"/>
      <c r="PAR36" s="545"/>
      <c r="PAS36" s="545"/>
      <c r="PAT36" s="545"/>
      <c r="PAU36" s="545"/>
      <c r="PAV36" s="545"/>
      <c r="PAW36" s="544"/>
      <c r="PAX36" s="545"/>
      <c r="PAY36" s="545"/>
      <c r="PAZ36" s="545"/>
      <c r="PBA36" s="545"/>
      <c r="PBB36" s="545"/>
      <c r="PBC36" s="545"/>
      <c r="PBD36" s="544"/>
      <c r="PBE36" s="545"/>
      <c r="PBF36" s="545"/>
      <c r="PBG36" s="545"/>
      <c r="PBH36" s="545"/>
      <c r="PBI36" s="545"/>
      <c r="PBJ36" s="545"/>
      <c r="PBK36" s="544"/>
      <c r="PBL36" s="545"/>
      <c r="PBM36" s="545"/>
      <c r="PBN36" s="545"/>
      <c r="PBO36" s="545"/>
      <c r="PBP36" s="545"/>
      <c r="PBQ36" s="545"/>
      <c r="PBR36" s="544"/>
      <c r="PBS36" s="545"/>
      <c r="PBT36" s="545"/>
      <c r="PBU36" s="545"/>
      <c r="PBV36" s="545"/>
      <c r="PBW36" s="545"/>
      <c r="PBX36" s="545"/>
      <c r="PBY36" s="544"/>
      <c r="PBZ36" s="545"/>
      <c r="PCA36" s="545"/>
      <c r="PCB36" s="545"/>
      <c r="PCC36" s="545"/>
      <c r="PCD36" s="545"/>
      <c r="PCE36" s="545"/>
      <c r="PCF36" s="544"/>
      <c r="PCG36" s="545"/>
      <c r="PCH36" s="545"/>
      <c r="PCI36" s="545"/>
      <c r="PCJ36" s="545"/>
      <c r="PCK36" s="545"/>
      <c r="PCL36" s="545"/>
      <c r="PCM36" s="544"/>
      <c r="PCN36" s="545"/>
      <c r="PCO36" s="545"/>
      <c r="PCP36" s="545"/>
      <c r="PCQ36" s="545"/>
      <c r="PCR36" s="545"/>
      <c r="PCS36" s="545"/>
      <c r="PCT36" s="544"/>
      <c r="PCU36" s="545"/>
      <c r="PCV36" s="545"/>
      <c r="PCW36" s="545"/>
      <c r="PCX36" s="545"/>
      <c r="PCY36" s="545"/>
      <c r="PCZ36" s="545"/>
      <c r="PDA36" s="544"/>
      <c r="PDB36" s="545"/>
      <c r="PDC36" s="545"/>
      <c r="PDD36" s="545"/>
      <c r="PDE36" s="545"/>
      <c r="PDF36" s="545"/>
      <c r="PDG36" s="545"/>
      <c r="PDH36" s="544"/>
      <c r="PDI36" s="545"/>
      <c r="PDJ36" s="545"/>
      <c r="PDK36" s="545"/>
      <c r="PDL36" s="545"/>
      <c r="PDM36" s="545"/>
      <c r="PDN36" s="545"/>
      <c r="PDO36" s="544"/>
      <c r="PDP36" s="545"/>
      <c r="PDQ36" s="545"/>
      <c r="PDR36" s="545"/>
      <c r="PDS36" s="545"/>
      <c r="PDT36" s="545"/>
      <c r="PDU36" s="545"/>
      <c r="PDV36" s="544"/>
      <c r="PDW36" s="545"/>
      <c r="PDX36" s="545"/>
      <c r="PDY36" s="545"/>
      <c r="PDZ36" s="545"/>
      <c r="PEA36" s="545"/>
      <c r="PEB36" s="545"/>
      <c r="PEC36" s="544"/>
      <c r="PED36" s="545"/>
      <c r="PEE36" s="545"/>
      <c r="PEF36" s="545"/>
      <c r="PEG36" s="545"/>
      <c r="PEH36" s="545"/>
      <c r="PEI36" s="545"/>
      <c r="PEJ36" s="544"/>
      <c r="PEK36" s="545"/>
      <c r="PEL36" s="545"/>
      <c r="PEM36" s="545"/>
      <c r="PEN36" s="545"/>
      <c r="PEO36" s="545"/>
      <c r="PEP36" s="545"/>
      <c r="PEQ36" s="544"/>
      <c r="PER36" s="545"/>
      <c r="PES36" s="545"/>
      <c r="PET36" s="545"/>
      <c r="PEU36" s="545"/>
      <c r="PEV36" s="545"/>
      <c r="PEW36" s="545"/>
      <c r="PEX36" s="544"/>
      <c r="PEY36" s="545"/>
      <c r="PEZ36" s="545"/>
      <c r="PFA36" s="545"/>
      <c r="PFB36" s="545"/>
      <c r="PFC36" s="545"/>
      <c r="PFD36" s="545"/>
      <c r="PFE36" s="544"/>
      <c r="PFF36" s="545"/>
      <c r="PFG36" s="545"/>
      <c r="PFH36" s="545"/>
      <c r="PFI36" s="545"/>
      <c r="PFJ36" s="545"/>
      <c r="PFK36" s="545"/>
      <c r="PFL36" s="544"/>
      <c r="PFM36" s="545"/>
      <c r="PFN36" s="545"/>
      <c r="PFO36" s="545"/>
      <c r="PFP36" s="545"/>
      <c r="PFQ36" s="545"/>
      <c r="PFR36" s="545"/>
      <c r="PFS36" s="544"/>
      <c r="PFT36" s="545"/>
      <c r="PFU36" s="545"/>
      <c r="PFV36" s="545"/>
      <c r="PFW36" s="545"/>
      <c r="PFX36" s="545"/>
      <c r="PFY36" s="545"/>
      <c r="PFZ36" s="544"/>
      <c r="PGA36" s="545"/>
      <c r="PGB36" s="545"/>
      <c r="PGC36" s="545"/>
      <c r="PGD36" s="545"/>
      <c r="PGE36" s="545"/>
      <c r="PGF36" s="545"/>
      <c r="PGG36" s="544"/>
      <c r="PGH36" s="545"/>
      <c r="PGI36" s="545"/>
      <c r="PGJ36" s="545"/>
      <c r="PGK36" s="545"/>
      <c r="PGL36" s="545"/>
      <c r="PGM36" s="545"/>
      <c r="PGN36" s="544"/>
      <c r="PGO36" s="545"/>
      <c r="PGP36" s="545"/>
      <c r="PGQ36" s="545"/>
      <c r="PGR36" s="545"/>
      <c r="PGS36" s="545"/>
      <c r="PGT36" s="545"/>
      <c r="PGU36" s="544"/>
      <c r="PGV36" s="545"/>
      <c r="PGW36" s="545"/>
      <c r="PGX36" s="545"/>
      <c r="PGY36" s="545"/>
      <c r="PGZ36" s="545"/>
      <c r="PHA36" s="545"/>
      <c r="PHB36" s="544"/>
      <c r="PHC36" s="545"/>
      <c r="PHD36" s="545"/>
      <c r="PHE36" s="545"/>
      <c r="PHF36" s="545"/>
      <c r="PHG36" s="545"/>
      <c r="PHH36" s="545"/>
      <c r="PHI36" s="544"/>
      <c r="PHJ36" s="545"/>
      <c r="PHK36" s="545"/>
      <c r="PHL36" s="545"/>
      <c r="PHM36" s="545"/>
      <c r="PHN36" s="545"/>
      <c r="PHO36" s="545"/>
      <c r="PHP36" s="544"/>
      <c r="PHQ36" s="545"/>
      <c r="PHR36" s="545"/>
      <c r="PHS36" s="545"/>
      <c r="PHT36" s="545"/>
      <c r="PHU36" s="545"/>
      <c r="PHV36" s="545"/>
      <c r="PHW36" s="544"/>
      <c r="PHX36" s="545"/>
      <c r="PHY36" s="545"/>
      <c r="PHZ36" s="545"/>
      <c r="PIA36" s="545"/>
      <c r="PIB36" s="545"/>
      <c r="PIC36" s="545"/>
      <c r="PID36" s="544"/>
      <c r="PIE36" s="545"/>
      <c r="PIF36" s="545"/>
      <c r="PIG36" s="545"/>
      <c r="PIH36" s="545"/>
      <c r="PII36" s="545"/>
      <c r="PIJ36" s="545"/>
      <c r="PIK36" s="544"/>
      <c r="PIL36" s="545"/>
      <c r="PIM36" s="545"/>
      <c r="PIN36" s="545"/>
      <c r="PIO36" s="545"/>
      <c r="PIP36" s="545"/>
      <c r="PIQ36" s="545"/>
      <c r="PIR36" s="544"/>
      <c r="PIS36" s="545"/>
      <c r="PIT36" s="545"/>
      <c r="PIU36" s="545"/>
      <c r="PIV36" s="545"/>
      <c r="PIW36" s="545"/>
      <c r="PIX36" s="545"/>
      <c r="PIY36" s="544"/>
      <c r="PIZ36" s="545"/>
      <c r="PJA36" s="545"/>
      <c r="PJB36" s="545"/>
      <c r="PJC36" s="545"/>
      <c r="PJD36" s="545"/>
      <c r="PJE36" s="545"/>
      <c r="PJF36" s="544"/>
      <c r="PJG36" s="545"/>
      <c r="PJH36" s="545"/>
      <c r="PJI36" s="545"/>
      <c r="PJJ36" s="545"/>
      <c r="PJK36" s="545"/>
      <c r="PJL36" s="545"/>
      <c r="PJM36" s="544"/>
      <c r="PJN36" s="545"/>
      <c r="PJO36" s="545"/>
      <c r="PJP36" s="545"/>
      <c r="PJQ36" s="545"/>
      <c r="PJR36" s="545"/>
      <c r="PJS36" s="545"/>
      <c r="PJT36" s="544"/>
      <c r="PJU36" s="545"/>
      <c r="PJV36" s="545"/>
      <c r="PJW36" s="545"/>
      <c r="PJX36" s="545"/>
      <c r="PJY36" s="545"/>
      <c r="PJZ36" s="545"/>
      <c r="PKA36" s="544"/>
      <c r="PKB36" s="545"/>
      <c r="PKC36" s="545"/>
      <c r="PKD36" s="545"/>
      <c r="PKE36" s="545"/>
      <c r="PKF36" s="545"/>
      <c r="PKG36" s="545"/>
      <c r="PKH36" s="544"/>
      <c r="PKI36" s="545"/>
      <c r="PKJ36" s="545"/>
      <c r="PKK36" s="545"/>
      <c r="PKL36" s="545"/>
      <c r="PKM36" s="545"/>
      <c r="PKN36" s="545"/>
      <c r="PKO36" s="544"/>
      <c r="PKP36" s="545"/>
      <c r="PKQ36" s="545"/>
      <c r="PKR36" s="545"/>
      <c r="PKS36" s="545"/>
      <c r="PKT36" s="545"/>
      <c r="PKU36" s="545"/>
      <c r="PKV36" s="544"/>
      <c r="PKW36" s="545"/>
      <c r="PKX36" s="545"/>
      <c r="PKY36" s="545"/>
      <c r="PKZ36" s="545"/>
      <c r="PLA36" s="545"/>
      <c r="PLB36" s="545"/>
      <c r="PLC36" s="544"/>
      <c r="PLD36" s="545"/>
      <c r="PLE36" s="545"/>
      <c r="PLF36" s="545"/>
      <c r="PLG36" s="545"/>
      <c r="PLH36" s="545"/>
      <c r="PLI36" s="545"/>
      <c r="PLJ36" s="544"/>
      <c r="PLK36" s="545"/>
      <c r="PLL36" s="545"/>
      <c r="PLM36" s="545"/>
      <c r="PLN36" s="545"/>
      <c r="PLO36" s="545"/>
      <c r="PLP36" s="545"/>
      <c r="PLQ36" s="544"/>
      <c r="PLR36" s="545"/>
      <c r="PLS36" s="545"/>
      <c r="PLT36" s="545"/>
      <c r="PLU36" s="545"/>
      <c r="PLV36" s="545"/>
      <c r="PLW36" s="545"/>
      <c r="PLX36" s="544"/>
      <c r="PLY36" s="545"/>
      <c r="PLZ36" s="545"/>
      <c r="PMA36" s="545"/>
      <c r="PMB36" s="545"/>
      <c r="PMC36" s="545"/>
      <c r="PMD36" s="545"/>
      <c r="PME36" s="544"/>
      <c r="PMF36" s="545"/>
      <c r="PMG36" s="545"/>
      <c r="PMH36" s="545"/>
      <c r="PMI36" s="545"/>
      <c r="PMJ36" s="545"/>
      <c r="PMK36" s="545"/>
      <c r="PML36" s="544"/>
      <c r="PMM36" s="545"/>
      <c r="PMN36" s="545"/>
      <c r="PMO36" s="545"/>
      <c r="PMP36" s="545"/>
      <c r="PMQ36" s="545"/>
      <c r="PMR36" s="545"/>
      <c r="PMS36" s="544"/>
      <c r="PMT36" s="545"/>
      <c r="PMU36" s="545"/>
      <c r="PMV36" s="545"/>
      <c r="PMW36" s="545"/>
      <c r="PMX36" s="545"/>
      <c r="PMY36" s="545"/>
      <c r="PMZ36" s="544"/>
      <c r="PNA36" s="545"/>
      <c r="PNB36" s="545"/>
      <c r="PNC36" s="545"/>
      <c r="PND36" s="545"/>
      <c r="PNE36" s="545"/>
      <c r="PNF36" s="545"/>
      <c r="PNG36" s="544"/>
      <c r="PNH36" s="545"/>
      <c r="PNI36" s="545"/>
      <c r="PNJ36" s="545"/>
      <c r="PNK36" s="545"/>
      <c r="PNL36" s="545"/>
      <c r="PNM36" s="545"/>
      <c r="PNN36" s="544"/>
      <c r="PNO36" s="545"/>
      <c r="PNP36" s="545"/>
      <c r="PNQ36" s="545"/>
      <c r="PNR36" s="545"/>
      <c r="PNS36" s="545"/>
      <c r="PNT36" s="545"/>
      <c r="PNU36" s="544"/>
      <c r="PNV36" s="545"/>
      <c r="PNW36" s="545"/>
      <c r="PNX36" s="545"/>
      <c r="PNY36" s="545"/>
      <c r="PNZ36" s="545"/>
      <c r="POA36" s="545"/>
      <c r="POB36" s="544"/>
      <c r="POC36" s="545"/>
      <c r="POD36" s="545"/>
      <c r="POE36" s="545"/>
      <c r="POF36" s="545"/>
      <c r="POG36" s="545"/>
      <c r="POH36" s="545"/>
      <c r="POI36" s="544"/>
      <c r="POJ36" s="545"/>
      <c r="POK36" s="545"/>
      <c r="POL36" s="545"/>
      <c r="POM36" s="545"/>
      <c r="PON36" s="545"/>
      <c r="POO36" s="545"/>
      <c r="POP36" s="544"/>
      <c r="POQ36" s="545"/>
      <c r="POR36" s="545"/>
      <c r="POS36" s="545"/>
      <c r="POT36" s="545"/>
      <c r="POU36" s="545"/>
      <c r="POV36" s="545"/>
      <c r="POW36" s="544"/>
      <c r="POX36" s="545"/>
      <c r="POY36" s="545"/>
      <c r="POZ36" s="545"/>
      <c r="PPA36" s="545"/>
      <c r="PPB36" s="545"/>
      <c r="PPC36" s="545"/>
      <c r="PPD36" s="544"/>
      <c r="PPE36" s="545"/>
      <c r="PPF36" s="545"/>
      <c r="PPG36" s="545"/>
      <c r="PPH36" s="545"/>
      <c r="PPI36" s="545"/>
      <c r="PPJ36" s="545"/>
      <c r="PPK36" s="544"/>
      <c r="PPL36" s="545"/>
      <c r="PPM36" s="545"/>
      <c r="PPN36" s="545"/>
      <c r="PPO36" s="545"/>
      <c r="PPP36" s="545"/>
      <c r="PPQ36" s="545"/>
      <c r="PPR36" s="544"/>
      <c r="PPS36" s="545"/>
      <c r="PPT36" s="545"/>
      <c r="PPU36" s="545"/>
      <c r="PPV36" s="545"/>
      <c r="PPW36" s="545"/>
      <c r="PPX36" s="545"/>
      <c r="PPY36" s="544"/>
      <c r="PPZ36" s="545"/>
      <c r="PQA36" s="545"/>
      <c r="PQB36" s="545"/>
      <c r="PQC36" s="545"/>
      <c r="PQD36" s="545"/>
      <c r="PQE36" s="545"/>
      <c r="PQF36" s="544"/>
      <c r="PQG36" s="545"/>
      <c r="PQH36" s="545"/>
      <c r="PQI36" s="545"/>
      <c r="PQJ36" s="545"/>
      <c r="PQK36" s="545"/>
      <c r="PQL36" s="545"/>
      <c r="PQM36" s="544"/>
      <c r="PQN36" s="545"/>
      <c r="PQO36" s="545"/>
      <c r="PQP36" s="545"/>
      <c r="PQQ36" s="545"/>
      <c r="PQR36" s="545"/>
      <c r="PQS36" s="545"/>
      <c r="PQT36" s="544"/>
      <c r="PQU36" s="545"/>
      <c r="PQV36" s="545"/>
      <c r="PQW36" s="545"/>
      <c r="PQX36" s="545"/>
      <c r="PQY36" s="545"/>
      <c r="PQZ36" s="545"/>
      <c r="PRA36" s="544"/>
      <c r="PRB36" s="545"/>
      <c r="PRC36" s="545"/>
      <c r="PRD36" s="545"/>
      <c r="PRE36" s="545"/>
      <c r="PRF36" s="545"/>
      <c r="PRG36" s="545"/>
      <c r="PRH36" s="544"/>
      <c r="PRI36" s="545"/>
      <c r="PRJ36" s="545"/>
      <c r="PRK36" s="545"/>
      <c r="PRL36" s="545"/>
      <c r="PRM36" s="545"/>
      <c r="PRN36" s="545"/>
      <c r="PRO36" s="544"/>
      <c r="PRP36" s="545"/>
      <c r="PRQ36" s="545"/>
      <c r="PRR36" s="545"/>
      <c r="PRS36" s="545"/>
      <c r="PRT36" s="545"/>
      <c r="PRU36" s="545"/>
      <c r="PRV36" s="544"/>
      <c r="PRW36" s="545"/>
      <c r="PRX36" s="545"/>
      <c r="PRY36" s="545"/>
      <c r="PRZ36" s="545"/>
      <c r="PSA36" s="545"/>
      <c r="PSB36" s="545"/>
      <c r="PSC36" s="544"/>
      <c r="PSD36" s="545"/>
      <c r="PSE36" s="545"/>
      <c r="PSF36" s="545"/>
      <c r="PSG36" s="545"/>
      <c r="PSH36" s="545"/>
      <c r="PSI36" s="545"/>
      <c r="PSJ36" s="544"/>
      <c r="PSK36" s="545"/>
      <c r="PSL36" s="545"/>
      <c r="PSM36" s="545"/>
      <c r="PSN36" s="545"/>
      <c r="PSO36" s="545"/>
      <c r="PSP36" s="545"/>
      <c r="PSQ36" s="544"/>
      <c r="PSR36" s="545"/>
      <c r="PSS36" s="545"/>
      <c r="PST36" s="545"/>
      <c r="PSU36" s="545"/>
      <c r="PSV36" s="545"/>
      <c r="PSW36" s="545"/>
      <c r="PSX36" s="544"/>
      <c r="PSY36" s="545"/>
      <c r="PSZ36" s="545"/>
      <c r="PTA36" s="545"/>
      <c r="PTB36" s="545"/>
      <c r="PTC36" s="545"/>
      <c r="PTD36" s="545"/>
      <c r="PTE36" s="544"/>
      <c r="PTF36" s="545"/>
      <c r="PTG36" s="545"/>
      <c r="PTH36" s="545"/>
      <c r="PTI36" s="545"/>
      <c r="PTJ36" s="545"/>
      <c r="PTK36" s="545"/>
      <c r="PTL36" s="544"/>
      <c r="PTM36" s="545"/>
      <c r="PTN36" s="545"/>
      <c r="PTO36" s="545"/>
      <c r="PTP36" s="545"/>
      <c r="PTQ36" s="545"/>
      <c r="PTR36" s="545"/>
      <c r="PTS36" s="544"/>
      <c r="PTT36" s="545"/>
      <c r="PTU36" s="545"/>
      <c r="PTV36" s="545"/>
      <c r="PTW36" s="545"/>
      <c r="PTX36" s="545"/>
      <c r="PTY36" s="545"/>
      <c r="PTZ36" s="544"/>
      <c r="PUA36" s="545"/>
      <c r="PUB36" s="545"/>
      <c r="PUC36" s="545"/>
      <c r="PUD36" s="545"/>
      <c r="PUE36" s="545"/>
      <c r="PUF36" s="545"/>
      <c r="PUG36" s="544"/>
      <c r="PUH36" s="545"/>
      <c r="PUI36" s="545"/>
      <c r="PUJ36" s="545"/>
      <c r="PUK36" s="545"/>
      <c r="PUL36" s="545"/>
      <c r="PUM36" s="545"/>
      <c r="PUN36" s="544"/>
      <c r="PUO36" s="545"/>
      <c r="PUP36" s="545"/>
      <c r="PUQ36" s="545"/>
      <c r="PUR36" s="545"/>
      <c r="PUS36" s="545"/>
      <c r="PUT36" s="545"/>
      <c r="PUU36" s="544"/>
      <c r="PUV36" s="545"/>
      <c r="PUW36" s="545"/>
      <c r="PUX36" s="545"/>
      <c r="PUY36" s="545"/>
      <c r="PUZ36" s="545"/>
      <c r="PVA36" s="545"/>
      <c r="PVB36" s="544"/>
      <c r="PVC36" s="545"/>
      <c r="PVD36" s="545"/>
      <c r="PVE36" s="545"/>
      <c r="PVF36" s="545"/>
      <c r="PVG36" s="545"/>
      <c r="PVH36" s="545"/>
      <c r="PVI36" s="544"/>
      <c r="PVJ36" s="545"/>
      <c r="PVK36" s="545"/>
      <c r="PVL36" s="545"/>
      <c r="PVM36" s="545"/>
      <c r="PVN36" s="545"/>
      <c r="PVO36" s="545"/>
      <c r="PVP36" s="544"/>
      <c r="PVQ36" s="545"/>
      <c r="PVR36" s="545"/>
      <c r="PVS36" s="545"/>
      <c r="PVT36" s="545"/>
      <c r="PVU36" s="545"/>
      <c r="PVV36" s="545"/>
      <c r="PVW36" s="544"/>
      <c r="PVX36" s="545"/>
      <c r="PVY36" s="545"/>
      <c r="PVZ36" s="545"/>
      <c r="PWA36" s="545"/>
      <c r="PWB36" s="545"/>
      <c r="PWC36" s="545"/>
      <c r="PWD36" s="544"/>
      <c r="PWE36" s="545"/>
      <c r="PWF36" s="545"/>
      <c r="PWG36" s="545"/>
      <c r="PWH36" s="545"/>
      <c r="PWI36" s="545"/>
      <c r="PWJ36" s="545"/>
      <c r="PWK36" s="544"/>
      <c r="PWL36" s="545"/>
      <c r="PWM36" s="545"/>
      <c r="PWN36" s="545"/>
      <c r="PWO36" s="545"/>
      <c r="PWP36" s="545"/>
      <c r="PWQ36" s="545"/>
      <c r="PWR36" s="544"/>
      <c r="PWS36" s="545"/>
      <c r="PWT36" s="545"/>
      <c r="PWU36" s="545"/>
      <c r="PWV36" s="545"/>
      <c r="PWW36" s="545"/>
      <c r="PWX36" s="545"/>
      <c r="PWY36" s="544"/>
      <c r="PWZ36" s="545"/>
      <c r="PXA36" s="545"/>
      <c r="PXB36" s="545"/>
      <c r="PXC36" s="545"/>
      <c r="PXD36" s="545"/>
      <c r="PXE36" s="545"/>
      <c r="PXF36" s="544"/>
      <c r="PXG36" s="545"/>
      <c r="PXH36" s="545"/>
      <c r="PXI36" s="545"/>
      <c r="PXJ36" s="545"/>
      <c r="PXK36" s="545"/>
      <c r="PXL36" s="545"/>
      <c r="PXM36" s="544"/>
      <c r="PXN36" s="545"/>
      <c r="PXO36" s="545"/>
      <c r="PXP36" s="545"/>
      <c r="PXQ36" s="545"/>
      <c r="PXR36" s="545"/>
      <c r="PXS36" s="545"/>
      <c r="PXT36" s="544"/>
      <c r="PXU36" s="545"/>
      <c r="PXV36" s="545"/>
      <c r="PXW36" s="545"/>
      <c r="PXX36" s="545"/>
      <c r="PXY36" s="545"/>
      <c r="PXZ36" s="545"/>
      <c r="PYA36" s="544"/>
      <c r="PYB36" s="545"/>
      <c r="PYC36" s="545"/>
      <c r="PYD36" s="545"/>
      <c r="PYE36" s="545"/>
      <c r="PYF36" s="545"/>
      <c r="PYG36" s="545"/>
      <c r="PYH36" s="544"/>
      <c r="PYI36" s="545"/>
      <c r="PYJ36" s="545"/>
      <c r="PYK36" s="545"/>
      <c r="PYL36" s="545"/>
      <c r="PYM36" s="545"/>
      <c r="PYN36" s="545"/>
      <c r="PYO36" s="544"/>
      <c r="PYP36" s="545"/>
      <c r="PYQ36" s="545"/>
      <c r="PYR36" s="545"/>
      <c r="PYS36" s="545"/>
      <c r="PYT36" s="545"/>
      <c r="PYU36" s="545"/>
      <c r="PYV36" s="544"/>
      <c r="PYW36" s="545"/>
      <c r="PYX36" s="545"/>
      <c r="PYY36" s="545"/>
      <c r="PYZ36" s="545"/>
      <c r="PZA36" s="545"/>
      <c r="PZB36" s="545"/>
      <c r="PZC36" s="544"/>
      <c r="PZD36" s="545"/>
      <c r="PZE36" s="545"/>
      <c r="PZF36" s="545"/>
      <c r="PZG36" s="545"/>
      <c r="PZH36" s="545"/>
      <c r="PZI36" s="545"/>
      <c r="PZJ36" s="544"/>
      <c r="PZK36" s="545"/>
      <c r="PZL36" s="545"/>
      <c r="PZM36" s="545"/>
      <c r="PZN36" s="545"/>
      <c r="PZO36" s="545"/>
      <c r="PZP36" s="545"/>
      <c r="PZQ36" s="544"/>
      <c r="PZR36" s="545"/>
      <c r="PZS36" s="545"/>
      <c r="PZT36" s="545"/>
      <c r="PZU36" s="545"/>
      <c r="PZV36" s="545"/>
      <c r="PZW36" s="545"/>
      <c r="PZX36" s="544"/>
      <c r="PZY36" s="545"/>
      <c r="PZZ36" s="545"/>
      <c r="QAA36" s="545"/>
      <c r="QAB36" s="545"/>
      <c r="QAC36" s="545"/>
      <c r="QAD36" s="545"/>
      <c r="QAE36" s="544"/>
      <c r="QAF36" s="545"/>
      <c r="QAG36" s="545"/>
      <c r="QAH36" s="545"/>
      <c r="QAI36" s="545"/>
      <c r="QAJ36" s="545"/>
      <c r="QAK36" s="545"/>
      <c r="QAL36" s="544"/>
      <c r="QAM36" s="545"/>
      <c r="QAN36" s="545"/>
      <c r="QAO36" s="545"/>
      <c r="QAP36" s="545"/>
      <c r="QAQ36" s="545"/>
      <c r="QAR36" s="545"/>
      <c r="QAS36" s="544"/>
      <c r="QAT36" s="545"/>
      <c r="QAU36" s="545"/>
      <c r="QAV36" s="545"/>
      <c r="QAW36" s="545"/>
      <c r="QAX36" s="545"/>
      <c r="QAY36" s="545"/>
      <c r="QAZ36" s="544"/>
      <c r="QBA36" s="545"/>
      <c r="QBB36" s="545"/>
      <c r="QBC36" s="545"/>
      <c r="QBD36" s="545"/>
      <c r="QBE36" s="545"/>
      <c r="QBF36" s="545"/>
      <c r="QBG36" s="544"/>
      <c r="QBH36" s="545"/>
      <c r="QBI36" s="545"/>
      <c r="QBJ36" s="545"/>
      <c r="QBK36" s="545"/>
      <c r="QBL36" s="545"/>
      <c r="QBM36" s="545"/>
      <c r="QBN36" s="544"/>
      <c r="QBO36" s="545"/>
      <c r="QBP36" s="545"/>
      <c r="QBQ36" s="545"/>
      <c r="QBR36" s="545"/>
      <c r="QBS36" s="545"/>
      <c r="QBT36" s="545"/>
      <c r="QBU36" s="544"/>
      <c r="QBV36" s="545"/>
      <c r="QBW36" s="545"/>
      <c r="QBX36" s="545"/>
      <c r="QBY36" s="545"/>
      <c r="QBZ36" s="545"/>
      <c r="QCA36" s="545"/>
      <c r="QCB36" s="544"/>
      <c r="QCC36" s="545"/>
      <c r="QCD36" s="545"/>
      <c r="QCE36" s="545"/>
      <c r="QCF36" s="545"/>
      <c r="QCG36" s="545"/>
      <c r="QCH36" s="545"/>
      <c r="QCI36" s="544"/>
      <c r="QCJ36" s="545"/>
      <c r="QCK36" s="545"/>
      <c r="QCL36" s="545"/>
      <c r="QCM36" s="545"/>
      <c r="QCN36" s="545"/>
      <c r="QCO36" s="545"/>
      <c r="QCP36" s="544"/>
      <c r="QCQ36" s="545"/>
      <c r="QCR36" s="545"/>
      <c r="QCS36" s="545"/>
      <c r="QCT36" s="545"/>
      <c r="QCU36" s="545"/>
      <c r="QCV36" s="545"/>
      <c r="QCW36" s="544"/>
      <c r="QCX36" s="545"/>
      <c r="QCY36" s="545"/>
      <c r="QCZ36" s="545"/>
      <c r="QDA36" s="545"/>
      <c r="QDB36" s="545"/>
      <c r="QDC36" s="545"/>
      <c r="QDD36" s="544"/>
      <c r="QDE36" s="545"/>
      <c r="QDF36" s="545"/>
      <c r="QDG36" s="545"/>
      <c r="QDH36" s="545"/>
      <c r="QDI36" s="545"/>
      <c r="QDJ36" s="545"/>
      <c r="QDK36" s="544"/>
      <c r="QDL36" s="545"/>
      <c r="QDM36" s="545"/>
      <c r="QDN36" s="545"/>
      <c r="QDO36" s="545"/>
      <c r="QDP36" s="545"/>
      <c r="QDQ36" s="545"/>
      <c r="QDR36" s="544"/>
      <c r="QDS36" s="545"/>
      <c r="QDT36" s="545"/>
      <c r="QDU36" s="545"/>
      <c r="QDV36" s="545"/>
      <c r="QDW36" s="545"/>
      <c r="QDX36" s="545"/>
      <c r="QDY36" s="544"/>
      <c r="QDZ36" s="545"/>
      <c r="QEA36" s="545"/>
      <c r="QEB36" s="545"/>
      <c r="QEC36" s="545"/>
      <c r="QED36" s="545"/>
      <c r="QEE36" s="545"/>
      <c r="QEF36" s="544"/>
      <c r="QEG36" s="545"/>
      <c r="QEH36" s="545"/>
      <c r="QEI36" s="545"/>
      <c r="QEJ36" s="545"/>
      <c r="QEK36" s="545"/>
      <c r="QEL36" s="545"/>
      <c r="QEM36" s="544"/>
      <c r="QEN36" s="545"/>
      <c r="QEO36" s="545"/>
      <c r="QEP36" s="545"/>
      <c r="QEQ36" s="545"/>
      <c r="QER36" s="545"/>
      <c r="QES36" s="545"/>
      <c r="QET36" s="544"/>
      <c r="QEU36" s="545"/>
      <c r="QEV36" s="545"/>
      <c r="QEW36" s="545"/>
      <c r="QEX36" s="545"/>
      <c r="QEY36" s="545"/>
      <c r="QEZ36" s="545"/>
      <c r="QFA36" s="544"/>
      <c r="QFB36" s="545"/>
      <c r="QFC36" s="545"/>
      <c r="QFD36" s="545"/>
      <c r="QFE36" s="545"/>
      <c r="QFF36" s="545"/>
      <c r="QFG36" s="545"/>
      <c r="QFH36" s="544"/>
      <c r="QFI36" s="545"/>
      <c r="QFJ36" s="545"/>
      <c r="QFK36" s="545"/>
      <c r="QFL36" s="545"/>
      <c r="QFM36" s="545"/>
      <c r="QFN36" s="545"/>
      <c r="QFO36" s="544"/>
      <c r="QFP36" s="545"/>
      <c r="QFQ36" s="545"/>
      <c r="QFR36" s="545"/>
      <c r="QFS36" s="545"/>
      <c r="QFT36" s="545"/>
      <c r="QFU36" s="545"/>
      <c r="QFV36" s="544"/>
      <c r="QFW36" s="545"/>
      <c r="QFX36" s="545"/>
      <c r="QFY36" s="545"/>
      <c r="QFZ36" s="545"/>
      <c r="QGA36" s="545"/>
      <c r="QGB36" s="545"/>
      <c r="QGC36" s="544"/>
      <c r="QGD36" s="545"/>
      <c r="QGE36" s="545"/>
      <c r="QGF36" s="545"/>
      <c r="QGG36" s="545"/>
      <c r="QGH36" s="545"/>
      <c r="QGI36" s="545"/>
      <c r="QGJ36" s="544"/>
      <c r="QGK36" s="545"/>
      <c r="QGL36" s="545"/>
      <c r="QGM36" s="545"/>
      <c r="QGN36" s="545"/>
      <c r="QGO36" s="545"/>
      <c r="QGP36" s="545"/>
      <c r="QGQ36" s="544"/>
      <c r="QGR36" s="545"/>
      <c r="QGS36" s="545"/>
      <c r="QGT36" s="545"/>
      <c r="QGU36" s="545"/>
      <c r="QGV36" s="545"/>
      <c r="QGW36" s="545"/>
      <c r="QGX36" s="544"/>
      <c r="QGY36" s="545"/>
      <c r="QGZ36" s="545"/>
      <c r="QHA36" s="545"/>
      <c r="QHB36" s="545"/>
      <c r="QHC36" s="545"/>
      <c r="QHD36" s="545"/>
      <c r="QHE36" s="544"/>
      <c r="QHF36" s="545"/>
      <c r="QHG36" s="545"/>
      <c r="QHH36" s="545"/>
      <c r="QHI36" s="545"/>
      <c r="QHJ36" s="545"/>
      <c r="QHK36" s="545"/>
      <c r="QHL36" s="544"/>
      <c r="QHM36" s="545"/>
      <c r="QHN36" s="545"/>
      <c r="QHO36" s="545"/>
      <c r="QHP36" s="545"/>
      <c r="QHQ36" s="545"/>
      <c r="QHR36" s="545"/>
      <c r="QHS36" s="544"/>
      <c r="QHT36" s="545"/>
      <c r="QHU36" s="545"/>
      <c r="QHV36" s="545"/>
      <c r="QHW36" s="545"/>
      <c r="QHX36" s="545"/>
      <c r="QHY36" s="545"/>
      <c r="QHZ36" s="544"/>
      <c r="QIA36" s="545"/>
      <c r="QIB36" s="545"/>
      <c r="QIC36" s="545"/>
      <c r="QID36" s="545"/>
      <c r="QIE36" s="545"/>
      <c r="QIF36" s="545"/>
      <c r="QIG36" s="544"/>
      <c r="QIH36" s="545"/>
      <c r="QII36" s="545"/>
      <c r="QIJ36" s="545"/>
      <c r="QIK36" s="545"/>
      <c r="QIL36" s="545"/>
      <c r="QIM36" s="545"/>
      <c r="QIN36" s="544"/>
      <c r="QIO36" s="545"/>
      <c r="QIP36" s="545"/>
      <c r="QIQ36" s="545"/>
      <c r="QIR36" s="545"/>
      <c r="QIS36" s="545"/>
      <c r="QIT36" s="545"/>
      <c r="QIU36" s="544"/>
      <c r="QIV36" s="545"/>
      <c r="QIW36" s="545"/>
      <c r="QIX36" s="545"/>
      <c r="QIY36" s="545"/>
      <c r="QIZ36" s="545"/>
      <c r="QJA36" s="545"/>
      <c r="QJB36" s="544"/>
      <c r="QJC36" s="545"/>
      <c r="QJD36" s="545"/>
      <c r="QJE36" s="545"/>
      <c r="QJF36" s="545"/>
      <c r="QJG36" s="545"/>
      <c r="QJH36" s="545"/>
      <c r="QJI36" s="544"/>
      <c r="QJJ36" s="545"/>
      <c r="QJK36" s="545"/>
      <c r="QJL36" s="545"/>
      <c r="QJM36" s="545"/>
      <c r="QJN36" s="545"/>
      <c r="QJO36" s="545"/>
      <c r="QJP36" s="544"/>
      <c r="QJQ36" s="545"/>
      <c r="QJR36" s="545"/>
      <c r="QJS36" s="545"/>
      <c r="QJT36" s="545"/>
      <c r="QJU36" s="545"/>
      <c r="QJV36" s="545"/>
      <c r="QJW36" s="544"/>
      <c r="QJX36" s="545"/>
      <c r="QJY36" s="545"/>
      <c r="QJZ36" s="545"/>
      <c r="QKA36" s="545"/>
      <c r="QKB36" s="545"/>
      <c r="QKC36" s="545"/>
      <c r="QKD36" s="544"/>
      <c r="QKE36" s="545"/>
      <c r="QKF36" s="545"/>
      <c r="QKG36" s="545"/>
      <c r="QKH36" s="545"/>
      <c r="QKI36" s="545"/>
      <c r="QKJ36" s="545"/>
      <c r="QKK36" s="544"/>
      <c r="QKL36" s="545"/>
      <c r="QKM36" s="545"/>
      <c r="QKN36" s="545"/>
      <c r="QKO36" s="545"/>
      <c r="QKP36" s="545"/>
      <c r="QKQ36" s="545"/>
      <c r="QKR36" s="544"/>
      <c r="QKS36" s="545"/>
      <c r="QKT36" s="545"/>
      <c r="QKU36" s="545"/>
      <c r="QKV36" s="545"/>
      <c r="QKW36" s="545"/>
      <c r="QKX36" s="545"/>
      <c r="QKY36" s="544"/>
      <c r="QKZ36" s="545"/>
      <c r="QLA36" s="545"/>
      <c r="QLB36" s="545"/>
      <c r="QLC36" s="545"/>
      <c r="QLD36" s="545"/>
      <c r="QLE36" s="545"/>
      <c r="QLF36" s="544"/>
      <c r="QLG36" s="545"/>
      <c r="QLH36" s="545"/>
      <c r="QLI36" s="545"/>
      <c r="QLJ36" s="545"/>
      <c r="QLK36" s="545"/>
      <c r="QLL36" s="545"/>
      <c r="QLM36" s="544"/>
      <c r="QLN36" s="545"/>
      <c r="QLO36" s="545"/>
      <c r="QLP36" s="545"/>
      <c r="QLQ36" s="545"/>
      <c r="QLR36" s="545"/>
      <c r="QLS36" s="545"/>
      <c r="QLT36" s="544"/>
      <c r="QLU36" s="545"/>
      <c r="QLV36" s="545"/>
      <c r="QLW36" s="545"/>
      <c r="QLX36" s="545"/>
      <c r="QLY36" s="545"/>
      <c r="QLZ36" s="545"/>
      <c r="QMA36" s="544"/>
      <c r="QMB36" s="545"/>
      <c r="QMC36" s="545"/>
      <c r="QMD36" s="545"/>
      <c r="QME36" s="545"/>
      <c r="QMF36" s="545"/>
      <c r="QMG36" s="545"/>
      <c r="QMH36" s="544"/>
      <c r="QMI36" s="545"/>
      <c r="QMJ36" s="545"/>
      <c r="QMK36" s="545"/>
      <c r="QML36" s="545"/>
      <c r="QMM36" s="545"/>
      <c r="QMN36" s="545"/>
      <c r="QMO36" s="544"/>
      <c r="QMP36" s="545"/>
      <c r="QMQ36" s="545"/>
      <c r="QMR36" s="545"/>
      <c r="QMS36" s="545"/>
      <c r="QMT36" s="545"/>
      <c r="QMU36" s="545"/>
      <c r="QMV36" s="544"/>
      <c r="QMW36" s="545"/>
      <c r="QMX36" s="545"/>
      <c r="QMY36" s="545"/>
      <c r="QMZ36" s="545"/>
      <c r="QNA36" s="545"/>
      <c r="QNB36" s="545"/>
      <c r="QNC36" s="544"/>
      <c r="QND36" s="545"/>
      <c r="QNE36" s="545"/>
      <c r="QNF36" s="545"/>
      <c r="QNG36" s="545"/>
      <c r="QNH36" s="545"/>
      <c r="QNI36" s="545"/>
      <c r="QNJ36" s="544"/>
      <c r="QNK36" s="545"/>
      <c r="QNL36" s="545"/>
      <c r="QNM36" s="545"/>
      <c r="QNN36" s="545"/>
      <c r="QNO36" s="545"/>
      <c r="QNP36" s="545"/>
      <c r="QNQ36" s="544"/>
      <c r="QNR36" s="545"/>
      <c r="QNS36" s="545"/>
      <c r="QNT36" s="545"/>
      <c r="QNU36" s="545"/>
      <c r="QNV36" s="545"/>
      <c r="QNW36" s="545"/>
      <c r="QNX36" s="544"/>
      <c r="QNY36" s="545"/>
      <c r="QNZ36" s="545"/>
      <c r="QOA36" s="545"/>
      <c r="QOB36" s="545"/>
      <c r="QOC36" s="545"/>
      <c r="QOD36" s="545"/>
      <c r="QOE36" s="544"/>
      <c r="QOF36" s="545"/>
      <c r="QOG36" s="545"/>
      <c r="QOH36" s="545"/>
      <c r="QOI36" s="545"/>
      <c r="QOJ36" s="545"/>
      <c r="QOK36" s="545"/>
      <c r="QOL36" s="544"/>
      <c r="QOM36" s="545"/>
      <c r="QON36" s="545"/>
      <c r="QOO36" s="545"/>
      <c r="QOP36" s="545"/>
      <c r="QOQ36" s="545"/>
      <c r="QOR36" s="545"/>
      <c r="QOS36" s="544"/>
      <c r="QOT36" s="545"/>
      <c r="QOU36" s="545"/>
      <c r="QOV36" s="545"/>
      <c r="QOW36" s="545"/>
      <c r="QOX36" s="545"/>
      <c r="QOY36" s="545"/>
      <c r="QOZ36" s="544"/>
      <c r="QPA36" s="545"/>
      <c r="QPB36" s="545"/>
      <c r="QPC36" s="545"/>
      <c r="QPD36" s="545"/>
      <c r="QPE36" s="545"/>
      <c r="QPF36" s="545"/>
      <c r="QPG36" s="544"/>
      <c r="QPH36" s="545"/>
      <c r="QPI36" s="545"/>
      <c r="QPJ36" s="545"/>
      <c r="QPK36" s="545"/>
      <c r="QPL36" s="545"/>
      <c r="QPM36" s="545"/>
      <c r="QPN36" s="544"/>
      <c r="QPO36" s="545"/>
      <c r="QPP36" s="545"/>
      <c r="QPQ36" s="545"/>
      <c r="QPR36" s="545"/>
      <c r="QPS36" s="545"/>
      <c r="QPT36" s="545"/>
      <c r="QPU36" s="544"/>
      <c r="QPV36" s="545"/>
      <c r="QPW36" s="545"/>
      <c r="QPX36" s="545"/>
      <c r="QPY36" s="545"/>
      <c r="QPZ36" s="545"/>
      <c r="QQA36" s="545"/>
      <c r="QQB36" s="544"/>
      <c r="QQC36" s="545"/>
      <c r="QQD36" s="545"/>
      <c r="QQE36" s="545"/>
      <c r="QQF36" s="545"/>
      <c r="QQG36" s="545"/>
      <c r="QQH36" s="545"/>
      <c r="QQI36" s="544"/>
      <c r="QQJ36" s="545"/>
      <c r="QQK36" s="545"/>
      <c r="QQL36" s="545"/>
      <c r="QQM36" s="545"/>
      <c r="QQN36" s="545"/>
      <c r="QQO36" s="545"/>
      <c r="QQP36" s="544"/>
      <c r="QQQ36" s="545"/>
      <c r="QQR36" s="545"/>
      <c r="QQS36" s="545"/>
      <c r="QQT36" s="545"/>
      <c r="QQU36" s="545"/>
      <c r="QQV36" s="545"/>
      <c r="QQW36" s="544"/>
      <c r="QQX36" s="545"/>
      <c r="QQY36" s="545"/>
      <c r="QQZ36" s="545"/>
      <c r="QRA36" s="545"/>
      <c r="QRB36" s="545"/>
      <c r="QRC36" s="545"/>
      <c r="QRD36" s="544"/>
      <c r="QRE36" s="545"/>
      <c r="QRF36" s="545"/>
      <c r="QRG36" s="545"/>
      <c r="QRH36" s="545"/>
      <c r="QRI36" s="545"/>
      <c r="QRJ36" s="545"/>
      <c r="QRK36" s="544"/>
      <c r="QRL36" s="545"/>
      <c r="QRM36" s="545"/>
      <c r="QRN36" s="545"/>
      <c r="QRO36" s="545"/>
      <c r="QRP36" s="545"/>
      <c r="QRQ36" s="545"/>
      <c r="QRR36" s="544"/>
      <c r="QRS36" s="545"/>
      <c r="QRT36" s="545"/>
      <c r="QRU36" s="545"/>
      <c r="QRV36" s="545"/>
      <c r="QRW36" s="545"/>
      <c r="QRX36" s="545"/>
      <c r="QRY36" s="544"/>
      <c r="QRZ36" s="545"/>
      <c r="QSA36" s="545"/>
      <c r="QSB36" s="545"/>
      <c r="QSC36" s="545"/>
      <c r="QSD36" s="545"/>
      <c r="QSE36" s="545"/>
      <c r="QSF36" s="544"/>
      <c r="QSG36" s="545"/>
      <c r="QSH36" s="545"/>
      <c r="QSI36" s="545"/>
      <c r="QSJ36" s="545"/>
      <c r="QSK36" s="545"/>
      <c r="QSL36" s="545"/>
      <c r="QSM36" s="544"/>
      <c r="QSN36" s="545"/>
      <c r="QSO36" s="545"/>
      <c r="QSP36" s="545"/>
      <c r="QSQ36" s="545"/>
      <c r="QSR36" s="545"/>
      <c r="QSS36" s="545"/>
      <c r="QST36" s="544"/>
      <c r="QSU36" s="545"/>
      <c r="QSV36" s="545"/>
      <c r="QSW36" s="545"/>
      <c r="QSX36" s="545"/>
      <c r="QSY36" s="545"/>
      <c r="QSZ36" s="545"/>
      <c r="QTA36" s="544"/>
      <c r="QTB36" s="545"/>
      <c r="QTC36" s="545"/>
      <c r="QTD36" s="545"/>
      <c r="QTE36" s="545"/>
      <c r="QTF36" s="545"/>
      <c r="QTG36" s="545"/>
      <c r="QTH36" s="544"/>
      <c r="QTI36" s="545"/>
      <c r="QTJ36" s="545"/>
      <c r="QTK36" s="545"/>
      <c r="QTL36" s="545"/>
      <c r="QTM36" s="545"/>
      <c r="QTN36" s="545"/>
      <c r="QTO36" s="544"/>
      <c r="QTP36" s="545"/>
      <c r="QTQ36" s="545"/>
      <c r="QTR36" s="545"/>
      <c r="QTS36" s="545"/>
      <c r="QTT36" s="545"/>
      <c r="QTU36" s="545"/>
      <c r="QTV36" s="544"/>
      <c r="QTW36" s="545"/>
      <c r="QTX36" s="545"/>
      <c r="QTY36" s="545"/>
      <c r="QTZ36" s="545"/>
      <c r="QUA36" s="545"/>
      <c r="QUB36" s="545"/>
      <c r="QUC36" s="544"/>
      <c r="QUD36" s="545"/>
      <c r="QUE36" s="545"/>
      <c r="QUF36" s="545"/>
      <c r="QUG36" s="545"/>
      <c r="QUH36" s="545"/>
      <c r="QUI36" s="545"/>
      <c r="QUJ36" s="544"/>
      <c r="QUK36" s="545"/>
      <c r="QUL36" s="545"/>
      <c r="QUM36" s="545"/>
      <c r="QUN36" s="545"/>
      <c r="QUO36" s="545"/>
      <c r="QUP36" s="545"/>
      <c r="QUQ36" s="544"/>
      <c r="QUR36" s="545"/>
      <c r="QUS36" s="545"/>
      <c r="QUT36" s="545"/>
      <c r="QUU36" s="545"/>
      <c r="QUV36" s="545"/>
      <c r="QUW36" s="545"/>
      <c r="QUX36" s="544"/>
      <c r="QUY36" s="545"/>
      <c r="QUZ36" s="545"/>
      <c r="QVA36" s="545"/>
      <c r="QVB36" s="545"/>
      <c r="QVC36" s="545"/>
      <c r="QVD36" s="545"/>
      <c r="QVE36" s="544"/>
      <c r="QVF36" s="545"/>
      <c r="QVG36" s="545"/>
      <c r="QVH36" s="545"/>
      <c r="QVI36" s="545"/>
      <c r="QVJ36" s="545"/>
      <c r="QVK36" s="545"/>
      <c r="QVL36" s="544"/>
      <c r="QVM36" s="545"/>
      <c r="QVN36" s="545"/>
      <c r="QVO36" s="545"/>
      <c r="QVP36" s="545"/>
      <c r="QVQ36" s="545"/>
      <c r="QVR36" s="545"/>
      <c r="QVS36" s="544"/>
      <c r="QVT36" s="545"/>
      <c r="QVU36" s="545"/>
      <c r="QVV36" s="545"/>
      <c r="QVW36" s="545"/>
      <c r="QVX36" s="545"/>
      <c r="QVY36" s="545"/>
      <c r="QVZ36" s="544"/>
      <c r="QWA36" s="545"/>
      <c r="QWB36" s="545"/>
      <c r="QWC36" s="545"/>
      <c r="QWD36" s="545"/>
      <c r="QWE36" s="545"/>
      <c r="QWF36" s="545"/>
      <c r="QWG36" s="544"/>
      <c r="QWH36" s="545"/>
      <c r="QWI36" s="545"/>
      <c r="QWJ36" s="545"/>
      <c r="QWK36" s="545"/>
      <c r="QWL36" s="545"/>
      <c r="QWM36" s="545"/>
      <c r="QWN36" s="544"/>
      <c r="QWO36" s="545"/>
      <c r="QWP36" s="545"/>
      <c r="QWQ36" s="545"/>
      <c r="QWR36" s="545"/>
      <c r="QWS36" s="545"/>
      <c r="QWT36" s="545"/>
      <c r="QWU36" s="544"/>
      <c r="QWV36" s="545"/>
      <c r="QWW36" s="545"/>
      <c r="QWX36" s="545"/>
      <c r="QWY36" s="545"/>
      <c r="QWZ36" s="545"/>
      <c r="QXA36" s="545"/>
      <c r="QXB36" s="544"/>
      <c r="QXC36" s="545"/>
      <c r="QXD36" s="545"/>
      <c r="QXE36" s="545"/>
      <c r="QXF36" s="545"/>
      <c r="QXG36" s="545"/>
      <c r="QXH36" s="545"/>
      <c r="QXI36" s="544"/>
      <c r="QXJ36" s="545"/>
      <c r="QXK36" s="545"/>
      <c r="QXL36" s="545"/>
      <c r="QXM36" s="545"/>
      <c r="QXN36" s="545"/>
      <c r="QXO36" s="545"/>
      <c r="QXP36" s="544"/>
      <c r="QXQ36" s="545"/>
      <c r="QXR36" s="545"/>
      <c r="QXS36" s="545"/>
      <c r="QXT36" s="545"/>
      <c r="QXU36" s="545"/>
      <c r="QXV36" s="545"/>
      <c r="QXW36" s="544"/>
      <c r="QXX36" s="545"/>
      <c r="QXY36" s="545"/>
      <c r="QXZ36" s="545"/>
      <c r="QYA36" s="545"/>
      <c r="QYB36" s="545"/>
      <c r="QYC36" s="545"/>
      <c r="QYD36" s="544"/>
      <c r="QYE36" s="545"/>
      <c r="QYF36" s="545"/>
      <c r="QYG36" s="545"/>
      <c r="QYH36" s="545"/>
      <c r="QYI36" s="545"/>
      <c r="QYJ36" s="545"/>
      <c r="QYK36" s="544"/>
      <c r="QYL36" s="545"/>
      <c r="QYM36" s="545"/>
      <c r="QYN36" s="545"/>
      <c r="QYO36" s="545"/>
      <c r="QYP36" s="545"/>
      <c r="QYQ36" s="545"/>
      <c r="QYR36" s="544"/>
      <c r="QYS36" s="545"/>
      <c r="QYT36" s="545"/>
      <c r="QYU36" s="545"/>
      <c r="QYV36" s="545"/>
      <c r="QYW36" s="545"/>
      <c r="QYX36" s="545"/>
      <c r="QYY36" s="544"/>
      <c r="QYZ36" s="545"/>
      <c r="QZA36" s="545"/>
      <c r="QZB36" s="545"/>
      <c r="QZC36" s="545"/>
      <c r="QZD36" s="545"/>
      <c r="QZE36" s="545"/>
      <c r="QZF36" s="544"/>
      <c r="QZG36" s="545"/>
      <c r="QZH36" s="545"/>
      <c r="QZI36" s="545"/>
      <c r="QZJ36" s="545"/>
      <c r="QZK36" s="545"/>
      <c r="QZL36" s="545"/>
      <c r="QZM36" s="544"/>
      <c r="QZN36" s="545"/>
      <c r="QZO36" s="545"/>
      <c r="QZP36" s="545"/>
      <c r="QZQ36" s="545"/>
      <c r="QZR36" s="545"/>
      <c r="QZS36" s="545"/>
      <c r="QZT36" s="544"/>
      <c r="QZU36" s="545"/>
      <c r="QZV36" s="545"/>
      <c r="QZW36" s="545"/>
      <c r="QZX36" s="545"/>
      <c r="QZY36" s="545"/>
      <c r="QZZ36" s="545"/>
      <c r="RAA36" s="544"/>
      <c r="RAB36" s="545"/>
      <c r="RAC36" s="545"/>
      <c r="RAD36" s="545"/>
      <c r="RAE36" s="545"/>
      <c r="RAF36" s="545"/>
      <c r="RAG36" s="545"/>
      <c r="RAH36" s="544"/>
      <c r="RAI36" s="545"/>
      <c r="RAJ36" s="545"/>
      <c r="RAK36" s="545"/>
      <c r="RAL36" s="545"/>
      <c r="RAM36" s="545"/>
      <c r="RAN36" s="545"/>
      <c r="RAO36" s="544"/>
      <c r="RAP36" s="545"/>
      <c r="RAQ36" s="545"/>
      <c r="RAR36" s="545"/>
      <c r="RAS36" s="545"/>
      <c r="RAT36" s="545"/>
      <c r="RAU36" s="545"/>
      <c r="RAV36" s="544"/>
      <c r="RAW36" s="545"/>
      <c r="RAX36" s="545"/>
      <c r="RAY36" s="545"/>
      <c r="RAZ36" s="545"/>
      <c r="RBA36" s="545"/>
      <c r="RBB36" s="545"/>
      <c r="RBC36" s="544"/>
      <c r="RBD36" s="545"/>
      <c r="RBE36" s="545"/>
      <c r="RBF36" s="545"/>
      <c r="RBG36" s="545"/>
      <c r="RBH36" s="545"/>
      <c r="RBI36" s="545"/>
      <c r="RBJ36" s="544"/>
      <c r="RBK36" s="545"/>
      <c r="RBL36" s="545"/>
      <c r="RBM36" s="545"/>
      <c r="RBN36" s="545"/>
      <c r="RBO36" s="545"/>
      <c r="RBP36" s="545"/>
      <c r="RBQ36" s="544"/>
      <c r="RBR36" s="545"/>
      <c r="RBS36" s="545"/>
      <c r="RBT36" s="545"/>
      <c r="RBU36" s="545"/>
      <c r="RBV36" s="545"/>
      <c r="RBW36" s="545"/>
      <c r="RBX36" s="544"/>
      <c r="RBY36" s="545"/>
      <c r="RBZ36" s="545"/>
      <c r="RCA36" s="545"/>
      <c r="RCB36" s="545"/>
      <c r="RCC36" s="545"/>
      <c r="RCD36" s="545"/>
      <c r="RCE36" s="544"/>
      <c r="RCF36" s="545"/>
      <c r="RCG36" s="545"/>
      <c r="RCH36" s="545"/>
      <c r="RCI36" s="545"/>
      <c r="RCJ36" s="545"/>
      <c r="RCK36" s="545"/>
      <c r="RCL36" s="544"/>
      <c r="RCM36" s="545"/>
      <c r="RCN36" s="545"/>
      <c r="RCO36" s="545"/>
      <c r="RCP36" s="545"/>
      <c r="RCQ36" s="545"/>
      <c r="RCR36" s="545"/>
      <c r="RCS36" s="544"/>
      <c r="RCT36" s="545"/>
      <c r="RCU36" s="545"/>
      <c r="RCV36" s="545"/>
      <c r="RCW36" s="545"/>
      <c r="RCX36" s="545"/>
      <c r="RCY36" s="545"/>
      <c r="RCZ36" s="544"/>
      <c r="RDA36" s="545"/>
      <c r="RDB36" s="545"/>
      <c r="RDC36" s="545"/>
      <c r="RDD36" s="545"/>
      <c r="RDE36" s="545"/>
      <c r="RDF36" s="545"/>
      <c r="RDG36" s="544"/>
      <c r="RDH36" s="545"/>
      <c r="RDI36" s="545"/>
      <c r="RDJ36" s="545"/>
      <c r="RDK36" s="545"/>
      <c r="RDL36" s="545"/>
      <c r="RDM36" s="545"/>
      <c r="RDN36" s="544"/>
      <c r="RDO36" s="545"/>
      <c r="RDP36" s="545"/>
      <c r="RDQ36" s="545"/>
      <c r="RDR36" s="545"/>
      <c r="RDS36" s="545"/>
      <c r="RDT36" s="545"/>
      <c r="RDU36" s="544"/>
      <c r="RDV36" s="545"/>
      <c r="RDW36" s="545"/>
      <c r="RDX36" s="545"/>
      <c r="RDY36" s="545"/>
      <c r="RDZ36" s="545"/>
      <c r="REA36" s="545"/>
      <c r="REB36" s="544"/>
      <c r="REC36" s="545"/>
      <c r="RED36" s="545"/>
      <c r="REE36" s="545"/>
      <c r="REF36" s="545"/>
      <c r="REG36" s="545"/>
      <c r="REH36" s="545"/>
      <c r="REI36" s="544"/>
      <c r="REJ36" s="545"/>
      <c r="REK36" s="545"/>
      <c r="REL36" s="545"/>
      <c r="REM36" s="545"/>
      <c r="REN36" s="545"/>
      <c r="REO36" s="545"/>
      <c r="REP36" s="544"/>
      <c r="REQ36" s="545"/>
      <c r="RER36" s="545"/>
      <c r="RES36" s="545"/>
      <c r="RET36" s="545"/>
      <c r="REU36" s="545"/>
      <c r="REV36" s="545"/>
      <c r="REW36" s="544"/>
      <c r="REX36" s="545"/>
      <c r="REY36" s="545"/>
      <c r="REZ36" s="545"/>
      <c r="RFA36" s="545"/>
      <c r="RFB36" s="545"/>
      <c r="RFC36" s="545"/>
      <c r="RFD36" s="544"/>
      <c r="RFE36" s="545"/>
      <c r="RFF36" s="545"/>
      <c r="RFG36" s="545"/>
      <c r="RFH36" s="545"/>
      <c r="RFI36" s="545"/>
      <c r="RFJ36" s="545"/>
      <c r="RFK36" s="544"/>
      <c r="RFL36" s="545"/>
      <c r="RFM36" s="545"/>
      <c r="RFN36" s="545"/>
      <c r="RFO36" s="545"/>
      <c r="RFP36" s="545"/>
      <c r="RFQ36" s="545"/>
      <c r="RFR36" s="544"/>
      <c r="RFS36" s="545"/>
      <c r="RFT36" s="545"/>
      <c r="RFU36" s="545"/>
      <c r="RFV36" s="545"/>
      <c r="RFW36" s="545"/>
      <c r="RFX36" s="545"/>
      <c r="RFY36" s="544"/>
      <c r="RFZ36" s="545"/>
      <c r="RGA36" s="545"/>
      <c r="RGB36" s="545"/>
      <c r="RGC36" s="545"/>
      <c r="RGD36" s="545"/>
      <c r="RGE36" s="545"/>
      <c r="RGF36" s="544"/>
      <c r="RGG36" s="545"/>
      <c r="RGH36" s="545"/>
      <c r="RGI36" s="545"/>
      <c r="RGJ36" s="545"/>
      <c r="RGK36" s="545"/>
      <c r="RGL36" s="545"/>
      <c r="RGM36" s="544"/>
      <c r="RGN36" s="545"/>
      <c r="RGO36" s="545"/>
      <c r="RGP36" s="545"/>
      <c r="RGQ36" s="545"/>
      <c r="RGR36" s="545"/>
      <c r="RGS36" s="545"/>
      <c r="RGT36" s="544"/>
      <c r="RGU36" s="545"/>
      <c r="RGV36" s="545"/>
      <c r="RGW36" s="545"/>
      <c r="RGX36" s="545"/>
      <c r="RGY36" s="545"/>
      <c r="RGZ36" s="545"/>
      <c r="RHA36" s="544"/>
      <c r="RHB36" s="545"/>
      <c r="RHC36" s="545"/>
      <c r="RHD36" s="545"/>
      <c r="RHE36" s="545"/>
      <c r="RHF36" s="545"/>
      <c r="RHG36" s="545"/>
      <c r="RHH36" s="544"/>
      <c r="RHI36" s="545"/>
      <c r="RHJ36" s="545"/>
      <c r="RHK36" s="545"/>
      <c r="RHL36" s="545"/>
      <c r="RHM36" s="545"/>
      <c r="RHN36" s="545"/>
      <c r="RHO36" s="544"/>
      <c r="RHP36" s="545"/>
      <c r="RHQ36" s="545"/>
      <c r="RHR36" s="545"/>
      <c r="RHS36" s="545"/>
      <c r="RHT36" s="545"/>
      <c r="RHU36" s="545"/>
      <c r="RHV36" s="544"/>
      <c r="RHW36" s="545"/>
      <c r="RHX36" s="545"/>
      <c r="RHY36" s="545"/>
      <c r="RHZ36" s="545"/>
      <c r="RIA36" s="545"/>
      <c r="RIB36" s="545"/>
      <c r="RIC36" s="544"/>
      <c r="RID36" s="545"/>
      <c r="RIE36" s="545"/>
      <c r="RIF36" s="545"/>
      <c r="RIG36" s="545"/>
      <c r="RIH36" s="545"/>
      <c r="RII36" s="545"/>
      <c r="RIJ36" s="544"/>
      <c r="RIK36" s="545"/>
      <c r="RIL36" s="545"/>
      <c r="RIM36" s="545"/>
      <c r="RIN36" s="545"/>
      <c r="RIO36" s="545"/>
      <c r="RIP36" s="545"/>
      <c r="RIQ36" s="544"/>
      <c r="RIR36" s="545"/>
      <c r="RIS36" s="545"/>
      <c r="RIT36" s="545"/>
      <c r="RIU36" s="545"/>
      <c r="RIV36" s="545"/>
      <c r="RIW36" s="545"/>
      <c r="RIX36" s="544"/>
      <c r="RIY36" s="545"/>
      <c r="RIZ36" s="545"/>
      <c r="RJA36" s="545"/>
      <c r="RJB36" s="545"/>
      <c r="RJC36" s="545"/>
      <c r="RJD36" s="545"/>
      <c r="RJE36" s="544"/>
      <c r="RJF36" s="545"/>
      <c r="RJG36" s="545"/>
      <c r="RJH36" s="545"/>
      <c r="RJI36" s="545"/>
      <c r="RJJ36" s="545"/>
      <c r="RJK36" s="545"/>
      <c r="RJL36" s="544"/>
      <c r="RJM36" s="545"/>
      <c r="RJN36" s="545"/>
      <c r="RJO36" s="545"/>
      <c r="RJP36" s="545"/>
      <c r="RJQ36" s="545"/>
      <c r="RJR36" s="545"/>
      <c r="RJS36" s="544"/>
      <c r="RJT36" s="545"/>
      <c r="RJU36" s="545"/>
      <c r="RJV36" s="545"/>
      <c r="RJW36" s="545"/>
      <c r="RJX36" s="545"/>
      <c r="RJY36" s="545"/>
      <c r="RJZ36" s="544"/>
      <c r="RKA36" s="545"/>
      <c r="RKB36" s="545"/>
      <c r="RKC36" s="545"/>
      <c r="RKD36" s="545"/>
      <c r="RKE36" s="545"/>
      <c r="RKF36" s="545"/>
      <c r="RKG36" s="544"/>
      <c r="RKH36" s="545"/>
      <c r="RKI36" s="545"/>
      <c r="RKJ36" s="545"/>
      <c r="RKK36" s="545"/>
      <c r="RKL36" s="545"/>
      <c r="RKM36" s="545"/>
      <c r="RKN36" s="544"/>
      <c r="RKO36" s="545"/>
      <c r="RKP36" s="545"/>
      <c r="RKQ36" s="545"/>
      <c r="RKR36" s="545"/>
      <c r="RKS36" s="545"/>
      <c r="RKT36" s="545"/>
      <c r="RKU36" s="544"/>
      <c r="RKV36" s="545"/>
      <c r="RKW36" s="545"/>
      <c r="RKX36" s="545"/>
      <c r="RKY36" s="545"/>
      <c r="RKZ36" s="545"/>
      <c r="RLA36" s="545"/>
      <c r="RLB36" s="544"/>
      <c r="RLC36" s="545"/>
      <c r="RLD36" s="545"/>
      <c r="RLE36" s="545"/>
      <c r="RLF36" s="545"/>
      <c r="RLG36" s="545"/>
      <c r="RLH36" s="545"/>
      <c r="RLI36" s="544"/>
      <c r="RLJ36" s="545"/>
      <c r="RLK36" s="545"/>
      <c r="RLL36" s="545"/>
      <c r="RLM36" s="545"/>
      <c r="RLN36" s="545"/>
      <c r="RLO36" s="545"/>
      <c r="RLP36" s="544"/>
      <c r="RLQ36" s="545"/>
      <c r="RLR36" s="545"/>
      <c r="RLS36" s="545"/>
      <c r="RLT36" s="545"/>
      <c r="RLU36" s="545"/>
      <c r="RLV36" s="545"/>
      <c r="RLW36" s="544"/>
      <c r="RLX36" s="545"/>
      <c r="RLY36" s="545"/>
      <c r="RLZ36" s="545"/>
      <c r="RMA36" s="545"/>
      <c r="RMB36" s="545"/>
      <c r="RMC36" s="545"/>
      <c r="RMD36" s="544"/>
      <c r="RME36" s="545"/>
      <c r="RMF36" s="545"/>
      <c r="RMG36" s="545"/>
      <c r="RMH36" s="545"/>
      <c r="RMI36" s="545"/>
      <c r="RMJ36" s="545"/>
      <c r="RMK36" s="544"/>
      <c r="RML36" s="545"/>
      <c r="RMM36" s="545"/>
      <c r="RMN36" s="545"/>
      <c r="RMO36" s="545"/>
      <c r="RMP36" s="545"/>
      <c r="RMQ36" s="545"/>
      <c r="RMR36" s="544"/>
      <c r="RMS36" s="545"/>
      <c r="RMT36" s="545"/>
      <c r="RMU36" s="545"/>
      <c r="RMV36" s="545"/>
      <c r="RMW36" s="545"/>
      <c r="RMX36" s="545"/>
      <c r="RMY36" s="544"/>
      <c r="RMZ36" s="545"/>
      <c r="RNA36" s="545"/>
      <c r="RNB36" s="545"/>
      <c r="RNC36" s="545"/>
      <c r="RND36" s="545"/>
      <c r="RNE36" s="545"/>
      <c r="RNF36" s="544"/>
      <c r="RNG36" s="545"/>
      <c r="RNH36" s="545"/>
      <c r="RNI36" s="545"/>
      <c r="RNJ36" s="545"/>
      <c r="RNK36" s="545"/>
      <c r="RNL36" s="545"/>
      <c r="RNM36" s="544"/>
      <c r="RNN36" s="545"/>
      <c r="RNO36" s="545"/>
      <c r="RNP36" s="545"/>
      <c r="RNQ36" s="545"/>
      <c r="RNR36" s="545"/>
      <c r="RNS36" s="545"/>
      <c r="RNT36" s="544"/>
      <c r="RNU36" s="545"/>
      <c r="RNV36" s="545"/>
      <c r="RNW36" s="545"/>
      <c r="RNX36" s="545"/>
      <c r="RNY36" s="545"/>
      <c r="RNZ36" s="545"/>
      <c r="ROA36" s="544"/>
      <c r="ROB36" s="545"/>
      <c r="ROC36" s="545"/>
      <c r="ROD36" s="545"/>
      <c r="ROE36" s="545"/>
      <c r="ROF36" s="545"/>
      <c r="ROG36" s="545"/>
      <c r="ROH36" s="544"/>
      <c r="ROI36" s="545"/>
      <c r="ROJ36" s="545"/>
      <c r="ROK36" s="545"/>
      <c r="ROL36" s="545"/>
      <c r="ROM36" s="545"/>
      <c r="RON36" s="545"/>
      <c r="ROO36" s="544"/>
      <c r="ROP36" s="545"/>
      <c r="ROQ36" s="545"/>
      <c r="ROR36" s="545"/>
      <c r="ROS36" s="545"/>
      <c r="ROT36" s="545"/>
      <c r="ROU36" s="545"/>
      <c r="ROV36" s="544"/>
      <c r="ROW36" s="545"/>
      <c r="ROX36" s="545"/>
      <c r="ROY36" s="545"/>
      <c r="ROZ36" s="545"/>
      <c r="RPA36" s="545"/>
      <c r="RPB36" s="545"/>
      <c r="RPC36" s="544"/>
      <c r="RPD36" s="545"/>
      <c r="RPE36" s="545"/>
      <c r="RPF36" s="545"/>
      <c r="RPG36" s="545"/>
      <c r="RPH36" s="545"/>
      <c r="RPI36" s="545"/>
      <c r="RPJ36" s="544"/>
      <c r="RPK36" s="545"/>
      <c r="RPL36" s="545"/>
      <c r="RPM36" s="545"/>
      <c r="RPN36" s="545"/>
      <c r="RPO36" s="545"/>
      <c r="RPP36" s="545"/>
      <c r="RPQ36" s="544"/>
      <c r="RPR36" s="545"/>
      <c r="RPS36" s="545"/>
      <c r="RPT36" s="545"/>
      <c r="RPU36" s="545"/>
      <c r="RPV36" s="545"/>
      <c r="RPW36" s="545"/>
      <c r="RPX36" s="544"/>
      <c r="RPY36" s="545"/>
      <c r="RPZ36" s="545"/>
      <c r="RQA36" s="545"/>
      <c r="RQB36" s="545"/>
      <c r="RQC36" s="545"/>
      <c r="RQD36" s="545"/>
      <c r="RQE36" s="544"/>
      <c r="RQF36" s="545"/>
      <c r="RQG36" s="545"/>
      <c r="RQH36" s="545"/>
      <c r="RQI36" s="545"/>
      <c r="RQJ36" s="545"/>
      <c r="RQK36" s="545"/>
      <c r="RQL36" s="544"/>
      <c r="RQM36" s="545"/>
      <c r="RQN36" s="545"/>
      <c r="RQO36" s="545"/>
      <c r="RQP36" s="545"/>
      <c r="RQQ36" s="545"/>
      <c r="RQR36" s="545"/>
      <c r="RQS36" s="544"/>
      <c r="RQT36" s="545"/>
      <c r="RQU36" s="545"/>
      <c r="RQV36" s="545"/>
      <c r="RQW36" s="545"/>
      <c r="RQX36" s="545"/>
      <c r="RQY36" s="545"/>
      <c r="RQZ36" s="544"/>
      <c r="RRA36" s="545"/>
      <c r="RRB36" s="545"/>
      <c r="RRC36" s="545"/>
      <c r="RRD36" s="545"/>
      <c r="RRE36" s="545"/>
      <c r="RRF36" s="545"/>
      <c r="RRG36" s="544"/>
      <c r="RRH36" s="545"/>
      <c r="RRI36" s="545"/>
      <c r="RRJ36" s="545"/>
      <c r="RRK36" s="545"/>
      <c r="RRL36" s="545"/>
      <c r="RRM36" s="545"/>
      <c r="RRN36" s="544"/>
      <c r="RRO36" s="545"/>
      <c r="RRP36" s="545"/>
      <c r="RRQ36" s="545"/>
      <c r="RRR36" s="545"/>
      <c r="RRS36" s="545"/>
      <c r="RRT36" s="545"/>
      <c r="RRU36" s="544"/>
      <c r="RRV36" s="545"/>
      <c r="RRW36" s="545"/>
      <c r="RRX36" s="545"/>
      <c r="RRY36" s="545"/>
      <c r="RRZ36" s="545"/>
      <c r="RSA36" s="545"/>
      <c r="RSB36" s="544"/>
      <c r="RSC36" s="545"/>
      <c r="RSD36" s="545"/>
      <c r="RSE36" s="545"/>
      <c r="RSF36" s="545"/>
      <c r="RSG36" s="545"/>
      <c r="RSH36" s="545"/>
      <c r="RSI36" s="544"/>
      <c r="RSJ36" s="545"/>
      <c r="RSK36" s="545"/>
      <c r="RSL36" s="545"/>
      <c r="RSM36" s="545"/>
      <c r="RSN36" s="545"/>
      <c r="RSO36" s="545"/>
      <c r="RSP36" s="544"/>
      <c r="RSQ36" s="545"/>
      <c r="RSR36" s="545"/>
      <c r="RSS36" s="545"/>
      <c r="RST36" s="545"/>
      <c r="RSU36" s="545"/>
      <c r="RSV36" s="545"/>
      <c r="RSW36" s="544"/>
      <c r="RSX36" s="545"/>
      <c r="RSY36" s="545"/>
      <c r="RSZ36" s="545"/>
      <c r="RTA36" s="545"/>
      <c r="RTB36" s="545"/>
      <c r="RTC36" s="545"/>
      <c r="RTD36" s="544"/>
      <c r="RTE36" s="545"/>
      <c r="RTF36" s="545"/>
      <c r="RTG36" s="545"/>
      <c r="RTH36" s="545"/>
      <c r="RTI36" s="545"/>
      <c r="RTJ36" s="545"/>
      <c r="RTK36" s="544"/>
      <c r="RTL36" s="545"/>
      <c r="RTM36" s="545"/>
      <c r="RTN36" s="545"/>
      <c r="RTO36" s="545"/>
      <c r="RTP36" s="545"/>
      <c r="RTQ36" s="545"/>
      <c r="RTR36" s="544"/>
      <c r="RTS36" s="545"/>
      <c r="RTT36" s="545"/>
      <c r="RTU36" s="545"/>
      <c r="RTV36" s="545"/>
      <c r="RTW36" s="545"/>
      <c r="RTX36" s="545"/>
      <c r="RTY36" s="544"/>
      <c r="RTZ36" s="545"/>
      <c r="RUA36" s="545"/>
      <c r="RUB36" s="545"/>
      <c r="RUC36" s="545"/>
      <c r="RUD36" s="545"/>
      <c r="RUE36" s="545"/>
      <c r="RUF36" s="544"/>
      <c r="RUG36" s="545"/>
      <c r="RUH36" s="545"/>
      <c r="RUI36" s="545"/>
      <c r="RUJ36" s="545"/>
      <c r="RUK36" s="545"/>
      <c r="RUL36" s="545"/>
      <c r="RUM36" s="544"/>
      <c r="RUN36" s="545"/>
      <c r="RUO36" s="545"/>
      <c r="RUP36" s="545"/>
      <c r="RUQ36" s="545"/>
      <c r="RUR36" s="545"/>
      <c r="RUS36" s="545"/>
      <c r="RUT36" s="544"/>
      <c r="RUU36" s="545"/>
      <c r="RUV36" s="545"/>
      <c r="RUW36" s="545"/>
      <c r="RUX36" s="545"/>
      <c r="RUY36" s="545"/>
      <c r="RUZ36" s="545"/>
      <c r="RVA36" s="544"/>
      <c r="RVB36" s="545"/>
      <c r="RVC36" s="545"/>
      <c r="RVD36" s="545"/>
      <c r="RVE36" s="545"/>
      <c r="RVF36" s="545"/>
      <c r="RVG36" s="545"/>
      <c r="RVH36" s="544"/>
      <c r="RVI36" s="545"/>
      <c r="RVJ36" s="545"/>
      <c r="RVK36" s="545"/>
      <c r="RVL36" s="545"/>
      <c r="RVM36" s="545"/>
      <c r="RVN36" s="545"/>
      <c r="RVO36" s="544"/>
      <c r="RVP36" s="545"/>
      <c r="RVQ36" s="545"/>
      <c r="RVR36" s="545"/>
      <c r="RVS36" s="545"/>
      <c r="RVT36" s="545"/>
      <c r="RVU36" s="545"/>
      <c r="RVV36" s="544"/>
      <c r="RVW36" s="545"/>
      <c r="RVX36" s="545"/>
      <c r="RVY36" s="545"/>
      <c r="RVZ36" s="545"/>
      <c r="RWA36" s="545"/>
      <c r="RWB36" s="545"/>
      <c r="RWC36" s="544"/>
      <c r="RWD36" s="545"/>
      <c r="RWE36" s="545"/>
      <c r="RWF36" s="545"/>
      <c r="RWG36" s="545"/>
      <c r="RWH36" s="545"/>
      <c r="RWI36" s="545"/>
      <c r="RWJ36" s="544"/>
      <c r="RWK36" s="545"/>
      <c r="RWL36" s="545"/>
      <c r="RWM36" s="545"/>
      <c r="RWN36" s="545"/>
      <c r="RWO36" s="545"/>
      <c r="RWP36" s="545"/>
      <c r="RWQ36" s="544"/>
      <c r="RWR36" s="545"/>
      <c r="RWS36" s="545"/>
      <c r="RWT36" s="545"/>
      <c r="RWU36" s="545"/>
      <c r="RWV36" s="545"/>
      <c r="RWW36" s="545"/>
      <c r="RWX36" s="544"/>
      <c r="RWY36" s="545"/>
      <c r="RWZ36" s="545"/>
      <c r="RXA36" s="545"/>
      <c r="RXB36" s="545"/>
      <c r="RXC36" s="545"/>
      <c r="RXD36" s="545"/>
      <c r="RXE36" s="544"/>
      <c r="RXF36" s="545"/>
      <c r="RXG36" s="545"/>
      <c r="RXH36" s="545"/>
      <c r="RXI36" s="545"/>
      <c r="RXJ36" s="545"/>
      <c r="RXK36" s="545"/>
      <c r="RXL36" s="544"/>
      <c r="RXM36" s="545"/>
      <c r="RXN36" s="545"/>
      <c r="RXO36" s="545"/>
      <c r="RXP36" s="545"/>
      <c r="RXQ36" s="545"/>
      <c r="RXR36" s="545"/>
      <c r="RXS36" s="544"/>
      <c r="RXT36" s="545"/>
      <c r="RXU36" s="545"/>
      <c r="RXV36" s="545"/>
      <c r="RXW36" s="545"/>
      <c r="RXX36" s="545"/>
      <c r="RXY36" s="545"/>
      <c r="RXZ36" s="544"/>
      <c r="RYA36" s="545"/>
      <c r="RYB36" s="545"/>
      <c r="RYC36" s="545"/>
      <c r="RYD36" s="545"/>
      <c r="RYE36" s="545"/>
      <c r="RYF36" s="545"/>
      <c r="RYG36" s="544"/>
      <c r="RYH36" s="545"/>
      <c r="RYI36" s="545"/>
      <c r="RYJ36" s="545"/>
      <c r="RYK36" s="545"/>
      <c r="RYL36" s="545"/>
      <c r="RYM36" s="545"/>
      <c r="RYN36" s="544"/>
      <c r="RYO36" s="545"/>
      <c r="RYP36" s="545"/>
      <c r="RYQ36" s="545"/>
      <c r="RYR36" s="545"/>
      <c r="RYS36" s="545"/>
      <c r="RYT36" s="545"/>
      <c r="RYU36" s="544"/>
      <c r="RYV36" s="545"/>
      <c r="RYW36" s="545"/>
      <c r="RYX36" s="545"/>
      <c r="RYY36" s="545"/>
      <c r="RYZ36" s="545"/>
      <c r="RZA36" s="545"/>
      <c r="RZB36" s="544"/>
      <c r="RZC36" s="545"/>
      <c r="RZD36" s="545"/>
      <c r="RZE36" s="545"/>
      <c r="RZF36" s="545"/>
      <c r="RZG36" s="545"/>
      <c r="RZH36" s="545"/>
      <c r="RZI36" s="544"/>
      <c r="RZJ36" s="545"/>
      <c r="RZK36" s="545"/>
      <c r="RZL36" s="545"/>
      <c r="RZM36" s="545"/>
      <c r="RZN36" s="545"/>
      <c r="RZO36" s="545"/>
      <c r="RZP36" s="544"/>
      <c r="RZQ36" s="545"/>
      <c r="RZR36" s="545"/>
      <c r="RZS36" s="545"/>
      <c r="RZT36" s="545"/>
      <c r="RZU36" s="545"/>
      <c r="RZV36" s="545"/>
      <c r="RZW36" s="544"/>
      <c r="RZX36" s="545"/>
      <c r="RZY36" s="545"/>
      <c r="RZZ36" s="545"/>
      <c r="SAA36" s="545"/>
      <c r="SAB36" s="545"/>
      <c r="SAC36" s="545"/>
      <c r="SAD36" s="544"/>
      <c r="SAE36" s="545"/>
      <c r="SAF36" s="545"/>
      <c r="SAG36" s="545"/>
      <c r="SAH36" s="545"/>
      <c r="SAI36" s="545"/>
      <c r="SAJ36" s="545"/>
      <c r="SAK36" s="544"/>
      <c r="SAL36" s="545"/>
      <c r="SAM36" s="545"/>
      <c r="SAN36" s="545"/>
      <c r="SAO36" s="545"/>
      <c r="SAP36" s="545"/>
      <c r="SAQ36" s="545"/>
      <c r="SAR36" s="544"/>
      <c r="SAS36" s="545"/>
      <c r="SAT36" s="545"/>
      <c r="SAU36" s="545"/>
      <c r="SAV36" s="545"/>
      <c r="SAW36" s="545"/>
      <c r="SAX36" s="545"/>
      <c r="SAY36" s="544"/>
      <c r="SAZ36" s="545"/>
      <c r="SBA36" s="545"/>
      <c r="SBB36" s="545"/>
      <c r="SBC36" s="545"/>
      <c r="SBD36" s="545"/>
      <c r="SBE36" s="545"/>
      <c r="SBF36" s="544"/>
      <c r="SBG36" s="545"/>
      <c r="SBH36" s="545"/>
      <c r="SBI36" s="545"/>
      <c r="SBJ36" s="545"/>
      <c r="SBK36" s="545"/>
      <c r="SBL36" s="545"/>
      <c r="SBM36" s="544"/>
      <c r="SBN36" s="545"/>
      <c r="SBO36" s="545"/>
      <c r="SBP36" s="545"/>
      <c r="SBQ36" s="545"/>
      <c r="SBR36" s="545"/>
      <c r="SBS36" s="545"/>
      <c r="SBT36" s="544"/>
      <c r="SBU36" s="545"/>
      <c r="SBV36" s="545"/>
      <c r="SBW36" s="545"/>
      <c r="SBX36" s="545"/>
      <c r="SBY36" s="545"/>
      <c r="SBZ36" s="545"/>
      <c r="SCA36" s="544"/>
      <c r="SCB36" s="545"/>
      <c r="SCC36" s="545"/>
      <c r="SCD36" s="545"/>
      <c r="SCE36" s="545"/>
      <c r="SCF36" s="545"/>
      <c r="SCG36" s="545"/>
      <c r="SCH36" s="544"/>
      <c r="SCI36" s="545"/>
      <c r="SCJ36" s="545"/>
      <c r="SCK36" s="545"/>
      <c r="SCL36" s="545"/>
      <c r="SCM36" s="545"/>
      <c r="SCN36" s="545"/>
      <c r="SCO36" s="544"/>
      <c r="SCP36" s="545"/>
      <c r="SCQ36" s="545"/>
      <c r="SCR36" s="545"/>
      <c r="SCS36" s="545"/>
      <c r="SCT36" s="545"/>
      <c r="SCU36" s="545"/>
      <c r="SCV36" s="544"/>
      <c r="SCW36" s="545"/>
      <c r="SCX36" s="545"/>
      <c r="SCY36" s="545"/>
      <c r="SCZ36" s="545"/>
      <c r="SDA36" s="545"/>
      <c r="SDB36" s="545"/>
      <c r="SDC36" s="544"/>
      <c r="SDD36" s="545"/>
      <c r="SDE36" s="545"/>
      <c r="SDF36" s="545"/>
      <c r="SDG36" s="545"/>
      <c r="SDH36" s="545"/>
      <c r="SDI36" s="545"/>
      <c r="SDJ36" s="544"/>
      <c r="SDK36" s="545"/>
      <c r="SDL36" s="545"/>
      <c r="SDM36" s="545"/>
      <c r="SDN36" s="545"/>
      <c r="SDO36" s="545"/>
      <c r="SDP36" s="545"/>
      <c r="SDQ36" s="544"/>
      <c r="SDR36" s="545"/>
      <c r="SDS36" s="545"/>
      <c r="SDT36" s="545"/>
      <c r="SDU36" s="545"/>
      <c r="SDV36" s="545"/>
      <c r="SDW36" s="545"/>
      <c r="SDX36" s="544"/>
      <c r="SDY36" s="545"/>
      <c r="SDZ36" s="545"/>
      <c r="SEA36" s="545"/>
      <c r="SEB36" s="545"/>
      <c r="SEC36" s="545"/>
      <c r="SED36" s="545"/>
      <c r="SEE36" s="544"/>
      <c r="SEF36" s="545"/>
      <c r="SEG36" s="545"/>
      <c r="SEH36" s="545"/>
      <c r="SEI36" s="545"/>
      <c r="SEJ36" s="545"/>
      <c r="SEK36" s="545"/>
      <c r="SEL36" s="544"/>
      <c r="SEM36" s="545"/>
      <c r="SEN36" s="545"/>
      <c r="SEO36" s="545"/>
      <c r="SEP36" s="545"/>
      <c r="SEQ36" s="545"/>
      <c r="SER36" s="545"/>
      <c r="SES36" s="544"/>
      <c r="SET36" s="545"/>
      <c r="SEU36" s="545"/>
      <c r="SEV36" s="545"/>
      <c r="SEW36" s="545"/>
      <c r="SEX36" s="545"/>
      <c r="SEY36" s="545"/>
      <c r="SEZ36" s="544"/>
      <c r="SFA36" s="545"/>
      <c r="SFB36" s="545"/>
      <c r="SFC36" s="545"/>
      <c r="SFD36" s="545"/>
      <c r="SFE36" s="545"/>
      <c r="SFF36" s="545"/>
      <c r="SFG36" s="544"/>
      <c r="SFH36" s="545"/>
      <c r="SFI36" s="545"/>
      <c r="SFJ36" s="545"/>
      <c r="SFK36" s="545"/>
      <c r="SFL36" s="545"/>
      <c r="SFM36" s="545"/>
      <c r="SFN36" s="544"/>
      <c r="SFO36" s="545"/>
      <c r="SFP36" s="545"/>
      <c r="SFQ36" s="545"/>
      <c r="SFR36" s="545"/>
      <c r="SFS36" s="545"/>
      <c r="SFT36" s="545"/>
      <c r="SFU36" s="544"/>
      <c r="SFV36" s="545"/>
      <c r="SFW36" s="545"/>
      <c r="SFX36" s="545"/>
      <c r="SFY36" s="545"/>
      <c r="SFZ36" s="545"/>
      <c r="SGA36" s="545"/>
      <c r="SGB36" s="544"/>
      <c r="SGC36" s="545"/>
      <c r="SGD36" s="545"/>
      <c r="SGE36" s="545"/>
      <c r="SGF36" s="545"/>
      <c r="SGG36" s="545"/>
      <c r="SGH36" s="545"/>
      <c r="SGI36" s="544"/>
      <c r="SGJ36" s="545"/>
      <c r="SGK36" s="545"/>
      <c r="SGL36" s="545"/>
      <c r="SGM36" s="545"/>
      <c r="SGN36" s="545"/>
      <c r="SGO36" s="545"/>
      <c r="SGP36" s="544"/>
      <c r="SGQ36" s="545"/>
      <c r="SGR36" s="545"/>
      <c r="SGS36" s="545"/>
      <c r="SGT36" s="545"/>
      <c r="SGU36" s="545"/>
      <c r="SGV36" s="545"/>
      <c r="SGW36" s="544"/>
      <c r="SGX36" s="545"/>
      <c r="SGY36" s="545"/>
      <c r="SGZ36" s="545"/>
      <c r="SHA36" s="545"/>
      <c r="SHB36" s="545"/>
      <c r="SHC36" s="545"/>
      <c r="SHD36" s="544"/>
      <c r="SHE36" s="545"/>
      <c r="SHF36" s="545"/>
      <c r="SHG36" s="545"/>
      <c r="SHH36" s="545"/>
      <c r="SHI36" s="545"/>
      <c r="SHJ36" s="545"/>
      <c r="SHK36" s="544"/>
      <c r="SHL36" s="545"/>
      <c r="SHM36" s="545"/>
      <c r="SHN36" s="545"/>
      <c r="SHO36" s="545"/>
      <c r="SHP36" s="545"/>
      <c r="SHQ36" s="545"/>
      <c r="SHR36" s="544"/>
      <c r="SHS36" s="545"/>
      <c r="SHT36" s="545"/>
      <c r="SHU36" s="545"/>
      <c r="SHV36" s="545"/>
      <c r="SHW36" s="545"/>
      <c r="SHX36" s="545"/>
      <c r="SHY36" s="544"/>
      <c r="SHZ36" s="545"/>
      <c r="SIA36" s="545"/>
      <c r="SIB36" s="545"/>
      <c r="SIC36" s="545"/>
      <c r="SID36" s="545"/>
      <c r="SIE36" s="545"/>
      <c r="SIF36" s="544"/>
      <c r="SIG36" s="545"/>
      <c r="SIH36" s="545"/>
      <c r="SII36" s="545"/>
      <c r="SIJ36" s="545"/>
      <c r="SIK36" s="545"/>
      <c r="SIL36" s="545"/>
      <c r="SIM36" s="544"/>
      <c r="SIN36" s="545"/>
      <c r="SIO36" s="545"/>
      <c r="SIP36" s="545"/>
      <c r="SIQ36" s="545"/>
      <c r="SIR36" s="545"/>
      <c r="SIS36" s="545"/>
      <c r="SIT36" s="544"/>
      <c r="SIU36" s="545"/>
      <c r="SIV36" s="545"/>
      <c r="SIW36" s="545"/>
      <c r="SIX36" s="545"/>
      <c r="SIY36" s="545"/>
      <c r="SIZ36" s="545"/>
      <c r="SJA36" s="544"/>
      <c r="SJB36" s="545"/>
      <c r="SJC36" s="545"/>
      <c r="SJD36" s="545"/>
      <c r="SJE36" s="545"/>
      <c r="SJF36" s="545"/>
      <c r="SJG36" s="545"/>
      <c r="SJH36" s="544"/>
      <c r="SJI36" s="545"/>
      <c r="SJJ36" s="545"/>
      <c r="SJK36" s="545"/>
      <c r="SJL36" s="545"/>
      <c r="SJM36" s="545"/>
      <c r="SJN36" s="545"/>
      <c r="SJO36" s="544"/>
      <c r="SJP36" s="545"/>
      <c r="SJQ36" s="545"/>
      <c r="SJR36" s="545"/>
      <c r="SJS36" s="545"/>
      <c r="SJT36" s="545"/>
      <c r="SJU36" s="545"/>
      <c r="SJV36" s="544"/>
      <c r="SJW36" s="545"/>
      <c r="SJX36" s="545"/>
      <c r="SJY36" s="545"/>
      <c r="SJZ36" s="545"/>
      <c r="SKA36" s="545"/>
      <c r="SKB36" s="545"/>
      <c r="SKC36" s="544"/>
      <c r="SKD36" s="545"/>
      <c r="SKE36" s="545"/>
      <c r="SKF36" s="545"/>
      <c r="SKG36" s="545"/>
      <c r="SKH36" s="545"/>
      <c r="SKI36" s="545"/>
      <c r="SKJ36" s="544"/>
      <c r="SKK36" s="545"/>
      <c r="SKL36" s="545"/>
      <c r="SKM36" s="545"/>
      <c r="SKN36" s="545"/>
      <c r="SKO36" s="545"/>
      <c r="SKP36" s="545"/>
      <c r="SKQ36" s="544"/>
      <c r="SKR36" s="545"/>
      <c r="SKS36" s="545"/>
      <c r="SKT36" s="545"/>
      <c r="SKU36" s="545"/>
      <c r="SKV36" s="545"/>
      <c r="SKW36" s="545"/>
      <c r="SKX36" s="544"/>
      <c r="SKY36" s="545"/>
      <c r="SKZ36" s="545"/>
      <c r="SLA36" s="545"/>
      <c r="SLB36" s="545"/>
      <c r="SLC36" s="545"/>
      <c r="SLD36" s="545"/>
      <c r="SLE36" s="544"/>
      <c r="SLF36" s="545"/>
      <c r="SLG36" s="545"/>
      <c r="SLH36" s="545"/>
      <c r="SLI36" s="545"/>
      <c r="SLJ36" s="545"/>
      <c r="SLK36" s="545"/>
      <c r="SLL36" s="544"/>
      <c r="SLM36" s="545"/>
      <c r="SLN36" s="545"/>
      <c r="SLO36" s="545"/>
      <c r="SLP36" s="545"/>
      <c r="SLQ36" s="545"/>
      <c r="SLR36" s="545"/>
      <c r="SLS36" s="544"/>
      <c r="SLT36" s="545"/>
      <c r="SLU36" s="545"/>
      <c r="SLV36" s="545"/>
      <c r="SLW36" s="545"/>
      <c r="SLX36" s="545"/>
      <c r="SLY36" s="545"/>
      <c r="SLZ36" s="544"/>
      <c r="SMA36" s="545"/>
      <c r="SMB36" s="545"/>
      <c r="SMC36" s="545"/>
      <c r="SMD36" s="545"/>
      <c r="SME36" s="545"/>
      <c r="SMF36" s="545"/>
      <c r="SMG36" s="544"/>
      <c r="SMH36" s="545"/>
      <c r="SMI36" s="545"/>
      <c r="SMJ36" s="545"/>
      <c r="SMK36" s="545"/>
      <c r="SML36" s="545"/>
      <c r="SMM36" s="545"/>
      <c r="SMN36" s="544"/>
      <c r="SMO36" s="545"/>
      <c r="SMP36" s="545"/>
      <c r="SMQ36" s="545"/>
      <c r="SMR36" s="545"/>
      <c r="SMS36" s="545"/>
      <c r="SMT36" s="545"/>
      <c r="SMU36" s="544"/>
      <c r="SMV36" s="545"/>
      <c r="SMW36" s="545"/>
      <c r="SMX36" s="545"/>
      <c r="SMY36" s="545"/>
      <c r="SMZ36" s="545"/>
      <c r="SNA36" s="545"/>
      <c r="SNB36" s="544"/>
      <c r="SNC36" s="545"/>
      <c r="SND36" s="545"/>
      <c r="SNE36" s="545"/>
      <c r="SNF36" s="545"/>
      <c r="SNG36" s="545"/>
      <c r="SNH36" s="545"/>
      <c r="SNI36" s="544"/>
      <c r="SNJ36" s="545"/>
      <c r="SNK36" s="545"/>
      <c r="SNL36" s="545"/>
      <c r="SNM36" s="545"/>
      <c r="SNN36" s="545"/>
      <c r="SNO36" s="545"/>
      <c r="SNP36" s="544"/>
      <c r="SNQ36" s="545"/>
      <c r="SNR36" s="545"/>
      <c r="SNS36" s="545"/>
      <c r="SNT36" s="545"/>
      <c r="SNU36" s="545"/>
      <c r="SNV36" s="545"/>
      <c r="SNW36" s="544"/>
      <c r="SNX36" s="545"/>
      <c r="SNY36" s="545"/>
      <c r="SNZ36" s="545"/>
      <c r="SOA36" s="545"/>
      <c r="SOB36" s="545"/>
      <c r="SOC36" s="545"/>
      <c r="SOD36" s="544"/>
      <c r="SOE36" s="545"/>
      <c r="SOF36" s="545"/>
      <c r="SOG36" s="545"/>
      <c r="SOH36" s="545"/>
      <c r="SOI36" s="545"/>
      <c r="SOJ36" s="545"/>
      <c r="SOK36" s="544"/>
      <c r="SOL36" s="545"/>
      <c r="SOM36" s="545"/>
      <c r="SON36" s="545"/>
      <c r="SOO36" s="545"/>
      <c r="SOP36" s="545"/>
      <c r="SOQ36" s="545"/>
      <c r="SOR36" s="544"/>
      <c r="SOS36" s="545"/>
      <c r="SOT36" s="545"/>
      <c r="SOU36" s="545"/>
      <c r="SOV36" s="545"/>
      <c r="SOW36" s="545"/>
      <c r="SOX36" s="545"/>
      <c r="SOY36" s="544"/>
      <c r="SOZ36" s="545"/>
      <c r="SPA36" s="545"/>
      <c r="SPB36" s="545"/>
      <c r="SPC36" s="545"/>
      <c r="SPD36" s="545"/>
      <c r="SPE36" s="545"/>
      <c r="SPF36" s="544"/>
      <c r="SPG36" s="545"/>
      <c r="SPH36" s="545"/>
      <c r="SPI36" s="545"/>
      <c r="SPJ36" s="545"/>
      <c r="SPK36" s="545"/>
      <c r="SPL36" s="545"/>
      <c r="SPM36" s="544"/>
      <c r="SPN36" s="545"/>
      <c r="SPO36" s="545"/>
      <c r="SPP36" s="545"/>
      <c r="SPQ36" s="545"/>
      <c r="SPR36" s="545"/>
      <c r="SPS36" s="545"/>
      <c r="SPT36" s="544"/>
      <c r="SPU36" s="545"/>
      <c r="SPV36" s="545"/>
      <c r="SPW36" s="545"/>
      <c r="SPX36" s="545"/>
      <c r="SPY36" s="545"/>
      <c r="SPZ36" s="545"/>
      <c r="SQA36" s="544"/>
      <c r="SQB36" s="545"/>
      <c r="SQC36" s="545"/>
      <c r="SQD36" s="545"/>
      <c r="SQE36" s="545"/>
      <c r="SQF36" s="545"/>
      <c r="SQG36" s="545"/>
      <c r="SQH36" s="544"/>
      <c r="SQI36" s="545"/>
      <c r="SQJ36" s="545"/>
      <c r="SQK36" s="545"/>
      <c r="SQL36" s="545"/>
      <c r="SQM36" s="545"/>
      <c r="SQN36" s="545"/>
      <c r="SQO36" s="544"/>
      <c r="SQP36" s="545"/>
      <c r="SQQ36" s="545"/>
      <c r="SQR36" s="545"/>
      <c r="SQS36" s="545"/>
      <c r="SQT36" s="545"/>
      <c r="SQU36" s="545"/>
      <c r="SQV36" s="544"/>
      <c r="SQW36" s="545"/>
      <c r="SQX36" s="545"/>
      <c r="SQY36" s="545"/>
      <c r="SQZ36" s="545"/>
      <c r="SRA36" s="545"/>
      <c r="SRB36" s="545"/>
      <c r="SRC36" s="544"/>
      <c r="SRD36" s="545"/>
      <c r="SRE36" s="545"/>
      <c r="SRF36" s="545"/>
      <c r="SRG36" s="545"/>
      <c r="SRH36" s="545"/>
      <c r="SRI36" s="545"/>
      <c r="SRJ36" s="544"/>
      <c r="SRK36" s="545"/>
      <c r="SRL36" s="545"/>
      <c r="SRM36" s="545"/>
      <c r="SRN36" s="545"/>
      <c r="SRO36" s="545"/>
      <c r="SRP36" s="545"/>
      <c r="SRQ36" s="544"/>
      <c r="SRR36" s="545"/>
      <c r="SRS36" s="545"/>
      <c r="SRT36" s="545"/>
      <c r="SRU36" s="545"/>
      <c r="SRV36" s="545"/>
      <c r="SRW36" s="545"/>
      <c r="SRX36" s="544"/>
      <c r="SRY36" s="545"/>
      <c r="SRZ36" s="545"/>
      <c r="SSA36" s="545"/>
      <c r="SSB36" s="545"/>
      <c r="SSC36" s="545"/>
      <c r="SSD36" s="545"/>
      <c r="SSE36" s="544"/>
      <c r="SSF36" s="545"/>
      <c r="SSG36" s="545"/>
      <c r="SSH36" s="545"/>
      <c r="SSI36" s="545"/>
      <c r="SSJ36" s="545"/>
      <c r="SSK36" s="545"/>
      <c r="SSL36" s="544"/>
      <c r="SSM36" s="545"/>
      <c r="SSN36" s="545"/>
      <c r="SSO36" s="545"/>
      <c r="SSP36" s="545"/>
      <c r="SSQ36" s="545"/>
      <c r="SSR36" s="545"/>
      <c r="SSS36" s="544"/>
      <c r="SST36" s="545"/>
      <c r="SSU36" s="545"/>
      <c r="SSV36" s="545"/>
      <c r="SSW36" s="545"/>
      <c r="SSX36" s="545"/>
      <c r="SSY36" s="545"/>
      <c r="SSZ36" s="544"/>
      <c r="STA36" s="545"/>
      <c r="STB36" s="545"/>
      <c r="STC36" s="545"/>
      <c r="STD36" s="545"/>
      <c r="STE36" s="545"/>
      <c r="STF36" s="545"/>
      <c r="STG36" s="544"/>
      <c r="STH36" s="545"/>
      <c r="STI36" s="545"/>
      <c r="STJ36" s="545"/>
      <c r="STK36" s="545"/>
      <c r="STL36" s="545"/>
      <c r="STM36" s="545"/>
      <c r="STN36" s="544"/>
      <c r="STO36" s="545"/>
      <c r="STP36" s="545"/>
      <c r="STQ36" s="545"/>
      <c r="STR36" s="545"/>
      <c r="STS36" s="545"/>
      <c r="STT36" s="545"/>
      <c r="STU36" s="544"/>
      <c r="STV36" s="545"/>
      <c r="STW36" s="545"/>
      <c r="STX36" s="545"/>
      <c r="STY36" s="545"/>
      <c r="STZ36" s="545"/>
      <c r="SUA36" s="545"/>
      <c r="SUB36" s="544"/>
      <c r="SUC36" s="545"/>
      <c r="SUD36" s="545"/>
      <c r="SUE36" s="545"/>
      <c r="SUF36" s="545"/>
      <c r="SUG36" s="545"/>
      <c r="SUH36" s="545"/>
      <c r="SUI36" s="544"/>
      <c r="SUJ36" s="545"/>
      <c r="SUK36" s="545"/>
      <c r="SUL36" s="545"/>
      <c r="SUM36" s="545"/>
      <c r="SUN36" s="545"/>
      <c r="SUO36" s="545"/>
      <c r="SUP36" s="544"/>
      <c r="SUQ36" s="545"/>
      <c r="SUR36" s="545"/>
      <c r="SUS36" s="545"/>
      <c r="SUT36" s="545"/>
      <c r="SUU36" s="545"/>
      <c r="SUV36" s="545"/>
      <c r="SUW36" s="544"/>
      <c r="SUX36" s="545"/>
      <c r="SUY36" s="545"/>
      <c r="SUZ36" s="545"/>
      <c r="SVA36" s="545"/>
      <c r="SVB36" s="545"/>
      <c r="SVC36" s="545"/>
      <c r="SVD36" s="544"/>
      <c r="SVE36" s="545"/>
      <c r="SVF36" s="545"/>
      <c r="SVG36" s="545"/>
      <c r="SVH36" s="545"/>
      <c r="SVI36" s="545"/>
      <c r="SVJ36" s="545"/>
      <c r="SVK36" s="544"/>
      <c r="SVL36" s="545"/>
      <c r="SVM36" s="545"/>
      <c r="SVN36" s="545"/>
      <c r="SVO36" s="545"/>
      <c r="SVP36" s="545"/>
      <c r="SVQ36" s="545"/>
      <c r="SVR36" s="544"/>
      <c r="SVS36" s="545"/>
      <c r="SVT36" s="545"/>
      <c r="SVU36" s="545"/>
      <c r="SVV36" s="545"/>
      <c r="SVW36" s="545"/>
      <c r="SVX36" s="545"/>
      <c r="SVY36" s="544"/>
      <c r="SVZ36" s="545"/>
      <c r="SWA36" s="545"/>
      <c r="SWB36" s="545"/>
      <c r="SWC36" s="545"/>
      <c r="SWD36" s="545"/>
      <c r="SWE36" s="545"/>
      <c r="SWF36" s="544"/>
      <c r="SWG36" s="545"/>
      <c r="SWH36" s="545"/>
      <c r="SWI36" s="545"/>
      <c r="SWJ36" s="545"/>
      <c r="SWK36" s="545"/>
      <c r="SWL36" s="545"/>
      <c r="SWM36" s="544"/>
      <c r="SWN36" s="545"/>
      <c r="SWO36" s="545"/>
      <c r="SWP36" s="545"/>
      <c r="SWQ36" s="545"/>
      <c r="SWR36" s="545"/>
      <c r="SWS36" s="545"/>
      <c r="SWT36" s="544"/>
      <c r="SWU36" s="545"/>
      <c r="SWV36" s="545"/>
      <c r="SWW36" s="545"/>
      <c r="SWX36" s="545"/>
      <c r="SWY36" s="545"/>
      <c r="SWZ36" s="545"/>
      <c r="SXA36" s="544"/>
      <c r="SXB36" s="545"/>
      <c r="SXC36" s="545"/>
      <c r="SXD36" s="545"/>
      <c r="SXE36" s="545"/>
      <c r="SXF36" s="545"/>
      <c r="SXG36" s="545"/>
      <c r="SXH36" s="544"/>
      <c r="SXI36" s="545"/>
      <c r="SXJ36" s="545"/>
      <c r="SXK36" s="545"/>
      <c r="SXL36" s="545"/>
      <c r="SXM36" s="545"/>
      <c r="SXN36" s="545"/>
      <c r="SXO36" s="544"/>
      <c r="SXP36" s="545"/>
      <c r="SXQ36" s="545"/>
      <c r="SXR36" s="545"/>
      <c r="SXS36" s="545"/>
      <c r="SXT36" s="545"/>
      <c r="SXU36" s="545"/>
      <c r="SXV36" s="544"/>
      <c r="SXW36" s="545"/>
      <c r="SXX36" s="545"/>
      <c r="SXY36" s="545"/>
      <c r="SXZ36" s="545"/>
      <c r="SYA36" s="545"/>
      <c r="SYB36" s="545"/>
      <c r="SYC36" s="544"/>
      <c r="SYD36" s="545"/>
      <c r="SYE36" s="545"/>
      <c r="SYF36" s="545"/>
      <c r="SYG36" s="545"/>
      <c r="SYH36" s="545"/>
      <c r="SYI36" s="545"/>
      <c r="SYJ36" s="544"/>
      <c r="SYK36" s="545"/>
      <c r="SYL36" s="545"/>
      <c r="SYM36" s="545"/>
      <c r="SYN36" s="545"/>
      <c r="SYO36" s="545"/>
      <c r="SYP36" s="545"/>
      <c r="SYQ36" s="544"/>
      <c r="SYR36" s="545"/>
      <c r="SYS36" s="545"/>
      <c r="SYT36" s="545"/>
      <c r="SYU36" s="545"/>
      <c r="SYV36" s="545"/>
      <c r="SYW36" s="545"/>
      <c r="SYX36" s="544"/>
      <c r="SYY36" s="545"/>
      <c r="SYZ36" s="545"/>
      <c r="SZA36" s="545"/>
      <c r="SZB36" s="545"/>
      <c r="SZC36" s="545"/>
      <c r="SZD36" s="545"/>
      <c r="SZE36" s="544"/>
      <c r="SZF36" s="545"/>
      <c r="SZG36" s="545"/>
      <c r="SZH36" s="545"/>
      <c r="SZI36" s="545"/>
      <c r="SZJ36" s="545"/>
      <c r="SZK36" s="545"/>
      <c r="SZL36" s="544"/>
      <c r="SZM36" s="545"/>
      <c r="SZN36" s="545"/>
      <c r="SZO36" s="545"/>
      <c r="SZP36" s="545"/>
      <c r="SZQ36" s="545"/>
      <c r="SZR36" s="545"/>
      <c r="SZS36" s="544"/>
      <c r="SZT36" s="545"/>
      <c r="SZU36" s="545"/>
      <c r="SZV36" s="545"/>
      <c r="SZW36" s="545"/>
      <c r="SZX36" s="545"/>
      <c r="SZY36" s="545"/>
      <c r="SZZ36" s="544"/>
      <c r="TAA36" s="545"/>
      <c r="TAB36" s="545"/>
      <c r="TAC36" s="545"/>
      <c r="TAD36" s="545"/>
      <c r="TAE36" s="545"/>
      <c r="TAF36" s="545"/>
      <c r="TAG36" s="544"/>
      <c r="TAH36" s="545"/>
      <c r="TAI36" s="545"/>
      <c r="TAJ36" s="545"/>
      <c r="TAK36" s="545"/>
      <c r="TAL36" s="545"/>
      <c r="TAM36" s="545"/>
      <c r="TAN36" s="544"/>
      <c r="TAO36" s="545"/>
      <c r="TAP36" s="545"/>
      <c r="TAQ36" s="545"/>
      <c r="TAR36" s="545"/>
      <c r="TAS36" s="545"/>
      <c r="TAT36" s="545"/>
      <c r="TAU36" s="544"/>
      <c r="TAV36" s="545"/>
      <c r="TAW36" s="545"/>
      <c r="TAX36" s="545"/>
      <c r="TAY36" s="545"/>
      <c r="TAZ36" s="545"/>
      <c r="TBA36" s="545"/>
      <c r="TBB36" s="544"/>
      <c r="TBC36" s="545"/>
      <c r="TBD36" s="545"/>
      <c r="TBE36" s="545"/>
      <c r="TBF36" s="545"/>
      <c r="TBG36" s="545"/>
      <c r="TBH36" s="545"/>
      <c r="TBI36" s="544"/>
      <c r="TBJ36" s="545"/>
      <c r="TBK36" s="545"/>
      <c r="TBL36" s="545"/>
      <c r="TBM36" s="545"/>
      <c r="TBN36" s="545"/>
      <c r="TBO36" s="545"/>
      <c r="TBP36" s="544"/>
      <c r="TBQ36" s="545"/>
      <c r="TBR36" s="545"/>
      <c r="TBS36" s="545"/>
      <c r="TBT36" s="545"/>
      <c r="TBU36" s="545"/>
      <c r="TBV36" s="545"/>
      <c r="TBW36" s="544"/>
      <c r="TBX36" s="545"/>
      <c r="TBY36" s="545"/>
      <c r="TBZ36" s="545"/>
      <c r="TCA36" s="545"/>
      <c r="TCB36" s="545"/>
      <c r="TCC36" s="545"/>
      <c r="TCD36" s="544"/>
      <c r="TCE36" s="545"/>
      <c r="TCF36" s="545"/>
      <c r="TCG36" s="545"/>
      <c r="TCH36" s="545"/>
      <c r="TCI36" s="545"/>
      <c r="TCJ36" s="545"/>
      <c r="TCK36" s="544"/>
      <c r="TCL36" s="545"/>
      <c r="TCM36" s="545"/>
      <c r="TCN36" s="545"/>
      <c r="TCO36" s="545"/>
      <c r="TCP36" s="545"/>
      <c r="TCQ36" s="545"/>
      <c r="TCR36" s="544"/>
      <c r="TCS36" s="545"/>
      <c r="TCT36" s="545"/>
      <c r="TCU36" s="545"/>
      <c r="TCV36" s="545"/>
      <c r="TCW36" s="545"/>
      <c r="TCX36" s="545"/>
      <c r="TCY36" s="544"/>
      <c r="TCZ36" s="545"/>
      <c r="TDA36" s="545"/>
      <c r="TDB36" s="545"/>
      <c r="TDC36" s="545"/>
      <c r="TDD36" s="545"/>
      <c r="TDE36" s="545"/>
      <c r="TDF36" s="544"/>
      <c r="TDG36" s="545"/>
      <c r="TDH36" s="545"/>
      <c r="TDI36" s="545"/>
      <c r="TDJ36" s="545"/>
      <c r="TDK36" s="545"/>
      <c r="TDL36" s="545"/>
      <c r="TDM36" s="544"/>
      <c r="TDN36" s="545"/>
      <c r="TDO36" s="545"/>
      <c r="TDP36" s="545"/>
      <c r="TDQ36" s="545"/>
      <c r="TDR36" s="545"/>
      <c r="TDS36" s="545"/>
      <c r="TDT36" s="544"/>
      <c r="TDU36" s="545"/>
      <c r="TDV36" s="545"/>
      <c r="TDW36" s="545"/>
      <c r="TDX36" s="545"/>
      <c r="TDY36" s="545"/>
      <c r="TDZ36" s="545"/>
      <c r="TEA36" s="544"/>
      <c r="TEB36" s="545"/>
      <c r="TEC36" s="545"/>
      <c r="TED36" s="545"/>
      <c r="TEE36" s="545"/>
      <c r="TEF36" s="545"/>
      <c r="TEG36" s="545"/>
      <c r="TEH36" s="544"/>
      <c r="TEI36" s="545"/>
      <c r="TEJ36" s="545"/>
      <c r="TEK36" s="545"/>
      <c r="TEL36" s="545"/>
      <c r="TEM36" s="545"/>
      <c r="TEN36" s="545"/>
      <c r="TEO36" s="544"/>
      <c r="TEP36" s="545"/>
      <c r="TEQ36" s="545"/>
      <c r="TER36" s="545"/>
      <c r="TES36" s="545"/>
      <c r="TET36" s="545"/>
      <c r="TEU36" s="545"/>
      <c r="TEV36" s="544"/>
      <c r="TEW36" s="545"/>
      <c r="TEX36" s="545"/>
      <c r="TEY36" s="545"/>
      <c r="TEZ36" s="545"/>
      <c r="TFA36" s="545"/>
      <c r="TFB36" s="545"/>
      <c r="TFC36" s="544"/>
      <c r="TFD36" s="545"/>
      <c r="TFE36" s="545"/>
      <c r="TFF36" s="545"/>
      <c r="TFG36" s="545"/>
      <c r="TFH36" s="545"/>
      <c r="TFI36" s="545"/>
      <c r="TFJ36" s="544"/>
      <c r="TFK36" s="545"/>
      <c r="TFL36" s="545"/>
      <c r="TFM36" s="545"/>
      <c r="TFN36" s="545"/>
      <c r="TFO36" s="545"/>
      <c r="TFP36" s="545"/>
      <c r="TFQ36" s="544"/>
      <c r="TFR36" s="545"/>
      <c r="TFS36" s="545"/>
      <c r="TFT36" s="545"/>
      <c r="TFU36" s="545"/>
      <c r="TFV36" s="545"/>
      <c r="TFW36" s="545"/>
      <c r="TFX36" s="544"/>
      <c r="TFY36" s="545"/>
      <c r="TFZ36" s="545"/>
      <c r="TGA36" s="545"/>
      <c r="TGB36" s="545"/>
      <c r="TGC36" s="545"/>
      <c r="TGD36" s="545"/>
      <c r="TGE36" s="544"/>
      <c r="TGF36" s="545"/>
      <c r="TGG36" s="545"/>
      <c r="TGH36" s="545"/>
      <c r="TGI36" s="545"/>
      <c r="TGJ36" s="545"/>
      <c r="TGK36" s="545"/>
      <c r="TGL36" s="544"/>
      <c r="TGM36" s="545"/>
      <c r="TGN36" s="545"/>
      <c r="TGO36" s="545"/>
      <c r="TGP36" s="545"/>
      <c r="TGQ36" s="545"/>
      <c r="TGR36" s="545"/>
      <c r="TGS36" s="544"/>
      <c r="TGT36" s="545"/>
      <c r="TGU36" s="545"/>
      <c r="TGV36" s="545"/>
      <c r="TGW36" s="545"/>
      <c r="TGX36" s="545"/>
      <c r="TGY36" s="545"/>
      <c r="TGZ36" s="544"/>
      <c r="THA36" s="545"/>
      <c r="THB36" s="545"/>
      <c r="THC36" s="545"/>
      <c r="THD36" s="545"/>
      <c r="THE36" s="545"/>
      <c r="THF36" s="545"/>
      <c r="THG36" s="544"/>
      <c r="THH36" s="545"/>
      <c r="THI36" s="545"/>
      <c r="THJ36" s="545"/>
      <c r="THK36" s="545"/>
      <c r="THL36" s="545"/>
      <c r="THM36" s="545"/>
      <c r="THN36" s="544"/>
      <c r="THO36" s="545"/>
      <c r="THP36" s="545"/>
      <c r="THQ36" s="545"/>
      <c r="THR36" s="545"/>
      <c r="THS36" s="545"/>
      <c r="THT36" s="545"/>
      <c r="THU36" s="544"/>
      <c r="THV36" s="545"/>
      <c r="THW36" s="545"/>
      <c r="THX36" s="545"/>
      <c r="THY36" s="545"/>
      <c r="THZ36" s="545"/>
      <c r="TIA36" s="545"/>
      <c r="TIB36" s="544"/>
      <c r="TIC36" s="545"/>
      <c r="TID36" s="545"/>
      <c r="TIE36" s="545"/>
      <c r="TIF36" s="545"/>
      <c r="TIG36" s="545"/>
      <c r="TIH36" s="545"/>
      <c r="TII36" s="544"/>
      <c r="TIJ36" s="545"/>
      <c r="TIK36" s="545"/>
      <c r="TIL36" s="545"/>
      <c r="TIM36" s="545"/>
      <c r="TIN36" s="545"/>
      <c r="TIO36" s="545"/>
      <c r="TIP36" s="544"/>
      <c r="TIQ36" s="545"/>
      <c r="TIR36" s="545"/>
      <c r="TIS36" s="545"/>
      <c r="TIT36" s="545"/>
      <c r="TIU36" s="545"/>
      <c r="TIV36" s="545"/>
      <c r="TIW36" s="544"/>
      <c r="TIX36" s="545"/>
      <c r="TIY36" s="545"/>
      <c r="TIZ36" s="545"/>
      <c r="TJA36" s="545"/>
      <c r="TJB36" s="545"/>
      <c r="TJC36" s="545"/>
      <c r="TJD36" s="544"/>
      <c r="TJE36" s="545"/>
      <c r="TJF36" s="545"/>
      <c r="TJG36" s="545"/>
      <c r="TJH36" s="545"/>
      <c r="TJI36" s="545"/>
      <c r="TJJ36" s="545"/>
      <c r="TJK36" s="544"/>
      <c r="TJL36" s="545"/>
      <c r="TJM36" s="545"/>
      <c r="TJN36" s="545"/>
      <c r="TJO36" s="545"/>
      <c r="TJP36" s="545"/>
      <c r="TJQ36" s="545"/>
      <c r="TJR36" s="544"/>
      <c r="TJS36" s="545"/>
      <c r="TJT36" s="545"/>
      <c r="TJU36" s="545"/>
      <c r="TJV36" s="545"/>
      <c r="TJW36" s="545"/>
      <c r="TJX36" s="545"/>
      <c r="TJY36" s="544"/>
      <c r="TJZ36" s="545"/>
      <c r="TKA36" s="545"/>
      <c r="TKB36" s="545"/>
      <c r="TKC36" s="545"/>
      <c r="TKD36" s="545"/>
      <c r="TKE36" s="545"/>
      <c r="TKF36" s="544"/>
      <c r="TKG36" s="545"/>
      <c r="TKH36" s="545"/>
      <c r="TKI36" s="545"/>
      <c r="TKJ36" s="545"/>
      <c r="TKK36" s="545"/>
      <c r="TKL36" s="545"/>
      <c r="TKM36" s="544"/>
      <c r="TKN36" s="545"/>
      <c r="TKO36" s="545"/>
      <c r="TKP36" s="545"/>
      <c r="TKQ36" s="545"/>
      <c r="TKR36" s="545"/>
      <c r="TKS36" s="545"/>
      <c r="TKT36" s="544"/>
      <c r="TKU36" s="545"/>
      <c r="TKV36" s="545"/>
      <c r="TKW36" s="545"/>
      <c r="TKX36" s="545"/>
      <c r="TKY36" s="545"/>
      <c r="TKZ36" s="545"/>
      <c r="TLA36" s="544"/>
      <c r="TLB36" s="545"/>
      <c r="TLC36" s="545"/>
      <c r="TLD36" s="545"/>
      <c r="TLE36" s="545"/>
      <c r="TLF36" s="545"/>
      <c r="TLG36" s="545"/>
      <c r="TLH36" s="544"/>
      <c r="TLI36" s="545"/>
      <c r="TLJ36" s="545"/>
      <c r="TLK36" s="545"/>
      <c r="TLL36" s="545"/>
      <c r="TLM36" s="545"/>
      <c r="TLN36" s="545"/>
      <c r="TLO36" s="544"/>
      <c r="TLP36" s="545"/>
      <c r="TLQ36" s="545"/>
      <c r="TLR36" s="545"/>
      <c r="TLS36" s="545"/>
      <c r="TLT36" s="545"/>
      <c r="TLU36" s="545"/>
      <c r="TLV36" s="544"/>
      <c r="TLW36" s="545"/>
      <c r="TLX36" s="545"/>
      <c r="TLY36" s="545"/>
      <c r="TLZ36" s="545"/>
      <c r="TMA36" s="545"/>
      <c r="TMB36" s="545"/>
      <c r="TMC36" s="544"/>
      <c r="TMD36" s="545"/>
      <c r="TME36" s="545"/>
      <c r="TMF36" s="545"/>
      <c r="TMG36" s="545"/>
      <c r="TMH36" s="545"/>
      <c r="TMI36" s="545"/>
      <c r="TMJ36" s="544"/>
      <c r="TMK36" s="545"/>
      <c r="TML36" s="545"/>
      <c r="TMM36" s="545"/>
      <c r="TMN36" s="545"/>
      <c r="TMO36" s="545"/>
      <c r="TMP36" s="545"/>
      <c r="TMQ36" s="544"/>
      <c r="TMR36" s="545"/>
      <c r="TMS36" s="545"/>
      <c r="TMT36" s="545"/>
      <c r="TMU36" s="545"/>
      <c r="TMV36" s="545"/>
      <c r="TMW36" s="545"/>
      <c r="TMX36" s="544"/>
      <c r="TMY36" s="545"/>
      <c r="TMZ36" s="545"/>
      <c r="TNA36" s="545"/>
      <c r="TNB36" s="545"/>
      <c r="TNC36" s="545"/>
      <c r="TND36" s="545"/>
      <c r="TNE36" s="544"/>
      <c r="TNF36" s="545"/>
      <c r="TNG36" s="545"/>
      <c r="TNH36" s="545"/>
      <c r="TNI36" s="545"/>
      <c r="TNJ36" s="545"/>
      <c r="TNK36" s="545"/>
      <c r="TNL36" s="544"/>
      <c r="TNM36" s="545"/>
      <c r="TNN36" s="545"/>
      <c r="TNO36" s="545"/>
      <c r="TNP36" s="545"/>
      <c r="TNQ36" s="545"/>
      <c r="TNR36" s="545"/>
      <c r="TNS36" s="544"/>
      <c r="TNT36" s="545"/>
      <c r="TNU36" s="545"/>
      <c r="TNV36" s="545"/>
      <c r="TNW36" s="545"/>
      <c r="TNX36" s="545"/>
      <c r="TNY36" s="545"/>
      <c r="TNZ36" s="544"/>
      <c r="TOA36" s="545"/>
      <c r="TOB36" s="545"/>
      <c r="TOC36" s="545"/>
      <c r="TOD36" s="545"/>
      <c r="TOE36" s="545"/>
      <c r="TOF36" s="545"/>
      <c r="TOG36" s="544"/>
      <c r="TOH36" s="545"/>
      <c r="TOI36" s="545"/>
      <c r="TOJ36" s="545"/>
      <c r="TOK36" s="545"/>
      <c r="TOL36" s="545"/>
      <c r="TOM36" s="545"/>
      <c r="TON36" s="544"/>
      <c r="TOO36" s="545"/>
      <c r="TOP36" s="545"/>
      <c r="TOQ36" s="545"/>
      <c r="TOR36" s="545"/>
      <c r="TOS36" s="545"/>
      <c r="TOT36" s="545"/>
      <c r="TOU36" s="544"/>
      <c r="TOV36" s="545"/>
      <c r="TOW36" s="545"/>
      <c r="TOX36" s="545"/>
      <c r="TOY36" s="545"/>
      <c r="TOZ36" s="545"/>
      <c r="TPA36" s="545"/>
      <c r="TPB36" s="544"/>
      <c r="TPC36" s="545"/>
      <c r="TPD36" s="545"/>
      <c r="TPE36" s="545"/>
      <c r="TPF36" s="545"/>
      <c r="TPG36" s="545"/>
      <c r="TPH36" s="545"/>
      <c r="TPI36" s="544"/>
      <c r="TPJ36" s="545"/>
      <c r="TPK36" s="545"/>
      <c r="TPL36" s="545"/>
      <c r="TPM36" s="545"/>
      <c r="TPN36" s="545"/>
      <c r="TPO36" s="545"/>
      <c r="TPP36" s="544"/>
      <c r="TPQ36" s="545"/>
      <c r="TPR36" s="545"/>
      <c r="TPS36" s="545"/>
      <c r="TPT36" s="545"/>
      <c r="TPU36" s="545"/>
      <c r="TPV36" s="545"/>
      <c r="TPW36" s="544"/>
      <c r="TPX36" s="545"/>
      <c r="TPY36" s="545"/>
      <c r="TPZ36" s="545"/>
      <c r="TQA36" s="545"/>
      <c r="TQB36" s="545"/>
      <c r="TQC36" s="545"/>
      <c r="TQD36" s="544"/>
      <c r="TQE36" s="545"/>
      <c r="TQF36" s="545"/>
      <c r="TQG36" s="545"/>
      <c r="TQH36" s="545"/>
      <c r="TQI36" s="545"/>
      <c r="TQJ36" s="545"/>
      <c r="TQK36" s="544"/>
      <c r="TQL36" s="545"/>
      <c r="TQM36" s="545"/>
      <c r="TQN36" s="545"/>
      <c r="TQO36" s="545"/>
      <c r="TQP36" s="545"/>
      <c r="TQQ36" s="545"/>
      <c r="TQR36" s="544"/>
      <c r="TQS36" s="545"/>
      <c r="TQT36" s="545"/>
      <c r="TQU36" s="545"/>
      <c r="TQV36" s="545"/>
      <c r="TQW36" s="545"/>
      <c r="TQX36" s="545"/>
      <c r="TQY36" s="544"/>
      <c r="TQZ36" s="545"/>
      <c r="TRA36" s="545"/>
      <c r="TRB36" s="545"/>
      <c r="TRC36" s="545"/>
      <c r="TRD36" s="545"/>
      <c r="TRE36" s="545"/>
      <c r="TRF36" s="544"/>
      <c r="TRG36" s="545"/>
      <c r="TRH36" s="545"/>
      <c r="TRI36" s="545"/>
      <c r="TRJ36" s="545"/>
      <c r="TRK36" s="545"/>
      <c r="TRL36" s="545"/>
      <c r="TRM36" s="544"/>
      <c r="TRN36" s="545"/>
      <c r="TRO36" s="545"/>
      <c r="TRP36" s="545"/>
      <c r="TRQ36" s="545"/>
      <c r="TRR36" s="545"/>
      <c r="TRS36" s="545"/>
      <c r="TRT36" s="544"/>
      <c r="TRU36" s="545"/>
      <c r="TRV36" s="545"/>
      <c r="TRW36" s="545"/>
      <c r="TRX36" s="545"/>
      <c r="TRY36" s="545"/>
      <c r="TRZ36" s="545"/>
      <c r="TSA36" s="544"/>
      <c r="TSB36" s="545"/>
      <c r="TSC36" s="545"/>
      <c r="TSD36" s="545"/>
      <c r="TSE36" s="545"/>
      <c r="TSF36" s="545"/>
      <c r="TSG36" s="545"/>
      <c r="TSH36" s="544"/>
      <c r="TSI36" s="545"/>
      <c r="TSJ36" s="545"/>
      <c r="TSK36" s="545"/>
      <c r="TSL36" s="545"/>
      <c r="TSM36" s="545"/>
      <c r="TSN36" s="545"/>
      <c r="TSO36" s="544"/>
      <c r="TSP36" s="545"/>
      <c r="TSQ36" s="545"/>
      <c r="TSR36" s="545"/>
      <c r="TSS36" s="545"/>
      <c r="TST36" s="545"/>
      <c r="TSU36" s="545"/>
      <c r="TSV36" s="544"/>
      <c r="TSW36" s="545"/>
      <c r="TSX36" s="545"/>
      <c r="TSY36" s="545"/>
      <c r="TSZ36" s="545"/>
      <c r="TTA36" s="545"/>
      <c r="TTB36" s="545"/>
      <c r="TTC36" s="544"/>
      <c r="TTD36" s="545"/>
      <c r="TTE36" s="545"/>
      <c r="TTF36" s="545"/>
      <c r="TTG36" s="545"/>
      <c r="TTH36" s="545"/>
      <c r="TTI36" s="545"/>
      <c r="TTJ36" s="544"/>
      <c r="TTK36" s="545"/>
      <c r="TTL36" s="545"/>
      <c r="TTM36" s="545"/>
      <c r="TTN36" s="545"/>
      <c r="TTO36" s="545"/>
      <c r="TTP36" s="545"/>
      <c r="TTQ36" s="544"/>
      <c r="TTR36" s="545"/>
      <c r="TTS36" s="545"/>
      <c r="TTT36" s="545"/>
      <c r="TTU36" s="545"/>
      <c r="TTV36" s="545"/>
      <c r="TTW36" s="545"/>
      <c r="TTX36" s="544"/>
      <c r="TTY36" s="545"/>
      <c r="TTZ36" s="545"/>
      <c r="TUA36" s="545"/>
      <c r="TUB36" s="545"/>
      <c r="TUC36" s="545"/>
      <c r="TUD36" s="545"/>
      <c r="TUE36" s="544"/>
      <c r="TUF36" s="545"/>
      <c r="TUG36" s="545"/>
      <c r="TUH36" s="545"/>
      <c r="TUI36" s="545"/>
      <c r="TUJ36" s="545"/>
      <c r="TUK36" s="545"/>
      <c r="TUL36" s="544"/>
      <c r="TUM36" s="545"/>
      <c r="TUN36" s="545"/>
      <c r="TUO36" s="545"/>
      <c r="TUP36" s="545"/>
      <c r="TUQ36" s="545"/>
      <c r="TUR36" s="545"/>
      <c r="TUS36" s="544"/>
      <c r="TUT36" s="545"/>
      <c r="TUU36" s="545"/>
      <c r="TUV36" s="545"/>
      <c r="TUW36" s="545"/>
      <c r="TUX36" s="545"/>
      <c r="TUY36" s="545"/>
      <c r="TUZ36" s="544"/>
      <c r="TVA36" s="545"/>
      <c r="TVB36" s="545"/>
      <c r="TVC36" s="545"/>
      <c r="TVD36" s="545"/>
      <c r="TVE36" s="545"/>
      <c r="TVF36" s="545"/>
      <c r="TVG36" s="544"/>
      <c r="TVH36" s="545"/>
      <c r="TVI36" s="545"/>
      <c r="TVJ36" s="545"/>
      <c r="TVK36" s="545"/>
      <c r="TVL36" s="545"/>
      <c r="TVM36" s="545"/>
      <c r="TVN36" s="544"/>
      <c r="TVO36" s="545"/>
      <c r="TVP36" s="545"/>
      <c r="TVQ36" s="545"/>
      <c r="TVR36" s="545"/>
      <c r="TVS36" s="545"/>
      <c r="TVT36" s="545"/>
      <c r="TVU36" s="544"/>
      <c r="TVV36" s="545"/>
      <c r="TVW36" s="545"/>
      <c r="TVX36" s="545"/>
      <c r="TVY36" s="545"/>
      <c r="TVZ36" s="545"/>
      <c r="TWA36" s="545"/>
      <c r="TWB36" s="544"/>
      <c r="TWC36" s="545"/>
      <c r="TWD36" s="545"/>
      <c r="TWE36" s="545"/>
      <c r="TWF36" s="545"/>
      <c r="TWG36" s="545"/>
      <c r="TWH36" s="545"/>
      <c r="TWI36" s="544"/>
      <c r="TWJ36" s="545"/>
      <c r="TWK36" s="545"/>
      <c r="TWL36" s="545"/>
      <c r="TWM36" s="545"/>
      <c r="TWN36" s="545"/>
      <c r="TWO36" s="545"/>
      <c r="TWP36" s="544"/>
      <c r="TWQ36" s="545"/>
      <c r="TWR36" s="545"/>
      <c r="TWS36" s="545"/>
      <c r="TWT36" s="545"/>
      <c r="TWU36" s="545"/>
      <c r="TWV36" s="545"/>
      <c r="TWW36" s="544"/>
      <c r="TWX36" s="545"/>
      <c r="TWY36" s="545"/>
      <c r="TWZ36" s="545"/>
      <c r="TXA36" s="545"/>
      <c r="TXB36" s="545"/>
      <c r="TXC36" s="545"/>
      <c r="TXD36" s="544"/>
      <c r="TXE36" s="545"/>
      <c r="TXF36" s="545"/>
      <c r="TXG36" s="545"/>
      <c r="TXH36" s="545"/>
      <c r="TXI36" s="545"/>
      <c r="TXJ36" s="545"/>
      <c r="TXK36" s="544"/>
      <c r="TXL36" s="545"/>
      <c r="TXM36" s="545"/>
      <c r="TXN36" s="545"/>
      <c r="TXO36" s="545"/>
      <c r="TXP36" s="545"/>
      <c r="TXQ36" s="545"/>
      <c r="TXR36" s="544"/>
      <c r="TXS36" s="545"/>
      <c r="TXT36" s="545"/>
      <c r="TXU36" s="545"/>
      <c r="TXV36" s="545"/>
      <c r="TXW36" s="545"/>
      <c r="TXX36" s="545"/>
      <c r="TXY36" s="544"/>
      <c r="TXZ36" s="545"/>
      <c r="TYA36" s="545"/>
      <c r="TYB36" s="545"/>
      <c r="TYC36" s="545"/>
      <c r="TYD36" s="545"/>
      <c r="TYE36" s="545"/>
      <c r="TYF36" s="544"/>
      <c r="TYG36" s="545"/>
      <c r="TYH36" s="545"/>
      <c r="TYI36" s="545"/>
      <c r="TYJ36" s="545"/>
      <c r="TYK36" s="545"/>
      <c r="TYL36" s="545"/>
      <c r="TYM36" s="544"/>
      <c r="TYN36" s="545"/>
      <c r="TYO36" s="545"/>
      <c r="TYP36" s="545"/>
      <c r="TYQ36" s="545"/>
      <c r="TYR36" s="545"/>
      <c r="TYS36" s="545"/>
      <c r="TYT36" s="544"/>
      <c r="TYU36" s="545"/>
      <c r="TYV36" s="545"/>
      <c r="TYW36" s="545"/>
      <c r="TYX36" s="545"/>
      <c r="TYY36" s="545"/>
      <c r="TYZ36" s="545"/>
      <c r="TZA36" s="544"/>
      <c r="TZB36" s="545"/>
      <c r="TZC36" s="545"/>
      <c r="TZD36" s="545"/>
      <c r="TZE36" s="545"/>
      <c r="TZF36" s="545"/>
      <c r="TZG36" s="545"/>
      <c r="TZH36" s="544"/>
      <c r="TZI36" s="545"/>
      <c r="TZJ36" s="545"/>
      <c r="TZK36" s="545"/>
      <c r="TZL36" s="545"/>
      <c r="TZM36" s="545"/>
      <c r="TZN36" s="545"/>
      <c r="TZO36" s="544"/>
      <c r="TZP36" s="545"/>
      <c r="TZQ36" s="545"/>
      <c r="TZR36" s="545"/>
      <c r="TZS36" s="545"/>
      <c r="TZT36" s="545"/>
      <c r="TZU36" s="545"/>
      <c r="TZV36" s="544"/>
      <c r="TZW36" s="545"/>
      <c r="TZX36" s="545"/>
      <c r="TZY36" s="545"/>
      <c r="TZZ36" s="545"/>
      <c r="UAA36" s="545"/>
      <c r="UAB36" s="545"/>
      <c r="UAC36" s="544"/>
      <c r="UAD36" s="545"/>
      <c r="UAE36" s="545"/>
      <c r="UAF36" s="545"/>
      <c r="UAG36" s="545"/>
      <c r="UAH36" s="545"/>
      <c r="UAI36" s="545"/>
      <c r="UAJ36" s="544"/>
      <c r="UAK36" s="545"/>
      <c r="UAL36" s="545"/>
      <c r="UAM36" s="545"/>
      <c r="UAN36" s="545"/>
      <c r="UAO36" s="545"/>
      <c r="UAP36" s="545"/>
      <c r="UAQ36" s="544"/>
      <c r="UAR36" s="545"/>
      <c r="UAS36" s="545"/>
      <c r="UAT36" s="545"/>
      <c r="UAU36" s="545"/>
      <c r="UAV36" s="545"/>
      <c r="UAW36" s="545"/>
      <c r="UAX36" s="544"/>
      <c r="UAY36" s="545"/>
      <c r="UAZ36" s="545"/>
      <c r="UBA36" s="545"/>
      <c r="UBB36" s="545"/>
      <c r="UBC36" s="545"/>
      <c r="UBD36" s="545"/>
      <c r="UBE36" s="544"/>
      <c r="UBF36" s="545"/>
      <c r="UBG36" s="545"/>
      <c r="UBH36" s="545"/>
      <c r="UBI36" s="545"/>
      <c r="UBJ36" s="545"/>
      <c r="UBK36" s="545"/>
      <c r="UBL36" s="544"/>
      <c r="UBM36" s="545"/>
      <c r="UBN36" s="545"/>
      <c r="UBO36" s="545"/>
      <c r="UBP36" s="545"/>
      <c r="UBQ36" s="545"/>
      <c r="UBR36" s="545"/>
      <c r="UBS36" s="544"/>
      <c r="UBT36" s="545"/>
      <c r="UBU36" s="545"/>
      <c r="UBV36" s="545"/>
      <c r="UBW36" s="545"/>
      <c r="UBX36" s="545"/>
      <c r="UBY36" s="545"/>
      <c r="UBZ36" s="544"/>
      <c r="UCA36" s="545"/>
      <c r="UCB36" s="545"/>
      <c r="UCC36" s="545"/>
      <c r="UCD36" s="545"/>
      <c r="UCE36" s="545"/>
      <c r="UCF36" s="545"/>
      <c r="UCG36" s="544"/>
      <c r="UCH36" s="545"/>
      <c r="UCI36" s="545"/>
      <c r="UCJ36" s="545"/>
      <c r="UCK36" s="545"/>
      <c r="UCL36" s="545"/>
      <c r="UCM36" s="545"/>
      <c r="UCN36" s="544"/>
      <c r="UCO36" s="545"/>
      <c r="UCP36" s="545"/>
      <c r="UCQ36" s="545"/>
      <c r="UCR36" s="545"/>
      <c r="UCS36" s="545"/>
      <c r="UCT36" s="545"/>
      <c r="UCU36" s="544"/>
      <c r="UCV36" s="545"/>
      <c r="UCW36" s="545"/>
      <c r="UCX36" s="545"/>
      <c r="UCY36" s="545"/>
      <c r="UCZ36" s="545"/>
      <c r="UDA36" s="545"/>
      <c r="UDB36" s="544"/>
      <c r="UDC36" s="545"/>
      <c r="UDD36" s="545"/>
      <c r="UDE36" s="545"/>
      <c r="UDF36" s="545"/>
      <c r="UDG36" s="545"/>
      <c r="UDH36" s="545"/>
      <c r="UDI36" s="544"/>
      <c r="UDJ36" s="545"/>
      <c r="UDK36" s="545"/>
      <c r="UDL36" s="545"/>
      <c r="UDM36" s="545"/>
      <c r="UDN36" s="545"/>
      <c r="UDO36" s="545"/>
      <c r="UDP36" s="544"/>
      <c r="UDQ36" s="545"/>
      <c r="UDR36" s="545"/>
      <c r="UDS36" s="545"/>
      <c r="UDT36" s="545"/>
      <c r="UDU36" s="545"/>
      <c r="UDV36" s="545"/>
      <c r="UDW36" s="544"/>
      <c r="UDX36" s="545"/>
      <c r="UDY36" s="545"/>
      <c r="UDZ36" s="545"/>
      <c r="UEA36" s="545"/>
      <c r="UEB36" s="545"/>
      <c r="UEC36" s="545"/>
      <c r="UED36" s="544"/>
      <c r="UEE36" s="545"/>
      <c r="UEF36" s="545"/>
      <c r="UEG36" s="545"/>
      <c r="UEH36" s="545"/>
      <c r="UEI36" s="545"/>
      <c r="UEJ36" s="545"/>
      <c r="UEK36" s="544"/>
      <c r="UEL36" s="545"/>
      <c r="UEM36" s="545"/>
      <c r="UEN36" s="545"/>
      <c r="UEO36" s="545"/>
      <c r="UEP36" s="545"/>
      <c r="UEQ36" s="545"/>
      <c r="UER36" s="544"/>
      <c r="UES36" s="545"/>
      <c r="UET36" s="545"/>
      <c r="UEU36" s="545"/>
      <c r="UEV36" s="545"/>
      <c r="UEW36" s="545"/>
      <c r="UEX36" s="545"/>
      <c r="UEY36" s="544"/>
      <c r="UEZ36" s="545"/>
      <c r="UFA36" s="545"/>
      <c r="UFB36" s="545"/>
      <c r="UFC36" s="545"/>
      <c r="UFD36" s="545"/>
      <c r="UFE36" s="545"/>
      <c r="UFF36" s="544"/>
      <c r="UFG36" s="545"/>
      <c r="UFH36" s="545"/>
      <c r="UFI36" s="545"/>
      <c r="UFJ36" s="545"/>
      <c r="UFK36" s="545"/>
      <c r="UFL36" s="545"/>
      <c r="UFM36" s="544"/>
      <c r="UFN36" s="545"/>
      <c r="UFO36" s="545"/>
      <c r="UFP36" s="545"/>
      <c r="UFQ36" s="545"/>
      <c r="UFR36" s="545"/>
      <c r="UFS36" s="545"/>
      <c r="UFT36" s="544"/>
      <c r="UFU36" s="545"/>
      <c r="UFV36" s="545"/>
      <c r="UFW36" s="545"/>
      <c r="UFX36" s="545"/>
      <c r="UFY36" s="545"/>
      <c r="UFZ36" s="545"/>
      <c r="UGA36" s="544"/>
      <c r="UGB36" s="545"/>
      <c r="UGC36" s="545"/>
      <c r="UGD36" s="545"/>
      <c r="UGE36" s="545"/>
      <c r="UGF36" s="545"/>
      <c r="UGG36" s="545"/>
      <c r="UGH36" s="544"/>
      <c r="UGI36" s="545"/>
      <c r="UGJ36" s="545"/>
      <c r="UGK36" s="545"/>
      <c r="UGL36" s="545"/>
      <c r="UGM36" s="545"/>
      <c r="UGN36" s="545"/>
      <c r="UGO36" s="544"/>
      <c r="UGP36" s="545"/>
      <c r="UGQ36" s="545"/>
      <c r="UGR36" s="545"/>
      <c r="UGS36" s="545"/>
      <c r="UGT36" s="545"/>
      <c r="UGU36" s="545"/>
      <c r="UGV36" s="544"/>
      <c r="UGW36" s="545"/>
      <c r="UGX36" s="545"/>
      <c r="UGY36" s="545"/>
      <c r="UGZ36" s="545"/>
      <c r="UHA36" s="545"/>
      <c r="UHB36" s="545"/>
      <c r="UHC36" s="544"/>
      <c r="UHD36" s="545"/>
      <c r="UHE36" s="545"/>
      <c r="UHF36" s="545"/>
      <c r="UHG36" s="545"/>
      <c r="UHH36" s="545"/>
      <c r="UHI36" s="545"/>
      <c r="UHJ36" s="544"/>
      <c r="UHK36" s="545"/>
      <c r="UHL36" s="545"/>
      <c r="UHM36" s="545"/>
      <c r="UHN36" s="545"/>
      <c r="UHO36" s="545"/>
      <c r="UHP36" s="545"/>
      <c r="UHQ36" s="544"/>
      <c r="UHR36" s="545"/>
      <c r="UHS36" s="545"/>
      <c r="UHT36" s="545"/>
      <c r="UHU36" s="545"/>
      <c r="UHV36" s="545"/>
      <c r="UHW36" s="545"/>
      <c r="UHX36" s="544"/>
      <c r="UHY36" s="545"/>
      <c r="UHZ36" s="545"/>
      <c r="UIA36" s="545"/>
      <c r="UIB36" s="545"/>
      <c r="UIC36" s="545"/>
      <c r="UID36" s="545"/>
      <c r="UIE36" s="544"/>
      <c r="UIF36" s="545"/>
      <c r="UIG36" s="545"/>
      <c r="UIH36" s="545"/>
      <c r="UII36" s="545"/>
      <c r="UIJ36" s="545"/>
      <c r="UIK36" s="545"/>
      <c r="UIL36" s="544"/>
      <c r="UIM36" s="545"/>
      <c r="UIN36" s="545"/>
      <c r="UIO36" s="545"/>
      <c r="UIP36" s="545"/>
      <c r="UIQ36" s="545"/>
      <c r="UIR36" s="545"/>
      <c r="UIS36" s="544"/>
      <c r="UIT36" s="545"/>
      <c r="UIU36" s="545"/>
      <c r="UIV36" s="545"/>
      <c r="UIW36" s="545"/>
      <c r="UIX36" s="545"/>
      <c r="UIY36" s="545"/>
      <c r="UIZ36" s="544"/>
      <c r="UJA36" s="545"/>
      <c r="UJB36" s="545"/>
      <c r="UJC36" s="545"/>
      <c r="UJD36" s="545"/>
      <c r="UJE36" s="545"/>
      <c r="UJF36" s="545"/>
      <c r="UJG36" s="544"/>
      <c r="UJH36" s="545"/>
      <c r="UJI36" s="545"/>
      <c r="UJJ36" s="545"/>
      <c r="UJK36" s="545"/>
      <c r="UJL36" s="545"/>
      <c r="UJM36" s="545"/>
      <c r="UJN36" s="544"/>
      <c r="UJO36" s="545"/>
      <c r="UJP36" s="545"/>
      <c r="UJQ36" s="545"/>
      <c r="UJR36" s="545"/>
      <c r="UJS36" s="545"/>
      <c r="UJT36" s="545"/>
      <c r="UJU36" s="544"/>
      <c r="UJV36" s="545"/>
      <c r="UJW36" s="545"/>
      <c r="UJX36" s="545"/>
      <c r="UJY36" s="545"/>
      <c r="UJZ36" s="545"/>
      <c r="UKA36" s="545"/>
      <c r="UKB36" s="544"/>
      <c r="UKC36" s="545"/>
      <c r="UKD36" s="545"/>
      <c r="UKE36" s="545"/>
      <c r="UKF36" s="545"/>
      <c r="UKG36" s="545"/>
      <c r="UKH36" s="545"/>
      <c r="UKI36" s="544"/>
      <c r="UKJ36" s="545"/>
      <c r="UKK36" s="545"/>
      <c r="UKL36" s="545"/>
      <c r="UKM36" s="545"/>
      <c r="UKN36" s="545"/>
      <c r="UKO36" s="545"/>
      <c r="UKP36" s="544"/>
      <c r="UKQ36" s="545"/>
      <c r="UKR36" s="545"/>
      <c r="UKS36" s="545"/>
      <c r="UKT36" s="545"/>
      <c r="UKU36" s="545"/>
      <c r="UKV36" s="545"/>
      <c r="UKW36" s="544"/>
      <c r="UKX36" s="545"/>
      <c r="UKY36" s="545"/>
      <c r="UKZ36" s="545"/>
      <c r="ULA36" s="545"/>
      <c r="ULB36" s="545"/>
      <c r="ULC36" s="545"/>
      <c r="ULD36" s="544"/>
      <c r="ULE36" s="545"/>
      <c r="ULF36" s="545"/>
      <c r="ULG36" s="545"/>
      <c r="ULH36" s="545"/>
      <c r="ULI36" s="545"/>
      <c r="ULJ36" s="545"/>
      <c r="ULK36" s="544"/>
      <c r="ULL36" s="545"/>
      <c r="ULM36" s="545"/>
      <c r="ULN36" s="545"/>
      <c r="ULO36" s="545"/>
      <c r="ULP36" s="545"/>
      <c r="ULQ36" s="545"/>
      <c r="ULR36" s="544"/>
      <c r="ULS36" s="545"/>
      <c r="ULT36" s="545"/>
      <c r="ULU36" s="545"/>
      <c r="ULV36" s="545"/>
      <c r="ULW36" s="545"/>
      <c r="ULX36" s="545"/>
      <c r="ULY36" s="544"/>
      <c r="ULZ36" s="545"/>
      <c r="UMA36" s="545"/>
      <c r="UMB36" s="545"/>
      <c r="UMC36" s="545"/>
      <c r="UMD36" s="545"/>
      <c r="UME36" s="545"/>
      <c r="UMF36" s="544"/>
      <c r="UMG36" s="545"/>
      <c r="UMH36" s="545"/>
      <c r="UMI36" s="545"/>
      <c r="UMJ36" s="545"/>
      <c r="UMK36" s="545"/>
      <c r="UML36" s="545"/>
      <c r="UMM36" s="544"/>
      <c r="UMN36" s="545"/>
      <c r="UMO36" s="545"/>
      <c r="UMP36" s="545"/>
      <c r="UMQ36" s="545"/>
      <c r="UMR36" s="545"/>
      <c r="UMS36" s="545"/>
      <c r="UMT36" s="544"/>
      <c r="UMU36" s="545"/>
      <c r="UMV36" s="545"/>
      <c r="UMW36" s="545"/>
      <c r="UMX36" s="545"/>
      <c r="UMY36" s="545"/>
      <c r="UMZ36" s="545"/>
      <c r="UNA36" s="544"/>
      <c r="UNB36" s="545"/>
      <c r="UNC36" s="545"/>
      <c r="UND36" s="545"/>
      <c r="UNE36" s="545"/>
      <c r="UNF36" s="545"/>
      <c r="UNG36" s="545"/>
      <c r="UNH36" s="544"/>
      <c r="UNI36" s="545"/>
      <c r="UNJ36" s="545"/>
      <c r="UNK36" s="545"/>
      <c r="UNL36" s="545"/>
      <c r="UNM36" s="545"/>
      <c r="UNN36" s="545"/>
      <c r="UNO36" s="544"/>
      <c r="UNP36" s="545"/>
      <c r="UNQ36" s="545"/>
      <c r="UNR36" s="545"/>
      <c r="UNS36" s="545"/>
      <c r="UNT36" s="545"/>
      <c r="UNU36" s="545"/>
      <c r="UNV36" s="544"/>
      <c r="UNW36" s="545"/>
      <c r="UNX36" s="545"/>
      <c r="UNY36" s="545"/>
      <c r="UNZ36" s="545"/>
      <c r="UOA36" s="545"/>
      <c r="UOB36" s="545"/>
      <c r="UOC36" s="544"/>
      <c r="UOD36" s="545"/>
      <c r="UOE36" s="545"/>
      <c r="UOF36" s="545"/>
      <c r="UOG36" s="545"/>
      <c r="UOH36" s="545"/>
      <c r="UOI36" s="545"/>
      <c r="UOJ36" s="544"/>
      <c r="UOK36" s="545"/>
      <c r="UOL36" s="545"/>
      <c r="UOM36" s="545"/>
      <c r="UON36" s="545"/>
      <c r="UOO36" s="545"/>
      <c r="UOP36" s="545"/>
      <c r="UOQ36" s="544"/>
      <c r="UOR36" s="545"/>
      <c r="UOS36" s="545"/>
      <c r="UOT36" s="545"/>
      <c r="UOU36" s="545"/>
      <c r="UOV36" s="545"/>
      <c r="UOW36" s="545"/>
      <c r="UOX36" s="544"/>
      <c r="UOY36" s="545"/>
      <c r="UOZ36" s="545"/>
      <c r="UPA36" s="545"/>
      <c r="UPB36" s="545"/>
      <c r="UPC36" s="545"/>
      <c r="UPD36" s="545"/>
      <c r="UPE36" s="544"/>
      <c r="UPF36" s="545"/>
      <c r="UPG36" s="545"/>
      <c r="UPH36" s="545"/>
      <c r="UPI36" s="545"/>
      <c r="UPJ36" s="545"/>
      <c r="UPK36" s="545"/>
      <c r="UPL36" s="544"/>
      <c r="UPM36" s="545"/>
      <c r="UPN36" s="545"/>
      <c r="UPO36" s="545"/>
      <c r="UPP36" s="545"/>
      <c r="UPQ36" s="545"/>
      <c r="UPR36" s="545"/>
      <c r="UPS36" s="544"/>
      <c r="UPT36" s="545"/>
      <c r="UPU36" s="545"/>
      <c r="UPV36" s="545"/>
      <c r="UPW36" s="545"/>
      <c r="UPX36" s="545"/>
      <c r="UPY36" s="545"/>
      <c r="UPZ36" s="544"/>
      <c r="UQA36" s="545"/>
      <c r="UQB36" s="545"/>
      <c r="UQC36" s="545"/>
      <c r="UQD36" s="545"/>
      <c r="UQE36" s="545"/>
      <c r="UQF36" s="545"/>
      <c r="UQG36" s="544"/>
      <c r="UQH36" s="545"/>
      <c r="UQI36" s="545"/>
      <c r="UQJ36" s="545"/>
      <c r="UQK36" s="545"/>
      <c r="UQL36" s="545"/>
      <c r="UQM36" s="545"/>
      <c r="UQN36" s="544"/>
      <c r="UQO36" s="545"/>
      <c r="UQP36" s="545"/>
      <c r="UQQ36" s="545"/>
      <c r="UQR36" s="545"/>
      <c r="UQS36" s="545"/>
      <c r="UQT36" s="545"/>
      <c r="UQU36" s="544"/>
      <c r="UQV36" s="545"/>
      <c r="UQW36" s="545"/>
      <c r="UQX36" s="545"/>
      <c r="UQY36" s="545"/>
      <c r="UQZ36" s="545"/>
      <c r="URA36" s="545"/>
      <c r="URB36" s="544"/>
      <c r="URC36" s="545"/>
      <c r="URD36" s="545"/>
      <c r="URE36" s="545"/>
      <c r="URF36" s="545"/>
      <c r="URG36" s="545"/>
      <c r="URH36" s="545"/>
      <c r="URI36" s="544"/>
      <c r="URJ36" s="545"/>
      <c r="URK36" s="545"/>
      <c r="URL36" s="545"/>
      <c r="URM36" s="545"/>
      <c r="URN36" s="545"/>
      <c r="URO36" s="545"/>
      <c r="URP36" s="544"/>
      <c r="URQ36" s="545"/>
      <c r="URR36" s="545"/>
      <c r="URS36" s="545"/>
      <c r="URT36" s="545"/>
      <c r="URU36" s="545"/>
      <c r="URV36" s="545"/>
      <c r="URW36" s="544"/>
      <c r="URX36" s="545"/>
      <c r="URY36" s="545"/>
      <c r="URZ36" s="545"/>
      <c r="USA36" s="545"/>
      <c r="USB36" s="545"/>
      <c r="USC36" s="545"/>
      <c r="USD36" s="544"/>
      <c r="USE36" s="545"/>
      <c r="USF36" s="545"/>
      <c r="USG36" s="545"/>
      <c r="USH36" s="545"/>
      <c r="USI36" s="545"/>
      <c r="USJ36" s="545"/>
      <c r="USK36" s="544"/>
      <c r="USL36" s="545"/>
      <c r="USM36" s="545"/>
      <c r="USN36" s="545"/>
      <c r="USO36" s="545"/>
      <c r="USP36" s="545"/>
      <c r="USQ36" s="545"/>
      <c r="USR36" s="544"/>
      <c r="USS36" s="545"/>
      <c r="UST36" s="545"/>
      <c r="USU36" s="545"/>
      <c r="USV36" s="545"/>
      <c r="USW36" s="545"/>
      <c r="USX36" s="545"/>
      <c r="USY36" s="544"/>
      <c r="USZ36" s="545"/>
      <c r="UTA36" s="545"/>
      <c r="UTB36" s="545"/>
      <c r="UTC36" s="545"/>
      <c r="UTD36" s="545"/>
      <c r="UTE36" s="545"/>
      <c r="UTF36" s="544"/>
      <c r="UTG36" s="545"/>
      <c r="UTH36" s="545"/>
      <c r="UTI36" s="545"/>
      <c r="UTJ36" s="545"/>
      <c r="UTK36" s="545"/>
      <c r="UTL36" s="545"/>
      <c r="UTM36" s="544"/>
      <c r="UTN36" s="545"/>
      <c r="UTO36" s="545"/>
      <c r="UTP36" s="545"/>
      <c r="UTQ36" s="545"/>
      <c r="UTR36" s="545"/>
      <c r="UTS36" s="545"/>
      <c r="UTT36" s="544"/>
      <c r="UTU36" s="545"/>
      <c r="UTV36" s="545"/>
      <c r="UTW36" s="545"/>
      <c r="UTX36" s="545"/>
      <c r="UTY36" s="545"/>
      <c r="UTZ36" s="545"/>
      <c r="UUA36" s="544"/>
      <c r="UUB36" s="545"/>
      <c r="UUC36" s="545"/>
      <c r="UUD36" s="545"/>
      <c r="UUE36" s="545"/>
      <c r="UUF36" s="545"/>
      <c r="UUG36" s="545"/>
      <c r="UUH36" s="544"/>
      <c r="UUI36" s="545"/>
      <c r="UUJ36" s="545"/>
      <c r="UUK36" s="545"/>
      <c r="UUL36" s="545"/>
      <c r="UUM36" s="545"/>
      <c r="UUN36" s="545"/>
      <c r="UUO36" s="544"/>
      <c r="UUP36" s="545"/>
      <c r="UUQ36" s="545"/>
      <c r="UUR36" s="545"/>
      <c r="UUS36" s="545"/>
      <c r="UUT36" s="545"/>
      <c r="UUU36" s="545"/>
      <c r="UUV36" s="544"/>
      <c r="UUW36" s="545"/>
      <c r="UUX36" s="545"/>
      <c r="UUY36" s="545"/>
      <c r="UUZ36" s="545"/>
      <c r="UVA36" s="545"/>
      <c r="UVB36" s="545"/>
      <c r="UVC36" s="544"/>
      <c r="UVD36" s="545"/>
      <c r="UVE36" s="545"/>
      <c r="UVF36" s="545"/>
      <c r="UVG36" s="545"/>
      <c r="UVH36" s="545"/>
      <c r="UVI36" s="545"/>
      <c r="UVJ36" s="544"/>
      <c r="UVK36" s="545"/>
      <c r="UVL36" s="545"/>
      <c r="UVM36" s="545"/>
      <c r="UVN36" s="545"/>
      <c r="UVO36" s="545"/>
      <c r="UVP36" s="545"/>
      <c r="UVQ36" s="544"/>
      <c r="UVR36" s="545"/>
      <c r="UVS36" s="545"/>
      <c r="UVT36" s="545"/>
      <c r="UVU36" s="545"/>
      <c r="UVV36" s="545"/>
      <c r="UVW36" s="545"/>
      <c r="UVX36" s="544"/>
      <c r="UVY36" s="545"/>
      <c r="UVZ36" s="545"/>
      <c r="UWA36" s="545"/>
      <c r="UWB36" s="545"/>
      <c r="UWC36" s="545"/>
      <c r="UWD36" s="545"/>
      <c r="UWE36" s="544"/>
      <c r="UWF36" s="545"/>
      <c r="UWG36" s="545"/>
      <c r="UWH36" s="545"/>
      <c r="UWI36" s="545"/>
      <c r="UWJ36" s="545"/>
      <c r="UWK36" s="545"/>
      <c r="UWL36" s="544"/>
      <c r="UWM36" s="545"/>
      <c r="UWN36" s="545"/>
      <c r="UWO36" s="545"/>
      <c r="UWP36" s="545"/>
      <c r="UWQ36" s="545"/>
      <c r="UWR36" s="545"/>
      <c r="UWS36" s="544"/>
      <c r="UWT36" s="545"/>
      <c r="UWU36" s="545"/>
      <c r="UWV36" s="545"/>
      <c r="UWW36" s="545"/>
      <c r="UWX36" s="545"/>
      <c r="UWY36" s="545"/>
      <c r="UWZ36" s="544"/>
      <c r="UXA36" s="545"/>
      <c r="UXB36" s="545"/>
      <c r="UXC36" s="545"/>
      <c r="UXD36" s="545"/>
      <c r="UXE36" s="545"/>
      <c r="UXF36" s="545"/>
      <c r="UXG36" s="544"/>
      <c r="UXH36" s="545"/>
      <c r="UXI36" s="545"/>
      <c r="UXJ36" s="545"/>
      <c r="UXK36" s="545"/>
      <c r="UXL36" s="545"/>
      <c r="UXM36" s="545"/>
      <c r="UXN36" s="544"/>
      <c r="UXO36" s="545"/>
      <c r="UXP36" s="545"/>
      <c r="UXQ36" s="545"/>
      <c r="UXR36" s="545"/>
      <c r="UXS36" s="545"/>
      <c r="UXT36" s="545"/>
      <c r="UXU36" s="544"/>
      <c r="UXV36" s="545"/>
      <c r="UXW36" s="545"/>
      <c r="UXX36" s="545"/>
      <c r="UXY36" s="545"/>
      <c r="UXZ36" s="545"/>
      <c r="UYA36" s="545"/>
      <c r="UYB36" s="544"/>
      <c r="UYC36" s="545"/>
      <c r="UYD36" s="545"/>
      <c r="UYE36" s="545"/>
      <c r="UYF36" s="545"/>
      <c r="UYG36" s="545"/>
      <c r="UYH36" s="545"/>
      <c r="UYI36" s="544"/>
      <c r="UYJ36" s="545"/>
      <c r="UYK36" s="545"/>
      <c r="UYL36" s="545"/>
      <c r="UYM36" s="545"/>
      <c r="UYN36" s="545"/>
      <c r="UYO36" s="545"/>
      <c r="UYP36" s="544"/>
      <c r="UYQ36" s="545"/>
      <c r="UYR36" s="545"/>
      <c r="UYS36" s="545"/>
      <c r="UYT36" s="545"/>
      <c r="UYU36" s="545"/>
      <c r="UYV36" s="545"/>
      <c r="UYW36" s="544"/>
      <c r="UYX36" s="545"/>
      <c r="UYY36" s="545"/>
      <c r="UYZ36" s="545"/>
      <c r="UZA36" s="545"/>
      <c r="UZB36" s="545"/>
      <c r="UZC36" s="545"/>
      <c r="UZD36" s="544"/>
      <c r="UZE36" s="545"/>
      <c r="UZF36" s="545"/>
      <c r="UZG36" s="545"/>
      <c r="UZH36" s="545"/>
      <c r="UZI36" s="545"/>
      <c r="UZJ36" s="545"/>
      <c r="UZK36" s="544"/>
      <c r="UZL36" s="545"/>
      <c r="UZM36" s="545"/>
      <c r="UZN36" s="545"/>
      <c r="UZO36" s="545"/>
      <c r="UZP36" s="545"/>
      <c r="UZQ36" s="545"/>
      <c r="UZR36" s="544"/>
      <c r="UZS36" s="545"/>
      <c r="UZT36" s="545"/>
      <c r="UZU36" s="545"/>
      <c r="UZV36" s="545"/>
      <c r="UZW36" s="545"/>
      <c r="UZX36" s="545"/>
      <c r="UZY36" s="544"/>
      <c r="UZZ36" s="545"/>
      <c r="VAA36" s="545"/>
      <c r="VAB36" s="545"/>
      <c r="VAC36" s="545"/>
      <c r="VAD36" s="545"/>
      <c r="VAE36" s="545"/>
      <c r="VAF36" s="544"/>
      <c r="VAG36" s="545"/>
      <c r="VAH36" s="545"/>
      <c r="VAI36" s="545"/>
      <c r="VAJ36" s="545"/>
      <c r="VAK36" s="545"/>
      <c r="VAL36" s="545"/>
      <c r="VAM36" s="544"/>
      <c r="VAN36" s="545"/>
      <c r="VAO36" s="545"/>
      <c r="VAP36" s="545"/>
      <c r="VAQ36" s="545"/>
      <c r="VAR36" s="545"/>
      <c r="VAS36" s="545"/>
      <c r="VAT36" s="544"/>
      <c r="VAU36" s="545"/>
      <c r="VAV36" s="545"/>
      <c r="VAW36" s="545"/>
      <c r="VAX36" s="545"/>
      <c r="VAY36" s="545"/>
      <c r="VAZ36" s="545"/>
      <c r="VBA36" s="544"/>
      <c r="VBB36" s="545"/>
      <c r="VBC36" s="545"/>
      <c r="VBD36" s="545"/>
      <c r="VBE36" s="545"/>
      <c r="VBF36" s="545"/>
      <c r="VBG36" s="545"/>
      <c r="VBH36" s="544"/>
      <c r="VBI36" s="545"/>
      <c r="VBJ36" s="545"/>
      <c r="VBK36" s="545"/>
      <c r="VBL36" s="545"/>
      <c r="VBM36" s="545"/>
      <c r="VBN36" s="545"/>
      <c r="VBO36" s="544"/>
      <c r="VBP36" s="545"/>
      <c r="VBQ36" s="545"/>
      <c r="VBR36" s="545"/>
      <c r="VBS36" s="545"/>
      <c r="VBT36" s="545"/>
      <c r="VBU36" s="545"/>
      <c r="VBV36" s="544"/>
      <c r="VBW36" s="545"/>
      <c r="VBX36" s="545"/>
      <c r="VBY36" s="545"/>
      <c r="VBZ36" s="545"/>
      <c r="VCA36" s="545"/>
      <c r="VCB36" s="545"/>
      <c r="VCC36" s="544"/>
      <c r="VCD36" s="545"/>
      <c r="VCE36" s="545"/>
      <c r="VCF36" s="545"/>
      <c r="VCG36" s="545"/>
      <c r="VCH36" s="545"/>
      <c r="VCI36" s="545"/>
      <c r="VCJ36" s="544"/>
      <c r="VCK36" s="545"/>
      <c r="VCL36" s="545"/>
      <c r="VCM36" s="545"/>
      <c r="VCN36" s="545"/>
      <c r="VCO36" s="545"/>
      <c r="VCP36" s="545"/>
      <c r="VCQ36" s="544"/>
      <c r="VCR36" s="545"/>
      <c r="VCS36" s="545"/>
      <c r="VCT36" s="545"/>
      <c r="VCU36" s="545"/>
      <c r="VCV36" s="545"/>
      <c r="VCW36" s="545"/>
      <c r="VCX36" s="544"/>
      <c r="VCY36" s="545"/>
      <c r="VCZ36" s="545"/>
      <c r="VDA36" s="545"/>
      <c r="VDB36" s="545"/>
      <c r="VDC36" s="545"/>
      <c r="VDD36" s="545"/>
      <c r="VDE36" s="544"/>
      <c r="VDF36" s="545"/>
      <c r="VDG36" s="545"/>
      <c r="VDH36" s="545"/>
      <c r="VDI36" s="545"/>
      <c r="VDJ36" s="545"/>
      <c r="VDK36" s="545"/>
      <c r="VDL36" s="544"/>
      <c r="VDM36" s="545"/>
      <c r="VDN36" s="545"/>
      <c r="VDO36" s="545"/>
      <c r="VDP36" s="545"/>
      <c r="VDQ36" s="545"/>
      <c r="VDR36" s="545"/>
      <c r="VDS36" s="544"/>
      <c r="VDT36" s="545"/>
      <c r="VDU36" s="545"/>
      <c r="VDV36" s="545"/>
      <c r="VDW36" s="545"/>
      <c r="VDX36" s="545"/>
      <c r="VDY36" s="545"/>
      <c r="VDZ36" s="544"/>
      <c r="VEA36" s="545"/>
      <c r="VEB36" s="545"/>
      <c r="VEC36" s="545"/>
      <c r="VED36" s="545"/>
      <c r="VEE36" s="545"/>
      <c r="VEF36" s="545"/>
      <c r="VEG36" s="544"/>
      <c r="VEH36" s="545"/>
      <c r="VEI36" s="545"/>
      <c r="VEJ36" s="545"/>
      <c r="VEK36" s="545"/>
      <c r="VEL36" s="545"/>
      <c r="VEM36" s="545"/>
      <c r="VEN36" s="544"/>
      <c r="VEO36" s="545"/>
      <c r="VEP36" s="545"/>
      <c r="VEQ36" s="545"/>
      <c r="VER36" s="545"/>
      <c r="VES36" s="545"/>
      <c r="VET36" s="545"/>
      <c r="VEU36" s="544"/>
      <c r="VEV36" s="545"/>
      <c r="VEW36" s="545"/>
      <c r="VEX36" s="545"/>
      <c r="VEY36" s="545"/>
      <c r="VEZ36" s="545"/>
      <c r="VFA36" s="545"/>
      <c r="VFB36" s="544"/>
      <c r="VFC36" s="545"/>
      <c r="VFD36" s="545"/>
      <c r="VFE36" s="545"/>
      <c r="VFF36" s="545"/>
      <c r="VFG36" s="545"/>
      <c r="VFH36" s="545"/>
      <c r="VFI36" s="544"/>
      <c r="VFJ36" s="545"/>
      <c r="VFK36" s="545"/>
      <c r="VFL36" s="545"/>
      <c r="VFM36" s="545"/>
      <c r="VFN36" s="545"/>
      <c r="VFO36" s="545"/>
      <c r="VFP36" s="544"/>
      <c r="VFQ36" s="545"/>
      <c r="VFR36" s="545"/>
      <c r="VFS36" s="545"/>
      <c r="VFT36" s="545"/>
      <c r="VFU36" s="545"/>
      <c r="VFV36" s="545"/>
      <c r="VFW36" s="544"/>
      <c r="VFX36" s="545"/>
      <c r="VFY36" s="545"/>
      <c r="VFZ36" s="545"/>
      <c r="VGA36" s="545"/>
      <c r="VGB36" s="545"/>
      <c r="VGC36" s="545"/>
      <c r="VGD36" s="544"/>
      <c r="VGE36" s="545"/>
      <c r="VGF36" s="545"/>
      <c r="VGG36" s="545"/>
      <c r="VGH36" s="545"/>
      <c r="VGI36" s="545"/>
      <c r="VGJ36" s="545"/>
      <c r="VGK36" s="544"/>
      <c r="VGL36" s="545"/>
      <c r="VGM36" s="545"/>
      <c r="VGN36" s="545"/>
      <c r="VGO36" s="545"/>
      <c r="VGP36" s="545"/>
      <c r="VGQ36" s="545"/>
      <c r="VGR36" s="544"/>
      <c r="VGS36" s="545"/>
      <c r="VGT36" s="545"/>
      <c r="VGU36" s="545"/>
      <c r="VGV36" s="545"/>
      <c r="VGW36" s="545"/>
      <c r="VGX36" s="545"/>
      <c r="VGY36" s="544"/>
      <c r="VGZ36" s="545"/>
      <c r="VHA36" s="545"/>
      <c r="VHB36" s="545"/>
      <c r="VHC36" s="545"/>
      <c r="VHD36" s="545"/>
      <c r="VHE36" s="545"/>
      <c r="VHF36" s="544"/>
      <c r="VHG36" s="545"/>
      <c r="VHH36" s="545"/>
      <c r="VHI36" s="545"/>
      <c r="VHJ36" s="545"/>
      <c r="VHK36" s="545"/>
      <c r="VHL36" s="545"/>
      <c r="VHM36" s="544"/>
      <c r="VHN36" s="545"/>
      <c r="VHO36" s="545"/>
      <c r="VHP36" s="545"/>
      <c r="VHQ36" s="545"/>
      <c r="VHR36" s="545"/>
      <c r="VHS36" s="545"/>
      <c r="VHT36" s="544"/>
      <c r="VHU36" s="545"/>
      <c r="VHV36" s="545"/>
      <c r="VHW36" s="545"/>
      <c r="VHX36" s="545"/>
      <c r="VHY36" s="545"/>
      <c r="VHZ36" s="545"/>
      <c r="VIA36" s="544"/>
      <c r="VIB36" s="545"/>
      <c r="VIC36" s="545"/>
      <c r="VID36" s="545"/>
      <c r="VIE36" s="545"/>
      <c r="VIF36" s="545"/>
      <c r="VIG36" s="545"/>
      <c r="VIH36" s="544"/>
      <c r="VII36" s="545"/>
      <c r="VIJ36" s="545"/>
      <c r="VIK36" s="545"/>
      <c r="VIL36" s="545"/>
      <c r="VIM36" s="545"/>
      <c r="VIN36" s="545"/>
      <c r="VIO36" s="544"/>
      <c r="VIP36" s="545"/>
      <c r="VIQ36" s="545"/>
      <c r="VIR36" s="545"/>
      <c r="VIS36" s="545"/>
      <c r="VIT36" s="545"/>
      <c r="VIU36" s="545"/>
      <c r="VIV36" s="544"/>
      <c r="VIW36" s="545"/>
      <c r="VIX36" s="545"/>
      <c r="VIY36" s="545"/>
      <c r="VIZ36" s="545"/>
      <c r="VJA36" s="545"/>
      <c r="VJB36" s="545"/>
      <c r="VJC36" s="544"/>
      <c r="VJD36" s="545"/>
      <c r="VJE36" s="545"/>
      <c r="VJF36" s="545"/>
      <c r="VJG36" s="545"/>
      <c r="VJH36" s="545"/>
      <c r="VJI36" s="545"/>
      <c r="VJJ36" s="544"/>
      <c r="VJK36" s="545"/>
      <c r="VJL36" s="545"/>
      <c r="VJM36" s="545"/>
      <c r="VJN36" s="545"/>
      <c r="VJO36" s="545"/>
      <c r="VJP36" s="545"/>
      <c r="VJQ36" s="544"/>
      <c r="VJR36" s="545"/>
      <c r="VJS36" s="545"/>
      <c r="VJT36" s="545"/>
      <c r="VJU36" s="545"/>
      <c r="VJV36" s="545"/>
      <c r="VJW36" s="545"/>
      <c r="VJX36" s="544"/>
      <c r="VJY36" s="545"/>
      <c r="VJZ36" s="545"/>
      <c r="VKA36" s="545"/>
      <c r="VKB36" s="545"/>
      <c r="VKC36" s="545"/>
      <c r="VKD36" s="545"/>
      <c r="VKE36" s="544"/>
      <c r="VKF36" s="545"/>
      <c r="VKG36" s="545"/>
      <c r="VKH36" s="545"/>
      <c r="VKI36" s="545"/>
      <c r="VKJ36" s="545"/>
      <c r="VKK36" s="545"/>
      <c r="VKL36" s="544"/>
      <c r="VKM36" s="545"/>
      <c r="VKN36" s="545"/>
      <c r="VKO36" s="545"/>
      <c r="VKP36" s="545"/>
      <c r="VKQ36" s="545"/>
      <c r="VKR36" s="545"/>
      <c r="VKS36" s="544"/>
      <c r="VKT36" s="545"/>
      <c r="VKU36" s="545"/>
      <c r="VKV36" s="545"/>
      <c r="VKW36" s="545"/>
      <c r="VKX36" s="545"/>
      <c r="VKY36" s="545"/>
      <c r="VKZ36" s="544"/>
      <c r="VLA36" s="545"/>
      <c r="VLB36" s="545"/>
      <c r="VLC36" s="545"/>
      <c r="VLD36" s="545"/>
      <c r="VLE36" s="545"/>
      <c r="VLF36" s="545"/>
      <c r="VLG36" s="544"/>
      <c r="VLH36" s="545"/>
      <c r="VLI36" s="545"/>
      <c r="VLJ36" s="545"/>
      <c r="VLK36" s="545"/>
      <c r="VLL36" s="545"/>
      <c r="VLM36" s="545"/>
      <c r="VLN36" s="544"/>
      <c r="VLO36" s="545"/>
      <c r="VLP36" s="545"/>
      <c r="VLQ36" s="545"/>
      <c r="VLR36" s="545"/>
      <c r="VLS36" s="545"/>
      <c r="VLT36" s="545"/>
      <c r="VLU36" s="544"/>
      <c r="VLV36" s="545"/>
      <c r="VLW36" s="545"/>
      <c r="VLX36" s="545"/>
      <c r="VLY36" s="545"/>
      <c r="VLZ36" s="545"/>
      <c r="VMA36" s="545"/>
      <c r="VMB36" s="544"/>
      <c r="VMC36" s="545"/>
      <c r="VMD36" s="545"/>
      <c r="VME36" s="545"/>
      <c r="VMF36" s="545"/>
      <c r="VMG36" s="545"/>
      <c r="VMH36" s="545"/>
      <c r="VMI36" s="544"/>
      <c r="VMJ36" s="545"/>
      <c r="VMK36" s="545"/>
      <c r="VML36" s="545"/>
      <c r="VMM36" s="545"/>
      <c r="VMN36" s="545"/>
      <c r="VMO36" s="545"/>
      <c r="VMP36" s="544"/>
      <c r="VMQ36" s="545"/>
      <c r="VMR36" s="545"/>
      <c r="VMS36" s="545"/>
      <c r="VMT36" s="545"/>
      <c r="VMU36" s="545"/>
      <c r="VMV36" s="545"/>
      <c r="VMW36" s="544"/>
      <c r="VMX36" s="545"/>
      <c r="VMY36" s="545"/>
      <c r="VMZ36" s="545"/>
      <c r="VNA36" s="545"/>
      <c r="VNB36" s="545"/>
      <c r="VNC36" s="545"/>
      <c r="VND36" s="544"/>
      <c r="VNE36" s="545"/>
      <c r="VNF36" s="545"/>
      <c r="VNG36" s="545"/>
      <c r="VNH36" s="545"/>
      <c r="VNI36" s="545"/>
      <c r="VNJ36" s="545"/>
      <c r="VNK36" s="544"/>
      <c r="VNL36" s="545"/>
      <c r="VNM36" s="545"/>
      <c r="VNN36" s="545"/>
      <c r="VNO36" s="545"/>
      <c r="VNP36" s="545"/>
      <c r="VNQ36" s="545"/>
      <c r="VNR36" s="544"/>
      <c r="VNS36" s="545"/>
      <c r="VNT36" s="545"/>
      <c r="VNU36" s="545"/>
      <c r="VNV36" s="545"/>
      <c r="VNW36" s="545"/>
      <c r="VNX36" s="545"/>
      <c r="VNY36" s="544"/>
      <c r="VNZ36" s="545"/>
      <c r="VOA36" s="545"/>
      <c r="VOB36" s="545"/>
      <c r="VOC36" s="545"/>
      <c r="VOD36" s="545"/>
      <c r="VOE36" s="545"/>
      <c r="VOF36" s="544"/>
      <c r="VOG36" s="545"/>
      <c r="VOH36" s="545"/>
      <c r="VOI36" s="545"/>
      <c r="VOJ36" s="545"/>
      <c r="VOK36" s="545"/>
      <c r="VOL36" s="545"/>
      <c r="VOM36" s="544"/>
      <c r="VON36" s="545"/>
      <c r="VOO36" s="545"/>
      <c r="VOP36" s="545"/>
      <c r="VOQ36" s="545"/>
      <c r="VOR36" s="545"/>
      <c r="VOS36" s="545"/>
      <c r="VOT36" s="544"/>
      <c r="VOU36" s="545"/>
      <c r="VOV36" s="545"/>
      <c r="VOW36" s="545"/>
      <c r="VOX36" s="545"/>
      <c r="VOY36" s="545"/>
      <c r="VOZ36" s="545"/>
      <c r="VPA36" s="544"/>
      <c r="VPB36" s="545"/>
      <c r="VPC36" s="545"/>
      <c r="VPD36" s="545"/>
      <c r="VPE36" s="545"/>
      <c r="VPF36" s="545"/>
      <c r="VPG36" s="545"/>
      <c r="VPH36" s="544"/>
      <c r="VPI36" s="545"/>
      <c r="VPJ36" s="545"/>
      <c r="VPK36" s="545"/>
      <c r="VPL36" s="545"/>
      <c r="VPM36" s="545"/>
      <c r="VPN36" s="545"/>
      <c r="VPO36" s="544"/>
      <c r="VPP36" s="545"/>
      <c r="VPQ36" s="545"/>
      <c r="VPR36" s="545"/>
      <c r="VPS36" s="545"/>
      <c r="VPT36" s="545"/>
      <c r="VPU36" s="545"/>
      <c r="VPV36" s="544"/>
      <c r="VPW36" s="545"/>
      <c r="VPX36" s="545"/>
      <c r="VPY36" s="545"/>
      <c r="VPZ36" s="545"/>
      <c r="VQA36" s="545"/>
      <c r="VQB36" s="545"/>
      <c r="VQC36" s="544"/>
      <c r="VQD36" s="545"/>
      <c r="VQE36" s="545"/>
      <c r="VQF36" s="545"/>
      <c r="VQG36" s="545"/>
      <c r="VQH36" s="545"/>
      <c r="VQI36" s="545"/>
      <c r="VQJ36" s="544"/>
      <c r="VQK36" s="545"/>
      <c r="VQL36" s="545"/>
      <c r="VQM36" s="545"/>
      <c r="VQN36" s="545"/>
      <c r="VQO36" s="545"/>
      <c r="VQP36" s="545"/>
      <c r="VQQ36" s="544"/>
      <c r="VQR36" s="545"/>
      <c r="VQS36" s="545"/>
      <c r="VQT36" s="545"/>
      <c r="VQU36" s="545"/>
      <c r="VQV36" s="545"/>
      <c r="VQW36" s="545"/>
      <c r="VQX36" s="544"/>
      <c r="VQY36" s="545"/>
      <c r="VQZ36" s="545"/>
      <c r="VRA36" s="545"/>
      <c r="VRB36" s="545"/>
      <c r="VRC36" s="545"/>
      <c r="VRD36" s="545"/>
      <c r="VRE36" s="544"/>
      <c r="VRF36" s="545"/>
      <c r="VRG36" s="545"/>
      <c r="VRH36" s="545"/>
      <c r="VRI36" s="545"/>
      <c r="VRJ36" s="545"/>
      <c r="VRK36" s="545"/>
      <c r="VRL36" s="544"/>
      <c r="VRM36" s="545"/>
      <c r="VRN36" s="545"/>
      <c r="VRO36" s="545"/>
      <c r="VRP36" s="545"/>
      <c r="VRQ36" s="545"/>
      <c r="VRR36" s="545"/>
      <c r="VRS36" s="544"/>
      <c r="VRT36" s="545"/>
      <c r="VRU36" s="545"/>
      <c r="VRV36" s="545"/>
      <c r="VRW36" s="545"/>
      <c r="VRX36" s="545"/>
      <c r="VRY36" s="545"/>
      <c r="VRZ36" s="544"/>
      <c r="VSA36" s="545"/>
      <c r="VSB36" s="545"/>
      <c r="VSC36" s="545"/>
      <c r="VSD36" s="545"/>
      <c r="VSE36" s="545"/>
      <c r="VSF36" s="545"/>
      <c r="VSG36" s="544"/>
      <c r="VSH36" s="545"/>
      <c r="VSI36" s="545"/>
      <c r="VSJ36" s="545"/>
      <c r="VSK36" s="545"/>
      <c r="VSL36" s="545"/>
      <c r="VSM36" s="545"/>
      <c r="VSN36" s="544"/>
      <c r="VSO36" s="545"/>
      <c r="VSP36" s="545"/>
      <c r="VSQ36" s="545"/>
      <c r="VSR36" s="545"/>
      <c r="VSS36" s="545"/>
      <c r="VST36" s="545"/>
      <c r="VSU36" s="544"/>
      <c r="VSV36" s="545"/>
      <c r="VSW36" s="545"/>
      <c r="VSX36" s="545"/>
      <c r="VSY36" s="545"/>
      <c r="VSZ36" s="545"/>
      <c r="VTA36" s="545"/>
      <c r="VTB36" s="544"/>
      <c r="VTC36" s="545"/>
      <c r="VTD36" s="545"/>
      <c r="VTE36" s="545"/>
      <c r="VTF36" s="545"/>
      <c r="VTG36" s="545"/>
      <c r="VTH36" s="545"/>
      <c r="VTI36" s="544"/>
      <c r="VTJ36" s="545"/>
      <c r="VTK36" s="545"/>
      <c r="VTL36" s="545"/>
      <c r="VTM36" s="545"/>
      <c r="VTN36" s="545"/>
      <c r="VTO36" s="545"/>
      <c r="VTP36" s="544"/>
      <c r="VTQ36" s="545"/>
      <c r="VTR36" s="545"/>
      <c r="VTS36" s="545"/>
      <c r="VTT36" s="545"/>
      <c r="VTU36" s="545"/>
      <c r="VTV36" s="545"/>
      <c r="VTW36" s="544"/>
      <c r="VTX36" s="545"/>
      <c r="VTY36" s="545"/>
      <c r="VTZ36" s="545"/>
      <c r="VUA36" s="545"/>
      <c r="VUB36" s="545"/>
      <c r="VUC36" s="545"/>
      <c r="VUD36" s="544"/>
      <c r="VUE36" s="545"/>
      <c r="VUF36" s="545"/>
      <c r="VUG36" s="545"/>
      <c r="VUH36" s="545"/>
      <c r="VUI36" s="545"/>
      <c r="VUJ36" s="545"/>
      <c r="VUK36" s="544"/>
      <c r="VUL36" s="545"/>
      <c r="VUM36" s="545"/>
      <c r="VUN36" s="545"/>
      <c r="VUO36" s="545"/>
      <c r="VUP36" s="545"/>
      <c r="VUQ36" s="545"/>
      <c r="VUR36" s="544"/>
      <c r="VUS36" s="545"/>
      <c r="VUT36" s="545"/>
      <c r="VUU36" s="545"/>
      <c r="VUV36" s="545"/>
      <c r="VUW36" s="545"/>
      <c r="VUX36" s="545"/>
      <c r="VUY36" s="544"/>
      <c r="VUZ36" s="545"/>
      <c r="VVA36" s="545"/>
      <c r="VVB36" s="545"/>
      <c r="VVC36" s="545"/>
      <c r="VVD36" s="545"/>
      <c r="VVE36" s="545"/>
      <c r="VVF36" s="544"/>
      <c r="VVG36" s="545"/>
      <c r="VVH36" s="545"/>
      <c r="VVI36" s="545"/>
      <c r="VVJ36" s="545"/>
      <c r="VVK36" s="545"/>
      <c r="VVL36" s="545"/>
      <c r="VVM36" s="544"/>
      <c r="VVN36" s="545"/>
      <c r="VVO36" s="545"/>
      <c r="VVP36" s="545"/>
      <c r="VVQ36" s="545"/>
      <c r="VVR36" s="545"/>
      <c r="VVS36" s="545"/>
      <c r="VVT36" s="544"/>
      <c r="VVU36" s="545"/>
      <c r="VVV36" s="545"/>
      <c r="VVW36" s="545"/>
      <c r="VVX36" s="545"/>
      <c r="VVY36" s="545"/>
      <c r="VVZ36" s="545"/>
      <c r="VWA36" s="544"/>
      <c r="VWB36" s="545"/>
      <c r="VWC36" s="545"/>
      <c r="VWD36" s="545"/>
      <c r="VWE36" s="545"/>
      <c r="VWF36" s="545"/>
      <c r="VWG36" s="545"/>
      <c r="VWH36" s="544"/>
      <c r="VWI36" s="545"/>
      <c r="VWJ36" s="545"/>
      <c r="VWK36" s="545"/>
      <c r="VWL36" s="545"/>
      <c r="VWM36" s="545"/>
      <c r="VWN36" s="545"/>
      <c r="VWO36" s="544"/>
      <c r="VWP36" s="545"/>
      <c r="VWQ36" s="545"/>
      <c r="VWR36" s="545"/>
      <c r="VWS36" s="545"/>
      <c r="VWT36" s="545"/>
      <c r="VWU36" s="545"/>
      <c r="VWV36" s="544"/>
      <c r="VWW36" s="545"/>
      <c r="VWX36" s="545"/>
      <c r="VWY36" s="545"/>
      <c r="VWZ36" s="545"/>
      <c r="VXA36" s="545"/>
      <c r="VXB36" s="545"/>
      <c r="VXC36" s="544"/>
      <c r="VXD36" s="545"/>
      <c r="VXE36" s="545"/>
      <c r="VXF36" s="545"/>
      <c r="VXG36" s="545"/>
      <c r="VXH36" s="545"/>
      <c r="VXI36" s="545"/>
      <c r="VXJ36" s="544"/>
      <c r="VXK36" s="545"/>
      <c r="VXL36" s="545"/>
      <c r="VXM36" s="545"/>
      <c r="VXN36" s="545"/>
      <c r="VXO36" s="545"/>
      <c r="VXP36" s="545"/>
      <c r="VXQ36" s="544"/>
      <c r="VXR36" s="545"/>
      <c r="VXS36" s="545"/>
      <c r="VXT36" s="545"/>
      <c r="VXU36" s="545"/>
      <c r="VXV36" s="545"/>
      <c r="VXW36" s="545"/>
      <c r="VXX36" s="544"/>
      <c r="VXY36" s="545"/>
      <c r="VXZ36" s="545"/>
      <c r="VYA36" s="545"/>
      <c r="VYB36" s="545"/>
      <c r="VYC36" s="545"/>
      <c r="VYD36" s="545"/>
      <c r="VYE36" s="544"/>
      <c r="VYF36" s="545"/>
      <c r="VYG36" s="545"/>
      <c r="VYH36" s="545"/>
      <c r="VYI36" s="545"/>
      <c r="VYJ36" s="545"/>
      <c r="VYK36" s="545"/>
      <c r="VYL36" s="544"/>
      <c r="VYM36" s="545"/>
      <c r="VYN36" s="545"/>
      <c r="VYO36" s="545"/>
      <c r="VYP36" s="545"/>
      <c r="VYQ36" s="545"/>
      <c r="VYR36" s="545"/>
      <c r="VYS36" s="544"/>
      <c r="VYT36" s="545"/>
      <c r="VYU36" s="545"/>
      <c r="VYV36" s="545"/>
      <c r="VYW36" s="545"/>
      <c r="VYX36" s="545"/>
      <c r="VYY36" s="545"/>
      <c r="VYZ36" s="544"/>
      <c r="VZA36" s="545"/>
      <c r="VZB36" s="545"/>
      <c r="VZC36" s="545"/>
      <c r="VZD36" s="545"/>
      <c r="VZE36" s="545"/>
      <c r="VZF36" s="545"/>
      <c r="VZG36" s="544"/>
      <c r="VZH36" s="545"/>
      <c r="VZI36" s="545"/>
      <c r="VZJ36" s="545"/>
      <c r="VZK36" s="545"/>
      <c r="VZL36" s="545"/>
      <c r="VZM36" s="545"/>
      <c r="VZN36" s="544"/>
      <c r="VZO36" s="545"/>
      <c r="VZP36" s="545"/>
      <c r="VZQ36" s="545"/>
      <c r="VZR36" s="545"/>
      <c r="VZS36" s="545"/>
      <c r="VZT36" s="545"/>
      <c r="VZU36" s="544"/>
      <c r="VZV36" s="545"/>
      <c r="VZW36" s="545"/>
      <c r="VZX36" s="545"/>
      <c r="VZY36" s="545"/>
      <c r="VZZ36" s="545"/>
      <c r="WAA36" s="545"/>
      <c r="WAB36" s="544"/>
      <c r="WAC36" s="545"/>
      <c r="WAD36" s="545"/>
      <c r="WAE36" s="545"/>
      <c r="WAF36" s="545"/>
      <c r="WAG36" s="545"/>
      <c r="WAH36" s="545"/>
      <c r="WAI36" s="544"/>
      <c r="WAJ36" s="545"/>
      <c r="WAK36" s="545"/>
      <c r="WAL36" s="545"/>
      <c r="WAM36" s="545"/>
      <c r="WAN36" s="545"/>
      <c r="WAO36" s="545"/>
      <c r="WAP36" s="544"/>
      <c r="WAQ36" s="545"/>
      <c r="WAR36" s="545"/>
      <c r="WAS36" s="545"/>
      <c r="WAT36" s="545"/>
      <c r="WAU36" s="545"/>
      <c r="WAV36" s="545"/>
      <c r="WAW36" s="544"/>
      <c r="WAX36" s="545"/>
      <c r="WAY36" s="545"/>
      <c r="WAZ36" s="545"/>
      <c r="WBA36" s="545"/>
      <c r="WBB36" s="545"/>
      <c r="WBC36" s="545"/>
      <c r="WBD36" s="544"/>
      <c r="WBE36" s="545"/>
      <c r="WBF36" s="545"/>
      <c r="WBG36" s="545"/>
      <c r="WBH36" s="545"/>
      <c r="WBI36" s="545"/>
      <c r="WBJ36" s="545"/>
      <c r="WBK36" s="544"/>
      <c r="WBL36" s="545"/>
      <c r="WBM36" s="545"/>
      <c r="WBN36" s="545"/>
      <c r="WBO36" s="545"/>
      <c r="WBP36" s="545"/>
      <c r="WBQ36" s="545"/>
      <c r="WBR36" s="544"/>
      <c r="WBS36" s="545"/>
      <c r="WBT36" s="545"/>
      <c r="WBU36" s="545"/>
      <c r="WBV36" s="545"/>
      <c r="WBW36" s="545"/>
      <c r="WBX36" s="545"/>
      <c r="WBY36" s="544"/>
      <c r="WBZ36" s="545"/>
      <c r="WCA36" s="545"/>
      <c r="WCB36" s="545"/>
      <c r="WCC36" s="545"/>
      <c r="WCD36" s="545"/>
      <c r="WCE36" s="545"/>
      <c r="WCF36" s="544"/>
      <c r="WCG36" s="545"/>
      <c r="WCH36" s="545"/>
      <c r="WCI36" s="545"/>
      <c r="WCJ36" s="545"/>
      <c r="WCK36" s="545"/>
      <c r="WCL36" s="545"/>
      <c r="WCM36" s="544"/>
      <c r="WCN36" s="545"/>
      <c r="WCO36" s="545"/>
      <c r="WCP36" s="545"/>
      <c r="WCQ36" s="545"/>
      <c r="WCR36" s="545"/>
      <c r="WCS36" s="545"/>
      <c r="WCT36" s="544"/>
      <c r="WCU36" s="545"/>
      <c r="WCV36" s="545"/>
      <c r="WCW36" s="545"/>
      <c r="WCX36" s="545"/>
      <c r="WCY36" s="545"/>
      <c r="WCZ36" s="545"/>
      <c r="WDA36" s="544"/>
      <c r="WDB36" s="545"/>
      <c r="WDC36" s="545"/>
      <c r="WDD36" s="545"/>
      <c r="WDE36" s="545"/>
      <c r="WDF36" s="545"/>
      <c r="WDG36" s="545"/>
      <c r="WDH36" s="544"/>
      <c r="WDI36" s="545"/>
      <c r="WDJ36" s="545"/>
      <c r="WDK36" s="545"/>
      <c r="WDL36" s="545"/>
      <c r="WDM36" s="545"/>
      <c r="WDN36" s="545"/>
      <c r="WDO36" s="544"/>
      <c r="WDP36" s="545"/>
      <c r="WDQ36" s="545"/>
      <c r="WDR36" s="545"/>
      <c r="WDS36" s="545"/>
      <c r="WDT36" s="545"/>
      <c r="WDU36" s="545"/>
      <c r="WDV36" s="544"/>
      <c r="WDW36" s="545"/>
      <c r="WDX36" s="545"/>
      <c r="WDY36" s="545"/>
      <c r="WDZ36" s="545"/>
      <c r="WEA36" s="545"/>
      <c r="WEB36" s="545"/>
      <c r="WEC36" s="544"/>
      <c r="WED36" s="545"/>
      <c r="WEE36" s="545"/>
      <c r="WEF36" s="545"/>
      <c r="WEG36" s="545"/>
      <c r="WEH36" s="545"/>
      <c r="WEI36" s="545"/>
      <c r="WEJ36" s="544"/>
      <c r="WEK36" s="545"/>
      <c r="WEL36" s="545"/>
      <c r="WEM36" s="545"/>
      <c r="WEN36" s="545"/>
      <c r="WEO36" s="545"/>
      <c r="WEP36" s="545"/>
      <c r="WEQ36" s="544"/>
      <c r="WER36" s="545"/>
      <c r="WES36" s="545"/>
      <c r="WET36" s="545"/>
      <c r="WEU36" s="545"/>
      <c r="WEV36" s="545"/>
      <c r="WEW36" s="545"/>
      <c r="WEX36" s="544"/>
      <c r="WEY36" s="545"/>
      <c r="WEZ36" s="545"/>
      <c r="WFA36" s="545"/>
      <c r="WFB36" s="545"/>
      <c r="WFC36" s="545"/>
      <c r="WFD36" s="545"/>
      <c r="WFE36" s="544"/>
      <c r="WFF36" s="545"/>
      <c r="WFG36" s="545"/>
      <c r="WFH36" s="545"/>
      <c r="WFI36" s="545"/>
      <c r="WFJ36" s="545"/>
      <c r="WFK36" s="545"/>
      <c r="WFL36" s="544"/>
      <c r="WFM36" s="545"/>
      <c r="WFN36" s="545"/>
      <c r="WFO36" s="545"/>
      <c r="WFP36" s="545"/>
      <c r="WFQ36" s="545"/>
      <c r="WFR36" s="545"/>
      <c r="WFS36" s="544"/>
      <c r="WFT36" s="545"/>
      <c r="WFU36" s="545"/>
      <c r="WFV36" s="545"/>
      <c r="WFW36" s="545"/>
      <c r="WFX36" s="545"/>
      <c r="WFY36" s="545"/>
      <c r="WFZ36" s="544"/>
      <c r="WGA36" s="545"/>
      <c r="WGB36" s="545"/>
      <c r="WGC36" s="545"/>
      <c r="WGD36" s="545"/>
      <c r="WGE36" s="545"/>
      <c r="WGF36" s="545"/>
      <c r="WGG36" s="544"/>
      <c r="WGH36" s="545"/>
      <c r="WGI36" s="545"/>
      <c r="WGJ36" s="545"/>
      <c r="WGK36" s="545"/>
      <c r="WGL36" s="545"/>
      <c r="WGM36" s="545"/>
      <c r="WGN36" s="544"/>
      <c r="WGO36" s="545"/>
      <c r="WGP36" s="545"/>
      <c r="WGQ36" s="545"/>
      <c r="WGR36" s="545"/>
      <c r="WGS36" s="545"/>
      <c r="WGT36" s="545"/>
      <c r="WGU36" s="544"/>
      <c r="WGV36" s="545"/>
      <c r="WGW36" s="545"/>
      <c r="WGX36" s="545"/>
      <c r="WGY36" s="545"/>
      <c r="WGZ36" s="545"/>
      <c r="WHA36" s="545"/>
      <c r="WHB36" s="544"/>
      <c r="WHC36" s="545"/>
      <c r="WHD36" s="545"/>
      <c r="WHE36" s="545"/>
      <c r="WHF36" s="545"/>
      <c r="WHG36" s="545"/>
      <c r="WHH36" s="545"/>
      <c r="WHI36" s="544"/>
      <c r="WHJ36" s="545"/>
      <c r="WHK36" s="545"/>
      <c r="WHL36" s="545"/>
      <c r="WHM36" s="545"/>
      <c r="WHN36" s="545"/>
      <c r="WHO36" s="545"/>
      <c r="WHP36" s="544"/>
      <c r="WHQ36" s="545"/>
      <c r="WHR36" s="545"/>
      <c r="WHS36" s="545"/>
      <c r="WHT36" s="545"/>
      <c r="WHU36" s="545"/>
      <c r="WHV36" s="545"/>
      <c r="WHW36" s="544"/>
      <c r="WHX36" s="545"/>
      <c r="WHY36" s="545"/>
      <c r="WHZ36" s="545"/>
      <c r="WIA36" s="545"/>
      <c r="WIB36" s="545"/>
      <c r="WIC36" s="545"/>
      <c r="WID36" s="544"/>
      <c r="WIE36" s="545"/>
      <c r="WIF36" s="545"/>
      <c r="WIG36" s="545"/>
      <c r="WIH36" s="545"/>
      <c r="WII36" s="545"/>
      <c r="WIJ36" s="545"/>
      <c r="WIK36" s="544"/>
      <c r="WIL36" s="545"/>
      <c r="WIM36" s="545"/>
      <c r="WIN36" s="545"/>
      <c r="WIO36" s="545"/>
      <c r="WIP36" s="545"/>
      <c r="WIQ36" s="545"/>
      <c r="WIR36" s="544"/>
      <c r="WIS36" s="545"/>
      <c r="WIT36" s="545"/>
      <c r="WIU36" s="545"/>
      <c r="WIV36" s="545"/>
      <c r="WIW36" s="545"/>
      <c r="WIX36" s="545"/>
      <c r="WIY36" s="544"/>
      <c r="WIZ36" s="545"/>
      <c r="WJA36" s="545"/>
      <c r="WJB36" s="545"/>
      <c r="WJC36" s="545"/>
      <c r="WJD36" s="545"/>
      <c r="WJE36" s="545"/>
      <c r="WJF36" s="544"/>
      <c r="WJG36" s="545"/>
      <c r="WJH36" s="545"/>
      <c r="WJI36" s="545"/>
      <c r="WJJ36" s="545"/>
      <c r="WJK36" s="545"/>
      <c r="WJL36" s="545"/>
      <c r="WJM36" s="544"/>
      <c r="WJN36" s="545"/>
      <c r="WJO36" s="545"/>
      <c r="WJP36" s="545"/>
      <c r="WJQ36" s="545"/>
      <c r="WJR36" s="545"/>
      <c r="WJS36" s="545"/>
      <c r="WJT36" s="544"/>
      <c r="WJU36" s="545"/>
      <c r="WJV36" s="545"/>
      <c r="WJW36" s="545"/>
      <c r="WJX36" s="545"/>
      <c r="WJY36" s="545"/>
      <c r="WJZ36" s="545"/>
      <c r="WKA36" s="544"/>
      <c r="WKB36" s="545"/>
      <c r="WKC36" s="545"/>
      <c r="WKD36" s="545"/>
      <c r="WKE36" s="545"/>
      <c r="WKF36" s="545"/>
      <c r="WKG36" s="545"/>
      <c r="WKH36" s="544"/>
      <c r="WKI36" s="545"/>
      <c r="WKJ36" s="545"/>
      <c r="WKK36" s="545"/>
      <c r="WKL36" s="545"/>
      <c r="WKM36" s="545"/>
      <c r="WKN36" s="545"/>
      <c r="WKO36" s="544"/>
      <c r="WKP36" s="545"/>
      <c r="WKQ36" s="545"/>
      <c r="WKR36" s="545"/>
      <c r="WKS36" s="545"/>
      <c r="WKT36" s="545"/>
      <c r="WKU36" s="545"/>
      <c r="WKV36" s="544"/>
      <c r="WKW36" s="545"/>
      <c r="WKX36" s="545"/>
      <c r="WKY36" s="545"/>
      <c r="WKZ36" s="545"/>
      <c r="WLA36" s="545"/>
      <c r="WLB36" s="545"/>
      <c r="WLC36" s="544"/>
      <c r="WLD36" s="545"/>
      <c r="WLE36" s="545"/>
      <c r="WLF36" s="545"/>
      <c r="WLG36" s="545"/>
      <c r="WLH36" s="545"/>
      <c r="WLI36" s="545"/>
      <c r="WLJ36" s="544"/>
      <c r="WLK36" s="545"/>
      <c r="WLL36" s="545"/>
      <c r="WLM36" s="545"/>
      <c r="WLN36" s="545"/>
      <c r="WLO36" s="545"/>
      <c r="WLP36" s="545"/>
      <c r="WLQ36" s="544"/>
      <c r="WLR36" s="545"/>
      <c r="WLS36" s="545"/>
      <c r="WLT36" s="545"/>
      <c r="WLU36" s="545"/>
      <c r="WLV36" s="545"/>
      <c r="WLW36" s="545"/>
      <c r="WLX36" s="544"/>
      <c r="WLY36" s="545"/>
      <c r="WLZ36" s="545"/>
      <c r="WMA36" s="545"/>
      <c r="WMB36" s="545"/>
      <c r="WMC36" s="545"/>
      <c r="WMD36" s="545"/>
      <c r="WME36" s="544"/>
      <c r="WMF36" s="545"/>
      <c r="WMG36" s="545"/>
      <c r="WMH36" s="545"/>
      <c r="WMI36" s="545"/>
      <c r="WMJ36" s="545"/>
      <c r="WMK36" s="545"/>
      <c r="WML36" s="544"/>
      <c r="WMM36" s="545"/>
      <c r="WMN36" s="545"/>
      <c r="WMO36" s="545"/>
      <c r="WMP36" s="545"/>
      <c r="WMQ36" s="545"/>
      <c r="WMR36" s="545"/>
      <c r="WMS36" s="544"/>
      <c r="WMT36" s="545"/>
      <c r="WMU36" s="545"/>
      <c r="WMV36" s="545"/>
      <c r="WMW36" s="545"/>
      <c r="WMX36" s="545"/>
      <c r="WMY36" s="545"/>
      <c r="WMZ36" s="544"/>
      <c r="WNA36" s="545"/>
      <c r="WNB36" s="545"/>
      <c r="WNC36" s="545"/>
      <c r="WND36" s="545"/>
      <c r="WNE36" s="545"/>
      <c r="WNF36" s="545"/>
      <c r="WNG36" s="544"/>
      <c r="WNH36" s="545"/>
      <c r="WNI36" s="545"/>
      <c r="WNJ36" s="545"/>
      <c r="WNK36" s="545"/>
      <c r="WNL36" s="545"/>
      <c r="WNM36" s="545"/>
      <c r="WNN36" s="544"/>
      <c r="WNO36" s="545"/>
      <c r="WNP36" s="545"/>
      <c r="WNQ36" s="545"/>
      <c r="WNR36" s="545"/>
      <c r="WNS36" s="545"/>
      <c r="WNT36" s="545"/>
      <c r="WNU36" s="544"/>
      <c r="WNV36" s="545"/>
      <c r="WNW36" s="545"/>
      <c r="WNX36" s="545"/>
      <c r="WNY36" s="545"/>
      <c r="WNZ36" s="545"/>
      <c r="WOA36" s="545"/>
      <c r="WOB36" s="544"/>
      <c r="WOC36" s="545"/>
      <c r="WOD36" s="545"/>
      <c r="WOE36" s="545"/>
      <c r="WOF36" s="545"/>
      <c r="WOG36" s="545"/>
      <c r="WOH36" s="545"/>
      <c r="WOI36" s="544"/>
      <c r="WOJ36" s="545"/>
      <c r="WOK36" s="545"/>
      <c r="WOL36" s="545"/>
      <c r="WOM36" s="545"/>
      <c r="WON36" s="545"/>
      <c r="WOO36" s="545"/>
      <c r="WOP36" s="544"/>
      <c r="WOQ36" s="545"/>
      <c r="WOR36" s="545"/>
      <c r="WOS36" s="545"/>
      <c r="WOT36" s="545"/>
      <c r="WOU36" s="545"/>
      <c r="WOV36" s="545"/>
      <c r="WOW36" s="544"/>
      <c r="WOX36" s="545"/>
      <c r="WOY36" s="545"/>
      <c r="WOZ36" s="545"/>
      <c r="WPA36" s="545"/>
      <c r="WPB36" s="545"/>
      <c r="WPC36" s="545"/>
      <c r="WPD36" s="544"/>
      <c r="WPE36" s="545"/>
      <c r="WPF36" s="545"/>
      <c r="WPG36" s="545"/>
      <c r="WPH36" s="545"/>
      <c r="WPI36" s="545"/>
      <c r="WPJ36" s="545"/>
      <c r="WPK36" s="544"/>
      <c r="WPL36" s="545"/>
      <c r="WPM36" s="545"/>
      <c r="WPN36" s="545"/>
      <c r="WPO36" s="545"/>
      <c r="WPP36" s="545"/>
      <c r="WPQ36" s="545"/>
      <c r="WPR36" s="544"/>
      <c r="WPS36" s="545"/>
      <c r="WPT36" s="545"/>
      <c r="WPU36" s="545"/>
      <c r="WPV36" s="545"/>
      <c r="WPW36" s="545"/>
      <c r="WPX36" s="545"/>
      <c r="WPY36" s="544"/>
      <c r="WPZ36" s="545"/>
      <c r="WQA36" s="545"/>
      <c r="WQB36" s="545"/>
      <c r="WQC36" s="545"/>
      <c r="WQD36" s="545"/>
      <c r="WQE36" s="545"/>
      <c r="WQF36" s="544"/>
      <c r="WQG36" s="545"/>
      <c r="WQH36" s="545"/>
      <c r="WQI36" s="545"/>
      <c r="WQJ36" s="545"/>
      <c r="WQK36" s="545"/>
      <c r="WQL36" s="545"/>
      <c r="WQM36" s="544"/>
      <c r="WQN36" s="545"/>
      <c r="WQO36" s="545"/>
      <c r="WQP36" s="545"/>
      <c r="WQQ36" s="545"/>
      <c r="WQR36" s="545"/>
      <c r="WQS36" s="545"/>
      <c r="WQT36" s="544"/>
      <c r="WQU36" s="545"/>
      <c r="WQV36" s="545"/>
      <c r="WQW36" s="545"/>
      <c r="WQX36" s="545"/>
      <c r="WQY36" s="545"/>
      <c r="WQZ36" s="545"/>
      <c r="WRA36" s="544"/>
      <c r="WRB36" s="545"/>
      <c r="WRC36" s="545"/>
      <c r="WRD36" s="545"/>
      <c r="WRE36" s="545"/>
      <c r="WRF36" s="545"/>
      <c r="WRG36" s="545"/>
      <c r="WRH36" s="544"/>
      <c r="WRI36" s="545"/>
      <c r="WRJ36" s="545"/>
      <c r="WRK36" s="545"/>
      <c r="WRL36" s="545"/>
      <c r="WRM36" s="545"/>
      <c r="WRN36" s="545"/>
      <c r="WRO36" s="544"/>
      <c r="WRP36" s="545"/>
      <c r="WRQ36" s="545"/>
      <c r="WRR36" s="545"/>
      <c r="WRS36" s="545"/>
      <c r="WRT36" s="545"/>
      <c r="WRU36" s="545"/>
      <c r="WRV36" s="544"/>
      <c r="WRW36" s="545"/>
      <c r="WRX36" s="545"/>
      <c r="WRY36" s="545"/>
      <c r="WRZ36" s="545"/>
      <c r="WSA36" s="545"/>
      <c r="WSB36" s="545"/>
      <c r="WSC36" s="544"/>
      <c r="WSD36" s="545"/>
      <c r="WSE36" s="545"/>
      <c r="WSF36" s="545"/>
      <c r="WSG36" s="545"/>
      <c r="WSH36" s="545"/>
      <c r="WSI36" s="545"/>
      <c r="WSJ36" s="544"/>
      <c r="WSK36" s="545"/>
      <c r="WSL36" s="545"/>
      <c r="WSM36" s="545"/>
      <c r="WSN36" s="545"/>
      <c r="WSO36" s="545"/>
      <c r="WSP36" s="545"/>
      <c r="WSQ36" s="544"/>
      <c r="WSR36" s="545"/>
      <c r="WSS36" s="545"/>
      <c r="WST36" s="545"/>
      <c r="WSU36" s="545"/>
      <c r="WSV36" s="545"/>
      <c r="WSW36" s="545"/>
      <c r="WSX36" s="544"/>
      <c r="WSY36" s="545"/>
      <c r="WSZ36" s="545"/>
      <c r="WTA36" s="545"/>
      <c r="WTB36" s="545"/>
      <c r="WTC36" s="545"/>
      <c r="WTD36" s="545"/>
      <c r="WTE36" s="544"/>
      <c r="WTF36" s="545"/>
      <c r="WTG36" s="545"/>
      <c r="WTH36" s="545"/>
      <c r="WTI36" s="545"/>
      <c r="WTJ36" s="545"/>
      <c r="WTK36" s="545"/>
      <c r="WTL36" s="544"/>
      <c r="WTM36" s="545"/>
      <c r="WTN36" s="545"/>
      <c r="WTO36" s="545"/>
      <c r="WTP36" s="545"/>
      <c r="WTQ36" s="545"/>
      <c r="WTR36" s="545"/>
      <c r="WTS36" s="544"/>
      <c r="WTT36" s="545"/>
      <c r="WTU36" s="545"/>
      <c r="WTV36" s="545"/>
      <c r="WTW36" s="545"/>
      <c r="WTX36" s="545"/>
      <c r="WTY36" s="545"/>
      <c r="WTZ36" s="544"/>
      <c r="WUA36" s="545"/>
      <c r="WUB36" s="545"/>
      <c r="WUC36" s="545"/>
      <c r="WUD36" s="545"/>
      <c r="WUE36" s="545"/>
      <c r="WUF36" s="545"/>
      <c r="WUG36" s="544"/>
      <c r="WUH36" s="545"/>
      <c r="WUI36" s="545"/>
      <c r="WUJ36" s="545"/>
      <c r="WUK36" s="545"/>
      <c r="WUL36" s="545"/>
      <c r="WUM36" s="545"/>
      <c r="WUN36" s="544"/>
      <c r="WUO36" s="545"/>
      <c r="WUP36" s="545"/>
      <c r="WUQ36" s="545"/>
      <c r="WUR36" s="545"/>
      <c r="WUS36" s="545"/>
      <c r="WUT36" s="545"/>
      <c r="WUU36" s="544"/>
      <c r="WUV36" s="545"/>
      <c r="WUW36" s="545"/>
      <c r="WUX36" s="545"/>
      <c r="WUY36" s="545"/>
      <c r="WUZ36" s="545"/>
      <c r="WVA36" s="545"/>
      <c r="WVB36" s="544"/>
      <c r="WVC36" s="545"/>
      <c r="WVD36" s="545"/>
      <c r="WVE36" s="545"/>
      <c r="WVF36" s="545"/>
      <c r="WVG36" s="545"/>
      <c r="WVH36" s="545"/>
      <c r="WVI36" s="544"/>
      <c r="WVJ36" s="545"/>
      <c r="WVK36" s="545"/>
      <c r="WVL36" s="545"/>
      <c r="WVM36" s="545"/>
      <c r="WVN36" s="545"/>
      <c r="WVO36" s="545"/>
      <c r="WVP36" s="544"/>
      <c r="WVQ36" s="545"/>
      <c r="WVR36" s="545"/>
      <c r="WVS36" s="545"/>
      <c r="WVT36" s="545"/>
      <c r="WVU36" s="545"/>
      <c r="WVV36" s="545"/>
      <c r="WVW36" s="544"/>
      <c r="WVX36" s="545"/>
      <c r="WVY36" s="545"/>
      <c r="WVZ36" s="545"/>
      <c r="WWA36" s="545"/>
      <c r="WWB36" s="545"/>
      <c r="WWC36" s="545"/>
      <c r="WWD36" s="544"/>
      <c r="WWE36" s="545"/>
      <c r="WWF36" s="545"/>
      <c r="WWG36" s="545"/>
      <c r="WWH36" s="545"/>
      <c r="WWI36" s="545"/>
      <c r="WWJ36" s="545"/>
      <c r="WWK36" s="544"/>
      <c r="WWL36" s="545"/>
      <c r="WWM36" s="545"/>
      <c r="WWN36" s="545"/>
      <c r="WWO36" s="545"/>
      <c r="WWP36" s="545"/>
      <c r="WWQ36" s="545"/>
      <c r="WWR36" s="544"/>
      <c r="WWS36" s="545"/>
      <c r="WWT36" s="545"/>
      <c r="WWU36" s="545"/>
      <c r="WWV36" s="545"/>
      <c r="WWW36" s="545"/>
      <c r="WWX36" s="545"/>
      <c r="WWY36" s="544"/>
      <c r="WWZ36" s="545"/>
      <c r="WXA36" s="545"/>
      <c r="WXB36" s="545"/>
      <c r="WXC36" s="545"/>
      <c r="WXD36" s="545"/>
      <c r="WXE36" s="545"/>
      <c r="WXF36" s="544"/>
      <c r="WXG36" s="545"/>
      <c r="WXH36" s="545"/>
      <c r="WXI36" s="545"/>
      <c r="WXJ36" s="545"/>
      <c r="WXK36" s="545"/>
      <c r="WXL36" s="545"/>
      <c r="WXM36" s="544"/>
      <c r="WXN36" s="545"/>
      <c r="WXO36" s="545"/>
      <c r="WXP36" s="545"/>
      <c r="WXQ36" s="545"/>
      <c r="WXR36" s="545"/>
      <c r="WXS36" s="545"/>
      <c r="WXT36" s="544"/>
      <c r="WXU36" s="545"/>
      <c r="WXV36" s="545"/>
      <c r="WXW36" s="545"/>
      <c r="WXX36" s="545"/>
      <c r="WXY36" s="545"/>
      <c r="WXZ36" s="545"/>
      <c r="WYA36" s="544"/>
      <c r="WYB36" s="545"/>
      <c r="WYC36" s="545"/>
      <c r="WYD36" s="545"/>
      <c r="WYE36" s="545"/>
      <c r="WYF36" s="545"/>
      <c r="WYG36" s="545"/>
      <c r="WYH36" s="544"/>
      <c r="WYI36" s="545"/>
      <c r="WYJ36" s="545"/>
      <c r="WYK36" s="545"/>
      <c r="WYL36" s="545"/>
      <c r="WYM36" s="545"/>
      <c r="WYN36" s="545"/>
      <c r="WYO36" s="544"/>
      <c r="WYP36" s="545"/>
      <c r="WYQ36" s="545"/>
      <c r="WYR36" s="545"/>
      <c r="WYS36" s="545"/>
      <c r="WYT36" s="545"/>
      <c r="WYU36" s="545"/>
      <c r="WYV36" s="544"/>
      <c r="WYW36" s="545"/>
      <c r="WYX36" s="545"/>
      <c r="WYY36" s="545"/>
      <c r="WYZ36" s="545"/>
      <c r="WZA36" s="545"/>
      <c r="WZB36" s="545"/>
      <c r="WZC36" s="544"/>
      <c r="WZD36" s="545"/>
      <c r="WZE36" s="545"/>
      <c r="WZF36" s="545"/>
      <c r="WZG36" s="545"/>
      <c r="WZH36" s="545"/>
      <c r="WZI36" s="545"/>
      <c r="WZJ36" s="544"/>
      <c r="WZK36" s="545"/>
      <c r="WZL36" s="545"/>
      <c r="WZM36" s="545"/>
      <c r="WZN36" s="545"/>
      <c r="WZO36" s="545"/>
      <c r="WZP36" s="545"/>
      <c r="WZQ36" s="544"/>
      <c r="WZR36" s="545"/>
      <c r="WZS36" s="545"/>
      <c r="WZT36" s="545"/>
      <c r="WZU36" s="545"/>
      <c r="WZV36" s="545"/>
      <c r="WZW36" s="545"/>
      <c r="WZX36" s="544"/>
      <c r="WZY36" s="545"/>
      <c r="WZZ36" s="545"/>
      <c r="XAA36" s="545"/>
      <c r="XAB36" s="545"/>
      <c r="XAC36" s="545"/>
      <c r="XAD36" s="545"/>
      <c r="XAE36" s="544"/>
      <c r="XAF36" s="545"/>
      <c r="XAG36" s="545"/>
      <c r="XAH36" s="545"/>
      <c r="XAI36" s="545"/>
      <c r="XAJ36" s="545"/>
      <c r="XAK36" s="545"/>
      <c r="XAL36" s="544"/>
      <c r="XAM36" s="545"/>
      <c r="XAN36" s="545"/>
      <c r="XAO36" s="545"/>
      <c r="XAP36" s="545"/>
      <c r="XAQ36" s="545"/>
      <c r="XAR36" s="545"/>
      <c r="XAS36" s="544"/>
      <c r="XAT36" s="545"/>
      <c r="XAU36" s="545"/>
      <c r="XAV36" s="545"/>
      <c r="XAW36" s="545"/>
      <c r="XAX36" s="545"/>
      <c r="XAY36" s="545"/>
      <c r="XAZ36" s="544"/>
      <c r="XBA36" s="545"/>
      <c r="XBB36" s="545"/>
      <c r="XBC36" s="545"/>
      <c r="XBD36" s="545"/>
      <c r="XBE36" s="545"/>
      <c r="XBF36" s="545"/>
      <c r="XBG36" s="544"/>
      <c r="XBH36" s="545"/>
      <c r="XBI36" s="545"/>
      <c r="XBJ36" s="545"/>
      <c r="XBK36" s="545"/>
      <c r="XBL36" s="545"/>
      <c r="XBM36" s="545"/>
      <c r="XBN36" s="544"/>
      <c r="XBO36" s="545"/>
      <c r="XBP36" s="545"/>
      <c r="XBQ36" s="545"/>
      <c r="XBR36" s="545"/>
      <c r="XBS36" s="545"/>
      <c r="XBT36" s="545"/>
      <c r="XBU36" s="544"/>
      <c r="XBV36" s="545"/>
      <c r="XBW36" s="545"/>
      <c r="XBX36" s="545"/>
      <c r="XBY36" s="545"/>
      <c r="XBZ36" s="545"/>
      <c r="XCA36" s="545"/>
      <c r="XCB36" s="544"/>
      <c r="XCC36" s="545"/>
      <c r="XCD36" s="545"/>
      <c r="XCE36" s="545"/>
      <c r="XCF36" s="545"/>
      <c r="XCG36" s="545"/>
      <c r="XCH36" s="545"/>
      <c r="XCI36" s="544"/>
      <c r="XCJ36" s="545"/>
      <c r="XCK36" s="545"/>
      <c r="XCL36" s="545"/>
      <c r="XCM36" s="545"/>
      <c r="XCN36" s="545"/>
      <c r="XCO36" s="545"/>
      <c r="XCP36" s="544"/>
      <c r="XCQ36" s="545"/>
      <c r="XCR36" s="545"/>
      <c r="XCS36" s="545"/>
      <c r="XCT36" s="545"/>
      <c r="XCU36" s="545"/>
      <c r="XCV36" s="545"/>
      <c r="XCW36" s="544"/>
      <c r="XCX36" s="545"/>
      <c r="XCY36" s="545"/>
      <c r="XCZ36" s="545"/>
      <c r="XDA36" s="545"/>
      <c r="XDB36" s="545"/>
      <c r="XDC36" s="545"/>
      <c r="XDD36" s="544"/>
      <c r="XDE36" s="545"/>
      <c r="XDF36" s="545"/>
      <c r="XDG36" s="545"/>
      <c r="XDH36" s="545"/>
      <c r="XDI36" s="545"/>
      <c r="XDJ36" s="545"/>
      <c r="XDK36" s="544"/>
      <c r="XDL36" s="545"/>
      <c r="XDM36" s="545"/>
      <c r="XDN36" s="545"/>
      <c r="XDO36" s="545"/>
      <c r="XDP36" s="545"/>
      <c r="XDQ36" s="545"/>
      <c r="XDR36" s="544"/>
      <c r="XDS36" s="545"/>
      <c r="XDT36" s="545"/>
      <c r="XDU36" s="545"/>
      <c r="XDV36" s="545"/>
      <c r="XDW36" s="545"/>
      <c r="XDX36" s="545"/>
      <c r="XDY36" s="544"/>
      <c r="XDZ36" s="545"/>
      <c r="XEA36" s="545"/>
      <c r="XEB36" s="545"/>
      <c r="XEC36" s="545"/>
      <c r="XED36" s="545"/>
      <c r="XEE36" s="545"/>
      <c r="XEF36" s="544"/>
      <c r="XEG36" s="545"/>
      <c r="XEH36" s="545"/>
      <c r="XEI36" s="545"/>
      <c r="XEJ36" s="545"/>
      <c r="XEK36" s="545"/>
      <c r="XEL36" s="545"/>
      <c r="XEM36" s="544"/>
      <c r="XEN36" s="545"/>
      <c r="XEO36" s="545"/>
      <c r="XEP36" s="545"/>
      <c r="XEQ36" s="545"/>
      <c r="XER36" s="545"/>
      <c r="XES36" s="545"/>
      <c r="XET36" s="544"/>
      <c r="XEU36" s="545"/>
      <c r="XEV36" s="545"/>
      <c r="XEW36" s="545"/>
      <c r="XEX36" s="545"/>
      <c r="XEY36" s="545"/>
      <c r="XEZ36" s="545"/>
      <c r="XFA36" s="544"/>
      <c r="XFB36" s="545"/>
      <c r="XFC36" s="545"/>
      <c r="XFD36" s="545"/>
    </row>
    <row r="37" spans="1:16384" ht="15" customHeight="1">
      <c r="A37" s="213" t="s">
        <v>690</v>
      </c>
      <c r="B37" s="197" t="s">
        <v>691</v>
      </c>
      <c r="C37" s="198" t="s">
        <v>692</v>
      </c>
      <c r="D37" s="199">
        <v>37500</v>
      </c>
      <c r="E37" s="200">
        <v>0.05</v>
      </c>
      <c r="F37" s="201">
        <f t="shared" si="0"/>
        <v>39375</v>
      </c>
      <c r="G37" s="214" t="s">
        <v>693</v>
      </c>
    </row>
    <row r="38" spans="1:16384" ht="15" customHeight="1">
      <c r="A38" s="215" t="s">
        <v>694</v>
      </c>
      <c r="B38" s="202" t="s">
        <v>695</v>
      </c>
      <c r="C38" s="203" t="s">
        <v>238</v>
      </c>
      <c r="D38" s="204">
        <v>110000</v>
      </c>
      <c r="E38" s="205">
        <v>0.08</v>
      </c>
      <c r="F38" s="206">
        <f t="shared" si="0"/>
        <v>118800</v>
      </c>
      <c r="G38" s="216" t="s">
        <v>696</v>
      </c>
    </row>
    <row r="39" spans="1:16384" ht="15" customHeight="1">
      <c r="A39" s="213" t="s">
        <v>697</v>
      </c>
      <c r="B39" s="197" t="s">
        <v>698</v>
      </c>
      <c r="C39" s="198" t="s">
        <v>238</v>
      </c>
      <c r="D39" s="199">
        <v>135000</v>
      </c>
      <c r="E39" s="200">
        <v>0.08</v>
      </c>
      <c r="F39" s="201">
        <f t="shared" si="0"/>
        <v>145800</v>
      </c>
      <c r="G39" s="214" t="s">
        <v>699</v>
      </c>
    </row>
    <row r="40" spans="1:16384" ht="15" customHeight="1">
      <c r="A40" s="215" t="s">
        <v>700</v>
      </c>
      <c r="B40" s="202" t="s">
        <v>701</v>
      </c>
      <c r="C40" s="203" t="s">
        <v>238</v>
      </c>
      <c r="D40" s="204">
        <v>85000</v>
      </c>
      <c r="E40" s="205">
        <v>0.05</v>
      </c>
      <c r="F40" s="206">
        <f t="shared" si="0"/>
        <v>89250</v>
      </c>
      <c r="G40" s="216" t="s">
        <v>702</v>
      </c>
    </row>
    <row r="41" spans="1:16384" ht="15" customHeight="1">
      <c r="A41" s="213" t="s">
        <v>703</v>
      </c>
      <c r="B41" s="197" t="s">
        <v>704</v>
      </c>
      <c r="C41" s="198" t="s">
        <v>253</v>
      </c>
      <c r="D41" s="199">
        <v>5400</v>
      </c>
      <c r="E41" s="200">
        <v>7.0000000000000007E-2</v>
      </c>
      <c r="F41" s="201">
        <f t="shared" si="0"/>
        <v>5778</v>
      </c>
      <c r="G41" s="214" t="s">
        <v>705</v>
      </c>
    </row>
    <row r="42" spans="1:16384" ht="15" customHeight="1">
      <c r="A42" s="215" t="s">
        <v>706</v>
      </c>
      <c r="B42" s="202" t="s">
        <v>707</v>
      </c>
      <c r="C42" s="203" t="s">
        <v>253</v>
      </c>
      <c r="D42" s="204">
        <v>8500</v>
      </c>
      <c r="E42" s="205">
        <v>0.1</v>
      </c>
      <c r="F42" s="206">
        <f t="shared" si="0"/>
        <v>9350</v>
      </c>
      <c r="G42" s="216" t="s">
        <v>708</v>
      </c>
    </row>
    <row r="43" spans="1:16384" ht="15" customHeight="1">
      <c r="A43" s="213" t="s">
        <v>709</v>
      </c>
      <c r="B43" s="197" t="s">
        <v>710</v>
      </c>
      <c r="C43" s="198" t="s">
        <v>253</v>
      </c>
      <c r="D43" s="199">
        <v>9200</v>
      </c>
      <c r="E43" s="200">
        <v>0.03</v>
      </c>
      <c r="F43" s="201">
        <f t="shared" si="0"/>
        <v>9476</v>
      </c>
      <c r="G43" s="214" t="s">
        <v>711</v>
      </c>
    </row>
    <row r="44" spans="1:16384" ht="15" customHeight="1">
      <c r="A44" s="215" t="s">
        <v>712</v>
      </c>
      <c r="B44" s="202" t="s">
        <v>713</v>
      </c>
      <c r="C44" s="203" t="s">
        <v>714</v>
      </c>
      <c r="D44" s="204">
        <v>28000</v>
      </c>
      <c r="E44" s="205">
        <v>0.1</v>
      </c>
      <c r="F44" s="206">
        <f t="shared" si="0"/>
        <v>30800</v>
      </c>
      <c r="G44" s="216" t="s">
        <v>715</v>
      </c>
    </row>
    <row r="45" spans="1:16384" ht="15" customHeight="1">
      <c r="A45" s="213" t="s">
        <v>716</v>
      </c>
      <c r="B45" s="197" t="s">
        <v>717</v>
      </c>
      <c r="C45" s="198" t="s">
        <v>651</v>
      </c>
      <c r="D45" s="199">
        <v>125000</v>
      </c>
      <c r="E45" s="200">
        <v>0.08</v>
      </c>
      <c r="F45" s="201">
        <f t="shared" si="0"/>
        <v>135000</v>
      </c>
      <c r="G45" s="214" t="s">
        <v>718</v>
      </c>
    </row>
    <row r="46" spans="1:16384" ht="15" customHeight="1">
      <c r="A46" s="215" t="s">
        <v>719</v>
      </c>
      <c r="B46" s="202" t="s">
        <v>720</v>
      </c>
      <c r="C46" s="203" t="s">
        <v>721</v>
      </c>
      <c r="D46" s="204">
        <v>4800</v>
      </c>
      <c r="E46" s="205">
        <v>0.05</v>
      </c>
      <c r="F46" s="206">
        <f t="shared" si="0"/>
        <v>5040</v>
      </c>
      <c r="G46" s="216" t="s">
        <v>722</v>
      </c>
    </row>
    <row r="47" spans="1:16384" customFormat="1" ht="18" customHeight="1">
      <c r="A47" s="537" t="s">
        <v>723</v>
      </c>
      <c r="B47" s="538"/>
      <c r="C47" s="538"/>
      <c r="D47" s="538"/>
      <c r="E47" s="538"/>
      <c r="F47" s="538"/>
      <c r="G47" s="539"/>
      <c r="O47" s="544"/>
      <c r="P47" s="545"/>
      <c r="Q47" s="545"/>
      <c r="R47" s="545"/>
      <c r="S47" s="545"/>
      <c r="T47" s="545"/>
      <c r="U47" s="545"/>
      <c r="V47" s="544"/>
      <c r="W47" s="545"/>
      <c r="X47" s="545"/>
      <c r="Y47" s="545"/>
      <c r="Z47" s="545"/>
      <c r="AA47" s="545"/>
      <c r="AB47" s="545"/>
      <c r="AC47" s="544"/>
      <c r="AD47" s="545"/>
      <c r="AE47" s="545"/>
      <c r="AF47" s="545"/>
      <c r="AG47" s="545"/>
      <c r="AH47" s="545"/>
      <c r="AI47" s="545"/>
      <c r="AJ47" s="544"/>
      <c r="AK47" s="545"/>
      <c r="AL47" s="545"/>
      <c r="AM47" s="545"/>
      <c r="AN47" s="545"/>
      <c r="AO47" s="545"/>
      <c r="AP47" s="545"/>
      <c r="AQ47" s="544"/>
      <c r="AR47" s="545"/>
      <c r="AS47" s="545"/>
      <c r="AT47" s="545"/>
      <c r="AU47" s="545"/>
      <c r="AV47" s="545"/>
      <c r="AW47" s="545"/>
      <c r="AX47" s="544"/>
      <c r="AY47" s="545"/>
      <c r="AZ47" s="545"/>
      <c r="BA47" s="545"/>
      <c r="BB47" s="545"/>
      <c r="BC47" s="545"/>
      <c r="BD47" s="545"/>
      <c r="BE47" s="544"/>
      <c r="BF47" s="545"/>
      <c r="BG47" s="545"/>
      <c r="BH47" s="545"/>
      <c r="BI47" s="545"/>
      <c r="BJ47" s="545"/>
      <c r="BK47" s="545"/>
      <c r="BL47" s="544"/>
      <c r="BM47" s="545"/>
      <c r="BN47" s="545"/>
      <c r="BO47" s="545"/>
      <c r="BP47" s="545"/>
      <c r="BQ47" s="545"/>
      <c r="BR47" s="545"/>
      <c r="BS47" s="544"/>
      <c r="BT47" s="545"/>
      <c r="BU47" s="545"/>
      <c r="BV47" s="545"/>
      <c r="BW47" s="545"/>
      <c r="BX47" s="545"/>
      <c r="BY47" s="545"/>
      <c r="BZ47" s="544"/>
      <c r="CA47" s="545"/>
      <c r="CB47" s="545"/>
      <c r="CC47" s="545"/>
      <c r="CD47" s="545"/>
      <c r="CE47" s="545"/>
      <c r="CF47" s="545"/>
      <c r="CG47" s="544"/>
      <c r="CH47" s="545"/>
      <c r="CI47" s="545"/>
      <c r="CJ47" s="545"/>
      <c r="CK47" s="545"/>
      <c r="CL47" s="545"/>
      <c r="CM47" s="545"/>
      <c r="CN47" s="544"/>
      <c r="CO47" s="545"/>
      <c r="CP47" s="545"/>
      <c r="CQ47" s="545"/>
      <c r="CR47" s="545"/>
      <c r="CS47" s="545"/>
      <c r="CT47" s="545"/>
      <c r="CU47" s="544"/>
      <c r="CV47" s="545"/>
      <c r="CW47" s="545"/>
      <c r="CX47" s="545"/>
      <c r="CY47" s="545"/>
      <c r="CZ47" s="545"/>
      <c r="DA47" s="545"/>
      <c r="DB47" s="544"/>
      <c r="DC47" s="545"/>
      <c r="DD47" s="545"/>
      <c r="DE47" s="545"/>
      <c r="DF47" s="545"/>
      <c r="DG47" s="545"/>
      <c r="DH47" s="545"/>
      <c r="DI47" s="544"/>
      <c r="DJ47" s="545"/>
      <c r="DK47" s="545"/>
      <c r="DL47" s="545"/>
      <c r="DM47" s="545"/>
      <c r="DN47" s="545"/>
      <c r="DO47" s="545"/>
      <c r="DP47" s="544"/>
      <c r="DQ47" s="545"/>
      <c r="DR47" s="545"/>
      <c r="DS47" s="545"/>
      <c r="DT47" s="545"/>
      <c r="DU47" s="545"/>
      <c r="DV47" s="545"/>
      <c r="DW47" s="544"/>
      <c r="DX47" s="545"/>
      <c r="DY47" s="545"/>
      <c r="DZ47" s="545"/>
      <c r="EA47" s="545"/>
      <c r="EB47" s="545"/>
      <c r="EC47" s="545"/>
      <c r="ED47" s="544"/>
      <c r="EE47" s="545"/>
      <c r="EF47" s="545"/>
      <c r="EG47" s="545"/>
      <c r="EH47" s="545"/>
      <c r="EI47" s="545"/>
      <c r="EJ47" s="545"/>
      <c r="EK47" s="544"/>
      <c r="EL47" s="545"/>
      <c r="EM47" s="545"/>
      <c r="EN47" s="545"/>
      <c r="EO47" s="545"/>
      <c r="EP47" s="545"/>
      <c r="EQ47" s="545"/>
      <c r="ER47" s="544"/>
      <c r="ES47" s="545"/>
      <c r="ET47" s="545"/>
      <c r="EU47" s="545"/>
      <c r="EV47" s="545"/>
      <c r="EW47" s="545"/>
      <c r="EX47" s="545"/>
      <c r="EY47" s="544"/>
      <c r="EZ47" s="545"/>
      <c r="FA47" s="545"/>
      <c r="FB47" s="545"/>
      <c r="FC47" s="545"/>
      <c r="FD47" s="545"/>
      <c r="FE47" s="545"/>
      <c r="FF47" s="544"/>
      <c r="FG47" s="545"/>
      <c r="FH47" s="545"/>
      <c r="FI47" s="545"/>
      <c r="FJ47" s="545"/>
      <c r="FK47" s="545"/>
      <c r="FL47" s="545"/>
      <c r="FM47" s="544"/>
      <c r="FN47" s="545"/>
      <c r="FO47" s="545"/>
      <c r="FP47" s="545"/>
      <c r="FQ47" s="545"/>
      <c r="FR47" s="545"/>
      <c r="FS47" s="545"/>
      <c r="FT47" s="544"/>
      <c r="FU47" s="545"/>
      <c r="FV47" s="545"/>
      <c r="FW47" s="545"/>
      <c r="FX47" s="545"/>
      <c r="FY47" s="545"/>
      <c r="FZ47" s="545"/>
      <c r="GA47" s="544"/>
      <c r="GB47" s="545"/>
      <c r="GC47" s="545"/>
      <c r="GD47" s="545"/>
      <c r="GE47" s="545"/>
      <c r="GF47" s="545"/>
      <c r="GG47" s="545"/>
      <c r="GH47" s="544"/>
      <c r="GI47" s="545"/>
      <c r="GJ47" s="545"/>
      <c r="GK47" s="545"/>
      <c r="GL47" s="545"/>
      <c r="GM47" s="545"/>
      <c r="GN47" s="545"/>
      <c r="GO47" s="544"/>
      <c r="GP47" s="545"/>
      <c r="GQ47" s="545"/>
      <c r="GR47" s="545"/>
      <c r="GS47" s="545"/>
      <c r="GT47" s="545"/>
      <c r="GU47" s="545"/>
      <c r="GV47" s="544"/>
      <c r="GW47" s="545"/>
      <c r="GX47" s="545"/>
      <c r="GY47" s="545"/>
      <c r="GZ47" s="545"/>
      <c r="HA47" s="545"/>
      <c r="HB47" s="545"/>
      <c r="HC47" s="544"/>
      <c r="HD47" s="545"/>
      <c r="HE47" s="545"/>
      <c r="HF47" s="545"/>
      <c r="HG47" s="545"/>
      <c r="HH47" s="545"/>
      <c r="HI47" s="545"/>
      <c r="HJ47" s="544"/>
      <c r="HK47" s="545"/>
      <c r="HL47" s="545"/>
      <c r="HM47" s="545"/>
      <c r="HN47" s="545"/>
      <c r="HO47" s="545"/>
      <c r="HP47" s="545"/>
      <c r="HQ47" s="544"/>
      <c r="HR47" s="545"/>
      <c r="HS47" s="545"/>
      <c r="HT47" s="545"/>
      <c r="HU47" s="545"/>
      <c r="HV47" s="545"/>
      <c r="HW47" s="545"/>
      <c r="HX47" s="544"/>
      <c r="HY47" s="545"/>
      <c r="HZ47" s="545"/>
      <c r="IA47" s="545"/>
      <c r="IB47" s="545"/>
      <c r="IC47" s="545"/>
      <c r="ID47" s="545"/>
      <c r="IE47" s="544"/>
      <c r="IF47" s="545"/>
      <c r="IG47" s="545"/>
      <c r="IH47" s="545"/>
      <c r="II47" s="545"/>
      <c r="IJ47" s="545"/>
      <c r="IK47" s="545"/>
      <c r="IL47" s="544"/>
      <c r="IM47" s="545"/>
      <c r="IN47" s="545"/>
      <c r="IO47" s="545"/>
      <c r="IP47" s="545"/>
      <c r="IQ47" s="545"/>
      <c r="IR47" s="545"/>
      <c r="IS47" s="544"/>
      <c r="IT47" s="545"/>
      <c r="IU47" s="545"/>
      <c r="IV47" s="545"/>
      <c r="IW47" s="545"/>
      <c r="IX47" s="545"/>
      <c r="IY47" s="545"/>
      <c r="IZ47" s="544"/>
      <c r="JA47" s="545"/>
      <c r="JB47" s="545"/>
      <c r="JC47" s="545"/>
      <c r="JD47" s="545"/>
      <c r="JE47" s="545"/>
      <c r="JF47" s="545"/>
      <c r="JG47" s="544"/>
      <c r="JH47" s="545"/>
      <c r="JI47" s="545"/>
      <c r="JJ47" s="545"/>
      <c r="JK47" s="545"/>
      <c r="JL47" s="545"/>
      <c r="JM47" s="545"/>
      <c r="JN47" s="544"/>
      <c r="JO47" s="545"/>
      <c r="JP47" s="545"/>
      <c r="JQ47" s="545"/>
      <c r="JR47" s="545"/>
      <c r="JS47" s="545"/>
      <c r="JT47" s="545"/>
      <c r="JU47" s="544"/>
      <c r="JV47" s="545"/>
      <c r="JW47" s="545"/>
      <c r="JX47" s="545"/>
      <c r="JY47" s="545"/>
      <c r="JZ47" s="545"/>
      <c r="KA47" s="545"/>
      <c r="KB47" s="544"/>
      <c r="KC47" s="545"/>
      <c r="KD47" s="545"/>
      <c r="KE47" s="545"/>
      <c r="KF47" s="545"/>
      <c r="KG47" s="545"/>
      <c r="KH47" s="545"/>
      <c r="KI47" s="544"/>
      <c r="KJ47" s="545"/>
      <c r="KK47" s="545"/>
      <c r="KL47" s="545"/>
      <c r="KM47" s="545"/>
      <c r="KN47" s="545"/>
      <c r="KO47" s="545"/>
      <c r="KP47" s="544"/>
      <c r="KQ47" s="545"/>
      <c r="KR47" s="545"/>
      <c r="KS47" s="545"/>
      <c r="KT47" s="545"/>
      <c r="KU47" s="545"/>
      <c r="KV47" s="545"/>
      <c r="KW47" s="544"/>
      <c r="KX47" s="545"/>
      <c r="KY47" s="545"/>
      <c r="KZ47" s="545"/>
      <c r="LA47" s="545"/>
      <c r="LB47" s="545"/>
      <c r="LC47" s="545"/>
      <c r="LD47" s="544"/>
      <c r="LE47" s="545"/>
      <c r="LF47" s="545"/>
      <c r="LG47" s="545"/>
      <c r="LH47" s="545"/>
      <c r="LI47" s="545"/>
      <c r="LJ47" s="545"/>
      <c r="LK47" s="544"/>
      <c r="LL47" s="545"/>
      <c r="LM47" s="545"/>
      <c r="LN47" s="545"/>
      <c r="LO47" s="545"/>
      <c r="LP47" s="545"/>
      <c r="LQ47" s="545"/>
      <c r="LR47" s="544"/>
      <c r="LS47" s="545"/>
      <c r="LT47" s="545"/>
      <c r="LU47" s="545"/>
      <c r="LV47" s="545"/>
      <c r="LW47" s="545"/>
      <c r="LX47" s="545"/>
      <c r="LY47" s="544"/>
      <c r="LZ47" s="545"/>
      <c r="MA47" s="545"/>
      <c r="MB47" s="545"/>
      <c r="MC47" s="545"/>
      <c r="MD47" s="545"/>
      <c r="ME47" s="545"/>
      <c r="MF47" s="544"/>
      <c r="MG47" s="545"/>
      <c r="MH47" s="545"/>
      <c r="MI47" s="545"/>
      <c r="MJ47" s="545"/>
      <c r="MK47" s="545"/>
      <c r="ML47" s="545"/>
      <c r="MM47" s="544"/>
      <c r="MN47" s="545"/>
      <c r="MO47" s="545"/>
      <c r="MP47" s="545"/>
      <c r="MQ47" s="545"/>
      <c r="MR47" s="545"/>
      <c r="MS47" s="545"/>
      <c r="MT47" s="544"/>
      <c r="MU47" s="545"/>
      <c r="MV47" s="545"/>
      <c r="MW47" s="545"/>
      <c r="MX47" s="545"/>
      <c r="MY47" s="545"/>
      <c r="MZ47" s="545"/>
      <c r="NA47" s="544"/>
      <c r="NB47" s="545"/>
      <c r="NC47" s="545"/>
      <c r="ND47" s="545"/>
      <c r="NE47" s="545"/>
      <c r="NF47" s="545"/>
      <c r="NG47" s="545"/>
      <c r="NH47" s="544"/>
      <c r="NI47" s="545"/>
      <c r="NJ47" s="545"/>
      <c r="NK47" s="545"/>
      <c r="NL47" s="545"/>
      <c r="NM47" s="545"/>
      <c r="NN47" s="545"/>
      <c r="NO47" s="544"/>
      <c r="NP47" s="545"/>
      <c r="NQ47" s="545"/>
      <c r="NR47" s="545"/>
      <c r="NS47" s="545"/>
      <c r="NT47" s="545"/>
      <c r="NU47" s="545"/>
      <c r="NV47" s="544"/>
      <c r="NW47" s="545"/>
      <c r="NX47" s="545"/>
      <c r="NY47" s="545"/>
      <c r="NZ47" s="545"/>
      <c r="OA47" s="545"/>
      <c r="OB47" s="545"/>
      <c r="OC47" s="544"/>
      <c r="OD47" s="545"/>
      <c r="OE47" s="545"/>
      <c r="OF47" s="545"/>
      <c r="OG47" s="545"/>
      <c r="OH47" s="545"/>
      <c r="OI47" s="545"/>
      <c r="OJ47" s="544"/>
      <c r="OK47" s="545"/>
      <c r="OL47" s="545"/>
      <c r="OM47" s="545"/>
      <c r="ON47" s="545"/>
      <c r="OO47" s="545"/>
      <c r="OP47" s="545"/>
      <c r="OQ47" s="544"/>
      <c r="OR47" s="545"/>
      <c r="OS47" s="545"/>
      <c r="OT47" s="545"/>
      <c r="OU47" s="545"/>
      <c r="OV47" s="545"/>
      <c r="OW47" s="545"/>
      <c r="OX47" s="544"/>
      <c r="OY47" s="545"/>
      <c r="OZ47" s="545"/>
      <c r="PA47" s="545"/>
      <c r="PB47" s="545"/>
      <c r="PC47" s="545"/>
      <c r="PD47" s="545"/>
      <c r="PE47" s="544"/>
      <c r="PF47" s="545"/>
      <c r="PG47" s="545"/>
      <c r="PH47" s="545"/>
      <c r="PI47" s="545"/>
      <c r="PJ47" s="545"/>
      <c r="PK47" s="545"/>
      <c r="PL47" s="544"/>
      <c r="PM47" s="545"/>
      <c r="PN47" s="545"/>
      <c r="PO47" s="545"/>
      <c r="PP47" s="545"/>
      <c r="PQ47" s="545"/>
      <c r="PR47" s="545"/>
      <c r="PS47" s="544"/>
      <c r="PT47" s="545"/>
      <c r="PU47" s="545"/>
      <c r="PV47" s="545"/>
      <c r="PW47" s="545"/>
      <c r="PX47" s="545"/>
      <c r="PY47" s="545"/>
      <c r="PZ47" s="544"/>
      <c r="QA47" s="545"/>
      <c r="QB47" s="545"/>
      <c r="QC47" s="545"/>
      <c r="QD47" s="545"/>
      <c r="QE47" s="545"/>
      <c r="QF47" s="545"/>
      <c r="QG47" s="544"/>
      <c r="QH47" s="545"/>
      <c r="QI47" s="545"/>
      <c r="QJ47" s="545"/>
      <c r="QK47" s="545"/>
      <c r="QL47" s="545"/>
      <c r="QM47" s="545"/>
      <c r="QN47" s="544"/>
      <c r="QO47" s="545"/>
      <c r="QP47" s="545"/>
      <c r="QQ47" s="545"/>
      <c r="QR47" s="545"/>
      <c r="QS47" s="545"/>
      <c r="QT47" s="545"/>
      <c r="QU47" s="544"/>
      <c r="QV47" s="545"/>
      <c r="QW47" s="545"/>
      <c r="QX47" s="545"/>
      <c r="QY47" s="545"/>
      <c r="QZ47" s="545"/>
      <c r="RA47" s="545"/>
      <c r="RB47" s="544"/>
      <c r="RC47" s="545"/>
      <c r="RD47" s="545"/>
      <c r="RE47" s="545"/>
      <c r="RF47" s="545"/>
      <c r="RG47" s="545"/>
      <c r="RH47" s="545"/>
      <c r="RI47" s="544"/>
      <c r="RJ47" s="545"/>
      <c r="RK47" s="545"/>
      <c r="RL47" s="545"/>
      <c r="RM47" s="545"/>
      <c r="RN47" s="545"/>
      <c r="RO47" s="545"/>
      <c r="RP47" s="544"/>
      <c r="RQ47" s="545"/>
      <c r="RR47" s="545"/>
      <c r="RS47" s="545"/>
      <c r="RT47" s="545"/>
      <c r="RU47" s="545"/>
      <c r="RV47" s="545"/>
      <c r="RW47" s="544"/>
      <c r="RX47" s="545"/>
      <c r="RY47" s="545"/>
      <c r="RZ47" s="545"/>
      <c r="SA47" s="545"/>
      <c r="SB47" s="545"/>
      <c r="SC47" s="545"/>
      <c r="SD47" s="544"/>
      <c r="SE47" s="545"/>
      <c r="SF47" s="545"/>
      <c r="SG47" s="545"/>
      <c r="SH47" s="545"/>
      <c r="SI47" s="545"/>
      <c r="SJ47" s="545"/>
      <c r="SK47" s="544"/>
      <c r="SL47" s="545"/>
      <c r="SM47" s="545"/>
      <c r="SN47" s="545"/>
      <c r="SO47" s="545"/>
      <c r="SP47" s="545"/>
      <c r="SQ47" s="545"/>
      <c r="SR47" s="544"/>
      <c r="SS47" s="545"/>
      <c r="ST47" s="545"/>
      <c r="SU47" s="545"/>
      <c r="SV47" s="545"/>
      <c r="SW47" s="545"/>
      <c r="SX47" s="545"/>
      <c r="SY47" s="544"/>
      <c r="SZ47" s="545"/>
      <c r="TA47" s="545"/>
      <c r="TB47" s="545"/>
      <c r="TC47" s="545"/>
      <c r="TD47" s="545"/>
      <c r="TE47" s="545"/>
      <c r="TF47" s="544"/>
      <c r="TG47" s="545"/>
      <c r="TH47" s="545"/>
      <c r="TI47" s="545"/>
      <c r="TJ47" s="545"/>
      <c r="TK47" s="545"/>
      <c r="TL47" s="545"/>
      <c r="TM47" s="544"/>
      <c r="TN47" s="545"/>
      <c r="TO47" s="545"/>
      <c r="TP47" s="545"/>
      <c r="TQ47" s="545"/>
      <c r="TR47" s="545"/>
      <c r="TS47" s="545"/>
      <c r="TT47" s="544"/>
      <c r="TU47" s="545"/>
      <c r="TV47" s="545"/>
      <c r="TW47" s="545"/>
      <c r="TX47" s="545"/>
      <c r="TY47" s="545"/>
      <c r="TZ47" s="545"/>
      <c r="UA47" s="544"/>
      <c r="UB47" s="545"/>
      <c r="UC47" s="545"/>
      <c r="UD47" s="545"/>
      <c r="UE47" s="545"/>
      <c r="UF47" s="545"/>
      <c r="UG47" s="545"/>
      <c r="UH47" s="544"/>
      <c r="UI47" s="545"/>
      <c r="UJ47" s="545"/>
      <c r="UK47" s="545"/>
      <c r="UL47" s="545"/>
      <c r="UM47" s="545"/>
      <c r="UN47" s="545"/>
      <c r="UO47" s="544"/>
      <c r="UP47" s="545"/>
      <c r="UQ47" s="545"/>
      <c r="UR47" s="545"/>
      <c r="US47" s="545"/>
      <c r="UT47" s="545"/>
      <c r="UU47" s="545"/>
      <c r="UV47" s="544"/>
      <c r="UW47" s="545"/>
      <c r="UX47" s="545"/>
      <c r="UY47" s="545"/>
      <c r="UZ47" s="545"/>
      <c r="VA47" s="545"/>
      <c r="VB47" s="545"/>
      <c r="VC47" s="544"/>
      <c r="VD47" s="545"/>
      <c r="VE47" s="545"/>
      <c r="VF47" s="545"/>
      <c r="VG47" s="545"/>
      <c r="VH47" s="545"/>
      <c r="VI47" s="545"/>
      <c r="VJ47" s="544"/>
      <c r="VK47" s="545"/>
      <c r="VL47" s="545"/>
      <c r="VM47" s="545"/>
      <c r="VN47" s="545"/>
      <c r="VO47" s="545"/>
      <c r="VP47" s="545"/>
      <c r="VQ47" s="544"/>
      <c r="VR47" s="545"/>
      <c r="VS47" s="545"/>
      <c r="VT47" s="545"/>
      <c r="VU47" s="545"/>
      <c r="VV47" s="545"/>
      <c r="VW47" s="545"/>
      <c r="VX47" s="544"/>
      <c r="VY47" s="545"/>
      <c r="VZ47" s="545"/>
      <c r="WA47" s="545"/>
      <c r="WB47" s="545"/>
      <c r="WC47" s="545"/>
      <c r="WD47" s="545"/>
      <c r="WE47" s="544"/>
      <c r="WF47" s="545"/>
      <c r="WG47" s="545"/>
      <c r="WH47" s="545"/>
      <c r="WI47" s="545"/>
      <c r="WJ47" s="545"/>
      <c r="WK47" s="545"/>
      <c r="WL47" s="544"/>
      <c r="WM47" s="545"/>
      <c r="WN47" s="545"/>
      <c r="WO47" s="545"/>
      <c r="WP47" s="545"/>
      <c r="WQ47" s="545"/>
      <c r="WR47" s="545"/>
      <c r="WS47" s="544"/>
      <c r="WT47" s="545"/>
      <c r="WU47" s="545"/>
      <c r="WV47" s="545"/>
      <c r="WW47" s="545"/>
      <c r="WX47" s="545"/>
      <c r="WY47" s="545"/>
      <c r="WZ47" s="544"/>
      <c r="XA47" s="545"/>
      <c r="XB47" s="545"/>
      <c r="XC47" s="545"/>
      <c r="XD47" s="545"/>
      <c r="XE47" s="545"/>
      <c r="XF47" s="545"/>
      <c r="XG47" s="544"/>
      <c r="XH47" s="545"/>
      <c r="XI47" s="545"/>
      <c r="XJ47" s="545"/>
      <c r="XK47" s="545"/>
      <c r="XL47" s="545"/>
      <c r="XM47" s="545"/>
      <c r="XN47" s="544"/>
      <c r="XO47" s="545"/>
      <c r="XP47" s="545"/>
      <c r="XQ47" s="545"/>
      <c r="XR47" s="545"/>
      <c r="XS47" s="545"/>
      <c r="XT47" s="545"/>
      <c r="XU47" s="544"/>
      <c r="XV47" s="545"/>
      <c r="XW47" s="545"/>
      <c r="XX47" s="545"/>
      <c r="XY47" s="545"/>
      <c r="XZ47" s="545"/>
      <c r="YA47" s="545"/>
      <c r="YB47" s="544"/>
      <c r="YC47" s="545"/>
      <c r="YD47" s="545"/>
      <c r="YE47" s="545"/>
      <c r="YF47" s="545"/>
      <c r="YG47" s="545"/>
      <c r="YH47" s="545"/>
      <c r="YI47" s="544"/>
      <c r="YJ47" s="545"/>
      <c r="YK47" s="545"/>
      <c r="YL47" s="545"/>
      <c r="YM47" s="545"/>
      <c r="YN47" s="545"/>
      <c r="YO47" s="545"/>
      <c r="YP47" s="544"/>
      <c r="YQ47" s="545"/>
      <c r="YR47" s="545"/>
      <c r="YS47" s="545"/>
      <c r="YT47" s="545"/>
      <c r="YU47" s="545"/>
      <c r="YV47" s="545"/>
      <c r="YW47" s="544"/>
      <c r="YX47" s="545"/>
      <c r="YY47" s="545"/>
      <c r="YZ47" s="545"/>
      <c r="ZA47" s="545"/>
      <c r="ZB47" s="545"/>
      <c r="ZC47" s="545"/>
      <c r="ZD47" s="544"/>
      <c r="ZE47" s="545"/>
      <c r="ZF47" s="545"/>
      <c r="ZG47" s="545"/>
      <c r="ZH47" s="545"/>
      <c r="ZI47" s="545"/>
      <c r="ZJ47" s="545"/>
      <c r="ZK47" s="544"/>
      <c r="ZL47" s="545"/>
      <c r="ZM47" s="545"/>
      <c r="ZN47" s="545"/>
      <c r="ZO47" s="545"/>
      <c r="ZP47" s="545"/>
      <c r="ZQ47" s="545"/>
      <c r="ZR47" s="544"/>
      <c r="ZS47" s="545"/>
      <c r="ZT47" s="545"/>
      <c r="ZU47" s="545"/>
      <c r="ZV47" s="545"/>
      <c r="ZW47" s="545"/>
      <c r="ZX47" s="545"/>
      <c r="ZY47" s="544"/>
      <c r="ZZ47" s="545"/>
      <c r="AAA47" s="545"/>
      <c r="AAB47" s="545"/>
      <c r="AAC47" s="545"/>
      <c r="AAD47" s="545"/>
      <c r="AAE47" s="545"/>
      <c r="AAF47" s="544"/>
      <c r="AAG47" s="545"/>
      <c r="AAH47" s="545"/>
      <c r="AAI47" s="545"/>
      <c r="AAJ47" s="545"/>
      <c r="AAK47" s="545"/>
      <c r="AAL47" s="545"/>
      <c r="AAM47" s="544"/>
      <c r="AAN47" s="545"/>
      <c r="AAO47" s="545"/>
      <c r="AAP47" s="545"/>
      <c r="AAQ47" s="545"/>
      <c r="AAR47" s="545"/>
      <c r="AAS47" s="545"/>
      <c r="AAT47" s="544"/>
      <c r="AAU47" s="545"/>
      <c r="AAV47" s="545"/>
      <c r="AAW47" s="545"/>
      <c r="AAX47" s="545"/>
      <c r="AAY47" s="545"/>
      <c r="AAZ47" s="545"/>
      <c r="ABA47" s="544"/>
      <c r="ABB47" s="545"/>
      <c r="ABC47" s="545"/>
      <c r="ABD47" s="545"/>
      <c r="ABE47" s="545"/>
      <c r="ABF47" s="545"/>
      <c r="ABG47" s="545"/>
      <c r="ABH47" s="544"/>
      <c r="ABI47" s="545"/>
      <c r="ABJ47" s="545"/>
      <c r="ABK47" s="545"/>
      <c r="ABL47" s="545"/>
      <c r="ABM47" s="545"/>
      <c r="ABN47" s="545"/>
      <c r="ABO47" s="544"/>
      <c r="ABP47" s="545"/>
      <c r="ABQ47" s="545"/>
      <c r="ABR47" s="545"/>
      <c r="ABS47" s="545"/>
      <c r="ABT47" s="545"/>
      <c r="ABU47" s="545"/>
      <c r="ABV47" s="544"/>
      <c r="ABW47" s="545"/>
      <c r="ABX47" s="545"/>
      <c r="ABY47" s="545"/>
      <c r="ABZ47" s="545"/>
      <c r="ACA47" s="545"/>
      <c r="ACB47" s="545"/>
      <c r="ACC47" s="544"/>
      <c r="ACD47" s="545"/>
      <c r="ACE47" s="545"/>
      <c r="ACF47" s="545"/>
      <c r="ACG47" s="545"/>
      <c r="ACH47" s="545"/>
      <c r="ACI47" s="545"/>
      <c r="ACJ47" s="544"/>
      <c r="ACK47" s="545"/>
      <c r="ACL47" s="545"/>
      <c r="ACM47" s="545"/>
      <c r="ACN47" s="545"/>
      <c r="ACO47" s="545"/>
      <c r="ACP47" s="545"/>
      <c r="ACQ47" s="544"/>
      <c r="ACR47" s="545"/>
      <c r="ACS47" s="545"/>
      <c r="ACT47" s="545"/>
      <c r="ACU47" s="545"/>
      <c r="ACV47" s="545"/>
      <c r="ACW47" s="545"/>
      <c r="ACX47" s="544"/>
      <c r="ACY47" s="545"/>
      <c r="ACZ47" s="545"/>
      <c r="ADA47" s="545"/>
      <c r="ADB47" s="545"/>
      <c r="ADC47" s="545"/>
      <c r="ADD47" s="545"/>
      <c r="ADE47" s="544"/>
      <c r="ADF47" s="545"/>
      <c r="ADG47" s="545"/>
      <c r="ADH47" s="545"/>
      <c r="ADI47" s="545"/>
      <c r="ADJ47" s="545"/>
      <c r="ADK47" s="545"/>
      <c r="ADL47" s="544"/>
      <c r="ADM47" s="545"/>
      <c r="ADN47" s="545"/>
      <c r="ADO47" s="545"/>
      <c r="ADP47" s="545"/>
      <c r="ADQ47" s="545"/>
      <c r="ADR47" s="545"/>
      <c r="ADS47" s="544"/>
      <c r="ADT47" s="545"/>
      <c r="ADU47" s="545"/>
      <c r="ADV47" s="545"/>
      <c r="ADW47" s="545"/>
      <c r="ADX47" s="545"/>
      <c r="ADY47" s="545"/>
      <c r="ADZ47" s="544"/>
      <c r="AEA47" s="545"/>
      <c r="AEB47" s="545"/>
      <c r="AEC47" s="545"/>
      <c r="AED47" s="545"/>
      <c r="AEE47" s="545"/>
      <c r="AEF47" s="545"/>
      <c r="AEG47" s="544"/>
      <c r="AEH47" s="545"/>
      <c r="AEI47" s="545"/>
      <c r="AEJ47" s="545"/>
      <c r="AEK47" s="545"/>
      <c r="AEL47" s="545"/>
      <c r="AEM47" s="545"/>
      <c r="AEN47" s="544"/>
      <c r="AEO47" s="545"/>
      <c r="AEP47" s="545"/>
      <c r="AEQ47" s="545"/>
      <c r="AER47" s="545"/>
      <c r="AES47" s="545"/>
      <c r="AET47" s="545"/>
      <c r="AEU47" s="544"/>
      <c r="AEV47" s="545"/>
      <c r="AEW47" s="545"/>
      <c r="AEX47" s="545"/>
      <c r="AEY47" s="545"/>
      <c r="AEZ47" s="545"/>
      <c r="AFA47" s="545"/>
      <c r="AFB47" s="544"/>
      <c r="AFC47" s="545"/>
      <c r="AFD47" s="545"/>
      <c r="AFE47" s="545"/>
      <c r="AFF47" s="545"/>
      <c r="AFG47" s="545"/>
      <c r="AFH47" s="545"/>
      <c r="AFI47" s="544"/>
      <c r="AFJ47" s="545"/>
      <c r="AFK47" s="545"/>
      <c r="AFL47" s="545"/>
      <c r="AFM47" s="545"/>
      <c r="AFN47" s="545"/>
      <c r="AFO47" s="545"/>
      <c r="AFP47" s="544"/>
      <c r="AFQ47" s="545"/>
      <c r="AFR47" s="545"/>
      <c r="AFS47" s="545"/>
      <c r="AFT47" s="545"/>
      <c r="AFU47" s="545"/>
      <c r="AFV47" s="545"/>
      <c r="AFW47" s="544"/>
      <c r="AFX47" s="545"/>
      <c r="AFY47" s="545"/>
      <c r="AFZ47" s="545"/>
      <c r="AGA47" s="545"/>
      <c r="AGB47" s="545"/>
      <c r="AGC47" s="545"/>
      <c r="AGD47" s="544"/>
      <c r="AGE47" s="545"/>
      <c r="AGF47" s="545"/>
      <c r="AGG47" s="545"/>
      <c r="AGH47" s="545"/>
      <c r="AGI47" s="545"/>
      <c r="AGJ47" s="545"/>
      <c r="AGK47" s="544"/>
      <c r="AGL47" s="545"/>
      <c r="AGM47" s="545"/>
      <c r="AGN47" s="545"/>
      <c r="AGO47" s="545"/>
      <c r="AGP47" s="545"/>
      <c r="AGQ47" s="545"/>
      <c r="AGR47" s="544"/>
      <c r="AGS47" s="545"/>
      <c r="AGT47" s="545"/>
      <c r="AGU47" s="545"/>
      <c r="AGV47" s="545"/>
      <c r="AGW47" s="545"/>
      <c r="AGX47" s="545"/>
      <c r="AGY47" s="544"/>
      <c r="AGZ47" s="545"/>
      <c r="AHA47" s="545"/>
      <c r="AHB47" s="545"/>
      <c r="AHC47" s="545"/>
      <c r="AHD47" s="545"/>
      <c r="AHE47" s="545"/>
      <c r="AHF47" s="544"/>
      <c r="AHG47" s="545"/>
      <c r="AHH47" s="545"/>
      <c r="AHI47" s="545"/>
      <c r="AHJ47" s="545"/>
      <c r="AHK47" s="545"/>
      <c r="AHL47" s="545"/>
      <c r="AHM47" s="544"/>
      <c r="AHN47" s="545"/>
      <c r="AHO47" s="545"/>
      <c r="AHP47" s="545"/>
      <c r="AHQ47" s="545"/>
      <c r="AHR47" s="545"/>
      <c r="AHS47" s="545"/>
      <c r="AHT47" s="544"/>
      <c r="AHU47" s="545"/>
      <c r="AHV47" s="545"/>
      <c r="AHW47" s="545"/>
      <c r="AHX47" s="545"/>
      <c r="AHY47" s="545"/>
      <c r="AHZ47" s="545"/>
      <c r="AIA47" s="544"/>
      <c r="AIB47" s="545"/>
      <c r="AIC47" s="545"/>
      <c r="AID47" s="545"/>
      <c r="AIE47" s="545"/>
      <c r="AIF47" s="545"/>
      <c r="AIG47" s="545"/>
      <c r="AIH47" s="544"/>
      <c r="AII47" s="545"/>
      <c r="AIJ47" s="545"/>
      <c r="AIK47" s="545"/>
      <c r="AIL47" s="545"/>
      <c r="AIM47" s="545"/>
      <c r="AIN47" s="545"/>
      <c r="AIO47" s="544"/>
      <c r="AIP47" s="545"/>
      <c r="AIQ47" s="545"/>
      <c r="AIR47" s="545"/>
      <c r="AIS47" s="545"/>
      <c r="AIT47" s="545"/>
      <c r="AIU47" s="545"/>
      <c r="AIV47" s="544"/>
      <c r="AIW47" s="545"/>
      <c r="AIX47" s="545"/>
      <c r="AIY47" s="545"/>
      <c r="AIZ47" s="545"/>
      <c r="AJA47" s="545"/>
      <c r="AJB47" s="545"/>
      <c r="AJC47" s="544"/>
      <c r="AJD47" s="545"/>
      <c r="AJE47" s="545"/>
      <c r="AJF47" s="545"/>
      <c r="AJG47" s="545"/>
      <c r="AJH47" s="545"/>
      <c r="AJI47" s="545"/>
      <c r="AJJ47" s="544"/>
      <c r="AJK47" s="545"/>
      <c r="AJL47" s="545"/>
      <c r="AJM47" s="545"/>
      <c r="AJN47" s="545"/>
      <c r="AJO47" s="545"/>
      <c r="AJP47" s="545"/>
      <c r="AJQ47" s="544"/>
      <c r="AJR47" s="545"/>
      <c r="AJS47" s="545"/>
      <c r="AJT47" s="545"/>
      <c r="AJU47" s="545"/>
      <c r="AJV47" s="545"/>
      <c r="AJW47" s="545"/>
      <c r="AJX47" s="544"/>
      <c r="AJY47" s="545"/>
      <c r="AJZ47" s="545"/>
      <c r="AKA47" s="545"/>
      <c r="AKB47" s="545"/>
      <c r="AKC47" s="545"/>
      <c r="AKD47" s="545"/>
      <c r="AKE47" s="544"/>
      <c r="AKF47" s="545"/>
      <c r="AKG47" s="545"/>
      <c r="AKH47" s="545"/>
      <c r="AKI47" s="545"/>
      <c r="AKJ47" s="545"/>
      <c r="AKK47" s="545"/>
      <c r="AKL47" s="544"/>
      <c r="AKM47" s="545"/>
      <c r="AKN47" s="545"/>
      <c r="AKO47" s="545"/>
      <c r="AKP47" s="545"/>
      <c r="AKQ47" s="545"/>
      <c r="AKR47" s="545"/>
      <c r="AKS47" s="544"/>
      <c r="AKT47" s="545"/>
      <c r="AKU47" s="545"/>
      <c r="AKV47" s="545"/>
      <c r="AKW47" s="545"/>
      <c r="AKX47" s="545"/>
      <c r="AKY47" s="545"/>
      <c r="AKZ47" s="544"/>
      <c r="ALA47" s="545"/>
      <c r="ALB47" s="545"/>
      <c r="ALC47" s="545"/>
      <c r="ALD47" s="545"/>
      <c r="ALE47" s="545"/>
      <c r="ALF47" s="545"/>
      <c r="ALG47" s="544"/>
      <c r="ALH47" s="545"/>
      <c r="ALI47" s="545"/>
      <c r="ALJ47" s="545"/>
      <c r="ALK47" s="545"/>
      <c r="ALL47" s="545"/>
      <c r="ALM47" s="545"/>
      <c r="ALN47" s="544"/>
      <c r="ALO47" s="545"/>
      <c r="ALP47" s="545"/>
      <c r="ALQ47" s="545"/>
      <c r="ALR47" s="545"/>
      <c r="ALS47" s="545"/>
      <c r="ALT47" s="545"/>
      <c r="ALU47" s="544"/>
      <c r="ALV47" s="545"/>
      <c r="ALW47" s="545"/>
      <c r="ALX47" s="545"/>
      <c r="ALY47" s="545"/>
      <c r="ALZ47" s="545"/>
      <c r="AMA47" s="545"/>
      <c r="AMB47" s="544"/>
      <c r="AMC47" s="545"/>
      <c r="AMD47" s="545"/>
      <c r="AME47" s="545"/>
      <c r="AMF47" s="545"/>
      <c r="AMG47" s="545"/>
      <c r="AMH47" s="545"/>
      <c r="AMI47" s="544"/>
      <c r="AMJ47" s="545"/>
      <c r="AMK47" s="545"/>
      <c r="AML47" s="545"/>
      <c r="AMM47" s="545"/>
      <c r="AMN47" s="545"/>
      <c r="AMO47" s="545"/>
      <c r="AMP47" s="544"/>
      <c r="AMQ47" s="545"/>
      <c r="AMR47" s="545"/>
      <c r="AMS47" s="545"/>
      <c r="AMT47" s="545"/>
      <c r="AMU47" s="545"/>
      <c r="AMV47" s="545"/>
      <c r="AMW47" s="544"/>
      <c r="AMX47" s="545"/>
      <c r="AMY47" s="545"/>
      <c r="AMZ47" s="545"/>
      <c r="ANA47" s="545"/>
      <c r="ANB47" s="545"/>
      <c r="ANC47" s="545"/>
      <c r="AND47" s="544"/>
      <c r="ANE47" s="545"/>
      <c r="ANF47" s="545"/>
      <c r="ANG47" s="545"/>
      <c r="ANH47" s="545"/>
      <c r="ANI47" s="545"/>
      <c r="ANJ47" s="545"/>
      <c r="ANK47" s="544"/>
      <c r="ANL47" s="545"/>
      <c r="ANM47" s="545"/>
      <c r="ANN47" s="545"/>
      <c r="ANO47" s="545"/>
      <c r="ANP47" s="545"/>
      <c r="ANQ47" s="545"/>
      <c r="ANR47" s="544"/>
      <c r="ANS47" s="545"/>
      <c r="ANT47" s="545"/>
      <c r="ANU47" s="545"/>
      <c r="ANV47" s="545"/>
      <c r="ANW47" s="545"/>
      <c r="ANX47" s="545"/>
      <c r="ANY47" s="544"/>
      <c r="ANZ47" s="545"/>
      <c r="AOA47" s="545"/>
      <c r="AOB47" s="545"/>
      <c r="AOC47" s="545"/>
      <c r="AOD47" s="545"/>
      <c r="AOE47" s="545"/>
      <c r="AOF47" s="544"/>
      <c r="AOG47" s="545"/>
      <c r="AOH47" s="545"/>
      <c r="AOI47" s="545"/>
      <c r="AOJ47" s="545"/>
      <c r="AOK47" s="545"/>
      <c r="AOL47" s="545"/>
      <c r="AOM47" s="544"/>
      <c r="AON47" s="545"/>
      <c r="AOO47" s="545"/>
      <c r="AOP47" s="545"/>
      <c r="AOQ47" s="545"/>
      <c r="AOR47" s="545"/>
      <c r="AOS47" s="545"/>
      <c r="AOT47" s="544"/>
      <c r="AOU47" s="545"/>
      <c r="AOV47" s="545"/>
      <c r="AOW47" s="545"/>
      <c r="AOX47" s="545"/>
      <c r="AOY47" s="545"/>
      <c r="AOZ47" s="545"/>
      <c r="APA47" s="544"/>
      <c r="APB47" s="545"/>
      <c r="APC47" s="545"/>
      <c r="APD47" s="545"/>
      <c r="APE47" s="545"/>
      <c r="APF47" s="545"/>
      <c r="APG47" s="545"/>
      <c r="APH47" s="544"/>
      <c r="API47" s="545"/>
      <c r="APJ47" s="545"/>
      <c r="APK47" s="545"/>
      <c r="APL47" s="545"/>
      <c r="APM47" s="545"/>
      <c r="APN47" s="545"/>
      <c r="APO47" s="544"/>
      <c r="APP47" s="545"/>
      <c r="APQ47" s="545"/>
      <c r="APR47" s="545"/>
      <c r="APS47" s="545"/>
      <c r="APT47" s="545"/>
      <c r="APU47" s="545"/>
      <c r="APV47" s="544"/>
      <c r="APW47" s="545"/>
      <c r="APX47" s="545"/>
      <c r="APY47" s="545"/>
      <c r="APZ47" s="545"/>
      <c r="AQA47" s="545"/>
      <c r="AQB47" s="545"/>
      <c r="AQC47" s="544"/>
      <c r="AQD47" s="545"/>
      <c r="AQE47" s="545"/>
      <c r="AQF47" s="545"/>
      <c r="AQG47" s="545"/>
      <c r="AQH47" s="545"/>
      <c r="AQI47" s="545"/>
      <c r="AQJ47" s="544"/>
      <c r="AQK47" s="545"/>
      <c r="AQL47" s="545"/>
      <c r="AQM47" s="545"/>
      <c r="AQN47" s="545"/>
      <c r="AQO47" s="545"/>
      <c r="AQP47" s="545"/>
      <c r="AQQ47" s="544"/>
      <c r="AQR47" s="545"/>
      <c r="AQS47" s="545"/>
      <c r="AQT47" s="545"/>
      <c r="AQU47" s="545"/>
      <c r="AQV47" s="545"/>
      <c r="AQW47" s="545"/>
      <c r="AQX47" s="544"/>
      <c r="AQY47" s="545"/>
      <c r="AQZ47" s="545"/>
      <c r="ARA47" s="545"/>
      <c r="ARB47" s="545"/>
      <c r="ARC47" s="545"/>
      <c r="ARD47" s="545"/>
      <c r="ARE47" s="544"/>
      <c r="ARF47" s="545"/>
      <c r="ARG47" s="545"/>
      <c r="ARH47" s="545"/>
      <c r="ARI47" s="545"/>
      <c r="ARJ47" s="545"/>
      <c r="ARK47" s="545"/>
      <c r="ARL47" s="544"/>
      <c r="ARM47" s="545"/>
      <c r="ARN47" s="545"/>
      <c r="ARO47" s="545"/>
      <c r="ARP47" s="545"/>
      <c r="ARQ47" s="545"/>
      <c r="ARR47" s="545"/>
      <c r="ARS47" s="544"/>
      <c r="ART47" s="545"/>
      <c r="ARU47" s="545"/>
      <c r="ARV47" s="545"/>
      <c r="ARW47" s="545"/>
      <c r="ARX47" s="545"/>
      <c r="ARY47" s="545"/>
      <c r="ARZ47" s="544"/>
      <c r="ASA47" s="545"/>
      <c r="ASB47" s="545"/>
      <c r="ASC47" s="545"/>
      <c r="ASD47" s="545"/>
      <c r="ASE47" s="545"/>
      <c r="ASF47" s="545"/>
      <c r="ASG47" s="544"/>
      <c r="ASH47" s="545"/>
      <c r="ASI47" s="545"/>
      <c r="ASJ47" s="545"/>
      <c r="ASK47" s="545"/>
      <c r="ASL47" s="545"/>
      <c r="ASM47" s="545"/>
      <c r="ASN47" s="544"/>
      <c r="ASO47" s="545"/>
      <c r="ASP47" s="545"/>
      <c r="ASQ47" s="545"/>
      <c r="ASR47" s="545"/>
      <c r="ASS47" s="545"/>
      <c r="AST47" s="545"/>
      <c r="ASU47" s="544"/>
      <c r="ASV47" s="545"/>
      <c r="ASW47" s="545"/>
      <c r="ASX47" s="545"/>
      <c r="ASY47" s="545"/>
      <c r="ASZ47" s="545"/>
      <c r="ATA47" s="545"/>
      <c r="ATB47" s="544"/>
      <c r="ATC47" s="545"/>
      <c r="ATD47" s="545"/>
      <c r="ATE47" s="545"/>
      <c r="ATF47" s="545"/>
      <c r="ATG47" s="545"/>
      <c r="ATH47" s="545"/>
      <c r="ATI47" s="544"/>
      <c r="ATJ47" s="545"/>
      <c r="ATK47" s="545"/>
      <c r="ATL47" s="545"/>
      <c r="ATM47" s="545"/>
      <c r="ATN47" s="545"/>
      <c r="ATO47" s="545"/>
      <c r="ATP47" s="544"/>
      <c r="ATQ47" s="545"/>
      <c r="ATR47" s="545"/>
      <c r="ATS47" s="545"/>
      <c r="ATT47" s="545"/>
      <c r="ATU47" s="545"/>
      <c r="ATV47" s="545"/>
      <c r="ATW47" s="544"/>
      <c r="ATX47" s="545"/>
      <c r="ATY47" s="545"/>
      <c r="ATZ47" s="545"/>
      <c r="AUA47" s="545"/>
      <c r="AUB47" s="545"/>
      <c r="AUC47" s="545"/>
      <c r="AUD47" s="544"/>
      <c r="AUE47" s="545"/>
      <c r="AUF47" s="545"/>
      <c r="AUG47" s="545"/>
      <c r="AUH47" s="545"/>
      <c r="AUI47" s="545"/>
      <c r="AUJ47" s="545"/>
      <c r="AUK47" s="544"/>
      <c r="AUL47" s="545"/>
      <c r="AUM47" s="545"/>
      <c r="AUN47" s="545"/>
      <c r="AUO47" s="545"/>
      <c r="AUP47" s="545"/>
      <c r="AUQ47" s="545"/>
      <c r="AUR47" s="544"/>
      <c r="AUS47" s="545"/>
      <c r="AUT47" s="545"/>
      <c r="AUU47" s="545"/>
      <c r="AUV47" s="545"/>
      <c r="AUW47" s="545"/>
      <c r="AUX47" s="545"/>
      <c r="AUY47" s="544"/>
      <c r="AUZ47" s="545"/>
      <c r="AVA47" s="545"/>
      <c r="AVB47" s="545"/>
      <c r="AVC47" s="545"/>
      <c r="AVD47" s="545"/>
      <c r="AVE47" s="545"/>
      <c r="AVF47" s="544"/>
      <c r="AVG47" s="545"/>
      <c r="AVH47" s="545"/>
      <c r="AVI47" s="545"/>
      <c r="AVJ47" s="545"/>
      <c r="AVK47" s="545"/>
      <c r="AVL47" s="545"/>
      <c r="AVM47" s="544"/>
      <c r="AVN47" s="545"/>
      <c r="AVO47" s="545"/>
      <c r="AVP47" s="545"/>
      <c r="AVQ47" s="545"/>
      <c r="AVR47" s="545"/>
      <c r="AVS47" s="545"/>
      <c r="AVT47" s="544"/>
      <c r="AVU47" s="545"/>
      <c r="AVV47" s="545"/>
      <c r="AVW47" s="545"/>
      <c r="AVX47" s="545"/>
      <c r="AVY47" s="545"/>
      <c r="AVZ47" s="545"/>
      <c r="AWA47" s="544"/>
      <c r="AWB47" s="545"/>
      <c r="AWC47" s="545"/>
      <c r="AWD47" s="545"/>
      <c r="AWE47" s="545"/>
      <c r="AWF47" s="545"/>
      <c r="AWG47" s="545"/>
      <c r="AWH47" s="544"/>
      <c r="AWI47" s="545"/>
      <c r="AWJ47" s="545"/>
      <c r="AWK47" s="545"/>
      <c r="AWL47" s="545"/>
      <c r="AWM47" s="545"/>
      <c r="AWN47" s="545"/>
      <c r="AWO47" s="544"/>
      <c r="AWP47" s="545"/>
      <c r="AWQ47" s="545"/>
      <c r="AWR47" s="545"/>
      <c r="AWS47" s="545"/>
      <c r="AWT47" s="545"/>
      <c r="AWU47" s="545"/>
      <c r="AWV47" s="544"/>
      <c r="AWW47" s="545"/>
      <c r="AWX47" s="545"/>
      <c r="AWY47" s="545"/>
      <c r="AWZ47" s="545"/>
      <c r="AXA47" s="545"/>
      <c r="AXB47" s="545"/>
      <c r="AXC47" s="544"/>
      <c r="AXD47" s="545"/>
      <c r="AXE47" s="545"/>
      <c r="AXF47" s="545"/>
      <c r="AXG47" s="545"/>
      <c r="AXH47" s="545"/>
      <c r="AXI47" s="545"/>
      <c r="AXJ47" s="544"/>
      <c r="AXK47" s="545"/>
      <c r="AXL47" s="545"/>
      <c r="AXM47" s="545"/>
      <c r="AXN47" s="545"/>
      <c r="AXO47" s="545"/>
      <c r="AXP47" s="545"/>
      <c r="AXQ47" s="544"/>
      <c r="AXR47" s="545"/>
      <c r="AXS47" s="545"/>
      <c r="AXT47" s="545"/>
      <c r="AXU47" s="545"/>
      <c r="AXV47" s="545"/>
      <c r="AXW47" s="545"/>
      <c r="AXX47" s="544"/>
      <c r="AXY47" s="545"/>
      <c r="AXZ47" s="545"/>
      <c r="AYA47" s="545"/>
      <c r="AYB47" s="545"/>
      <c r="AYC47" s="545"/>
      <c r="AYD47" s="545"/>
      <c r="AYE47" s="544"/>
      <c r="AYF47" s="545"/>
      <c r="AYG47" s="545"/>
      <c r="AYH47" s="545"/>
      <c r="AYI47" s="545"/>
      <c r="AYJ47" s="545"/>
      <c r="AYK47" s="545"/>
      <c r="AYL47" s="544"/>
      <c r="AYM47" s="545"/>
      <c r="AYN47" s="545"/>
      <c r="AYO47" s="545"/>
      <c r="AYP47" s="545"/>
      <c r="AYQ47" s="545"/>
      <c r="AYR47" s="545"/>
      <c r="AYS47" s="544"/>
      <c r="AYT47" s="545"/>
      <c r="AYU47" s="545"/>
      <c r="AYV47" s="545"/>
      <c r="AYW47" s="545"/>
      <c r="AYX47" s="545"/>
      <c r="AYY47" s="545"/>
      <c r="AYZ47" s="544"/>
      <c r="AZA47" s="545"/>
      <c r="AZB47" s="545"/>
      <c r="AZC47" s="545"/>
      <c r="AZD47" s="545"/>
      <c r="AZE47" s="545"/>
      <c r="AZF47" s="545"/>
      <c r="AZG47" s="544"/>
      <c r="AZH47" s="545"/>
      <c r="AZI47" s="545"/>
      <c r="AZJ47" s="545"/>
      <c r="AZK47" s="545"/>
      <c r="AZL47" s="545"/>
      <c r="AZM47" s="545"/>
      <c r="AZN47" s="544"/>
      <c r="AZO47" s="545"/>
      <c r="AZP47" s="545"/>
      <c r="AZQ47" s="545"/>
      <c r="AZR47" s="545"/>
      <c r="AZS47" s="545"/>
      <c r="AZT47" s="545"/>
      <c r="AZU47" s="544"/>
      <c r="AZV47" s="545"/>
      <c r="AZW47" s="545"/>
      <c r="AZX47" s="545"/>
      <c r="AZY47" s="545"/>
      <c r="AZZ47" s="545"/>
      <c r="BAA47" s="545"/>
      <c r="BAB47" s="544"/>
      <c r="BAC47" s="545"/>
      <c r="BAD47" s="545"/>
      <c r="BAE47" s="545"/>
      <c r="BAF47" s="545"/>
      <c r="BAG47" s="545"/>
      <c r="BAH47" s="545"/>
      <c r="BAI47" s="544"/>
      <c r="BAJ47" s="545"/>
      <c r="BAK47" s="545"/>
      <c r="BAL47" s="545"/>
      <c r="BAM47" s="545"/>
      <c r="BAN47" s="545"/>
      <c r="BAO47" s="545"/>
      <c r="BAP47" s="544"/>
      <c r="BAQ47" s="545"/>
      <c r="BAR47" s="545"/>
      <c r="BAS47" s="545"/>
      <c r="BAT47" s="545"/>
      <c r="BAU47" s="545"/>
      <c r="BAV47" s="545"/>
      <c r="BAW47" s="544"/>
      <c r="BAX47" s="545"/>
      <c r="BAY47" s="545"/>
      <c r="BAZ47" s="545"/>
      <c r="BBA47" s="545"/>
      <c r="BBB47" s="545"/>
      <c r="BBC47" s="545"/>
      <c r="BBD47" s="544"/>
      <c r="BBE47" s="545"/>
      <c r="BBF47" s="545"/>
      <c r="BBG47" s="545"/>
      <c r="BBH47" s="545"/>
      <c r="BBI47" s="545"/>
      <c r="BBJ47" s="545"/>
      <c r="BBK47" s="544"/>
      <c r="BBL47" s="545"/>
      <c r="BBM47" s="545"/>
      <c r="BBN47" s="545"/>
      <c r="BBO47" s="545"/>
      <c r="BBP47" s="545"/>
      <c r="BBQ47" s="545"/>
      <c r="BBR47" s="544"/>
      <c r="BBS47" s="545"/>
      <c r="BBT47" s="545"/>
      <c r="BBU47" s="545"/>
      <c r="BBV47" s="545"/>
      <c r="BBW47" s="545"/>
      <c r="BBX47" s="545"/>
      <c r="BBY47" s="544"/>
      <c r="BBZ47" s="545"/>
      <c r="BCA47" s="545"/>
      <c r="BCB47" s="545"/>
      <c r="BCC47" s="545"/>
      <c r="BCD47" s="545"/>
      <c r="BCE47" s="545"/>
      <c r="BCF47" s="544"/>
      <c r="BCG47" s="545"/>
      <c r="BCH47" s="545"/>
      <c r="BCI47" s="545"/>
      <c r="BCJ47" s="545"/>
      <c r="BCK47" s="545"/>
      <c r="BCL47" s="545"/>
      <c r="BCM47" s="544"/>
      <c r="BCN47" s="545"/>
      <c r="BCO47" s="545"/>
      <c r="BCP47" s="545"/>
      <c r="BCQ47" s="545"/>
      <c r="BCR47" s="545"/>
      <c r="BCS47" s="545"/>
      <c r="BCT47" s="544"/>
      <c r="BCU47" s="545"/>
      <c r="BCV47" s="545"/>
      <c r="BCW47" s="545"/>
      <c r="BCX47" s="545"/>
      <c r="BCY47" s="545"/>
      <c r="BCZ47" s="545"/>
      <c r="BDA47" s="544"/>
      <c r="BDB47" s="545"/>
      <c r="BDC47" s="545"/>
      <c r="BDD47" s="545"/>
      <c r="BDE47" s="545"/>
      <c r="BDF47" s="545"/>
      <c r="BDG47" s="545"/>
      <c r="BDH47" s="544"/>
      <c r="BDI47" s="545"/>
      <c r="BDJ47" s="545"/>
      <c r="BDK47" s="545"/>
      <c r="BDL47" s="545"/>
      <c r="BDM47" s="545"/>
      <c r="BDN47" s="545"/>
      <c r="BDO47" s="544"/>
      <c r="BDP47" s="545"/>
      <c r="BDQ47" s="545"/>
      <c r="BDR47" s="545"/>
      <c r="BDS47" s="545"/>
      <c r="BDT47" s="545"/>
      <c r="BDU47" s="545"/>
      <c r="BDV47" s="544"/>
      <c r="BDW47" s="545"/>
      <c r="BDX47" s="545"/>
      <c r="BDY47" s="545"/>
      <c r="BDZ47" s="545"/>
      <c r="BEA47" s="545"/>
      <c r="BEB47" s="545"/>
      <c r="BEC47" s="544"/>
      <c r="BED47" s="545"/>
      <c r="BEE47" s="545"/>
      <c r="BEF47" s="545"/>
      <c r="BEG47" s="545"/>
      <c r="BEH47" s="545"/>
      <c r="BEI47" s="545"/>
      <c r="BEJ47" s="544"/>
      <c r="BEK47" s="545"/>
      <c r="BEL47" s="545"/>
      <c r="BEM47" s="545"/>
      <c r="BEN47" s="545"/>
      <c r="BEO47" s="545"/>
      <c r="BEP47" s="545"/>
      <c r="BEQ47" s="544"/>
      <c r="BER47" s="545"/>
      <c r="BES47" s="545"/>
      <c r="BET47" s="545"/>
      <c r="BEU47" s="545"/>
      <c r="BEV47" s="545"/>
      <c r="BEW47" s="545"/>
      <c r="BEX47" s="544"/>
      <c r="BEY47" s="545"/>
      <c r="BEZ47" s="545"/>
      <c r="BFA47" s="545"/>
      <c r="BFB47" s="545"/>
      <c r="BFC47" s="545"/>
      <c r="BFD47" s="545"/>
      <c r="BFE47" s="544"/>
      <c r="BFF47" s="545"/>
      <c r="BFG47" s="545"/>
      <c r="BFH47" s="545"/>
      <c r="BFI47" s="545"/>
      <c r="BFJ47" s="545"/>
      <c r="BFK47" s="545"/>
      <c r="BFL47" s="544"/>
      <c r="BFM47" s="545"/>
      <c r="BFN47" s="545"/>
      <c r="BFO47" s="545"/>
      <c r="BFP47" s="545"/>
      <c r="BFQ47" s="545"/>
      <c r="BFR47" s="545"/>
      <c r="BFS47" s="544"/>
      <c r="BFT47" s="545"/>
      <c r="BFU47" s="545"/>
      <c r="BFV47" s="545"/>
      <c r="BFW47" s="545"/>
      <c r="BFX47" s="545"/>
      <c r="BFY47" s="545"/>
      <c r="BFZ47" s="544"/>
      <c r="BGA47" s="545"/>
      <c r="BGB47" s="545"/>
      <c r="BGC47" s="545"/>
      <c r="BGD47" s="545"/>
      <c r="BGE47" s="545"/>
      <c r="BGF47" s="545"/>
      <c r="BGG47" s="544"/>
      <c r="BGH47" s="545"/>
      <c r="BGI47" s="545"/>
      <c r="BGJ47" s="545"/>
      <c r="BGK47" s="545"/>
      <c r="BGL47" s="545"/>
      <c r="BGM47" s="545"/>
      <c r="BGN47" s="544"/>
      <c r="BGO47" s="545"/>
      <c r="BGP47" s="545"/>
      <c r="BGQ47" s="545"/>
      <c r="BGR47" s="545"/>
      <c r="BGS47" s="545"/>
      <c r="BGT47" s="545"/>
      <c r="BGU47" s="544"/>
      <c r="BGV47" s="545"/>
      <c r="BGW47" s="545"/>
      <c r="BGX47" s="545"/>
      <c r="BGY47" s="545"/>
      <c r="BGZ47" s="545"/>
      <c r="BHA47" s="545"/>
      <c r="BHB47" s="544"/>
      <c r="BHC47" s="545"/>
      <c r="BHD47" s="545"/>
      <c r="BHE47" s="545"/>
      <c r="BHF47" s="545"/>
      <c r="BHG47" s="545"/>
      <c r="BHH47" s="545"/>
      <c r="BHI47" s="544"/>
      <c r="BHJ47" s="545"/>
      <c r="BHK47" s="545"/>
      <c r="BHL47" s="545"/>
      <c r="BHM47" s="545"/>
      <c r="BHN47" s="545"/>
      <c r="BHO47" s="545"/>
      <c r="BHP47" s="544"/>
      <c r="BHQ47" s="545"/>
      <c r="BHR47" s="545"/>
      <c r="BHS47" s="545"/>
      <c r="BHT47" s="545"/>
      <c r="BHU47" s="545"/>
      <c r="BHV47" s="545"/>
      <c r="BHW47" s="544"/>
      <c r="BHX47" s="545"/>
      <c r="BHY47" s="545"/>
      <c r="BHZ47" s="545"/>
      <c r="BIA47" s="545"/>
      <c r="BIB47" s="545"/>
      <c r="BIC47" s="545"/>
      <c r="BID47" s="544"/>
      <c r="BIE47" s="545"/>
      <c r="BIF47" s="545"/>
      <c r="BIG47" s="545"/>
      <c r="BIH47" s="545"/>
      <c r="BII47" s="545"/>
      <c r="BIJ47" s="545"/>
      <c r="BIK47" s="544"/>
      <c r="BIL47" s="545"/>
      <c r="BIM47" s="545"/>
      <c r="BIN47" s="545"/>
      <c r="BIO47" s="545"/>
      <c r="BIP47" s="545"/>
      <c r="BIQ47" s="545"/>
      <c r="BIR47" s="544"/>
      <c r="BIS47" s="545"/>
      <c r="BIT47" s="545"/>
      <c r="BIU47" s="545"/>
      <c r="BIV47" s="545"/>
      <c r="BIW47" s="545"/>
      <c r="BIX47" s="545"/>
      <c r="BIY47" s="544"/>
      <c r="BIZ47" s="545"/>
      <c r="BJA47" s="545"/>
      <c r="BJB47" s="545"/>
      <c r="BJC47" s="545"/>
      <c r="BJD47" s="545"/>
      <c r="BJE47" s="545"/>
      <c r="BJF47" s="544"/>
      <c r="BJG47" s="545"/>
      <c r="BJH47" s="545"/>
      <c r="BJI47" s="545"/>
      <c r="BJJ47" s="545"/>
      <c r="BJK47" s="545"/>
      <c r="BJL47" s="545"/>
      <c r="BJM47" s="544"/>
      <c r="BJN47" s="545"/>
      <c r="BJO47" s="545"/>
      <c r="BJP47" s="545"/>
      <c r="BJQ47" s="545"/>
      <c r="BJR47" s="545"/>
      <c r="BJS47" s="545"/>
      <c r="BJT47" s="544"/>
      <c r="BJU47" s="545"/>
      <c r="BJV47" s="545"/>
      <c r="BJW47" s="545"/>
      <c r="BJX47" s="545"/>
      <c r="BJY47" s="545"/>
      <c r="BJZ47" s="545"/>
      <c r="BKA47" s="544"/>
      <c r="BKB47" s="545"/>
      <c r="BKC47" s="545"/>
      <c r="BKD47" s="545"/>
      <c r="BKE47" s="545"/>
      <c r="BKF47" s="545"/>
      <c r="BKG47" s="545"/>
      <c r="BKH47" s="544"/>
      <c r="BKI47" s="545"/>
      <c r="BKJ47" s="545"/>
      <c r="BKK47" s="545"/>
      <c r="BKL47" s="545"/>
      <c r="BKM47" s="545"/>
      <c r="BKN47" s="545"/>
      <c r="BKO47" s="544"/>
      <c r="BKP47" s="545"/>
      <c r="BKQ47" s="545"/>
      <c r="BKR47" s="545"/>
      <c r="BKS47" s="545"/>
      <c r="BKT47" s="545"/>
      <c r="BKU47" s="545"/>
      <c r="BKV47" s="544"/>
      <c r="BKW47" s="545"/>
      <c r="BKX47" s="545"/>
      <c r="BKY47" s="545"/>
      <c r="BKZ47" s="545"/>
      <c r="BLA47" s="545"/>
      <c r="BLB47" s="545"/>
      <c r="BLC47" s="544"/>
      <c r="BLD47" s="545"/>
      <c r="BLE47" s="545"/>
      <c r="BLF47" s="545"/>
      <c r="BLG47" s="545"/>
      <c r="BLH47" s="545"/>
      <c r="BLI47" s="545"/>
      <c r="BLJ47" s="544"/>
      <c r="BLK47" s="545"/>
      <c r="BLL47" s="545"/>
      <c r="BLM47" s="545"/>
      <c r="BLN47" s="545"/>
      <c r="BLO47" s="545"/>
      <c r="BLP47" s="545"/>
      <c r="BLQ47" s="544"/>
      <c r="BLR47" s="545"/>
      <c r="BLS47" s="545"/>
      <c r="BLT47" s="545"/>
      <c r="BLU47" s="545"/>
      <c r="BLV47" s="545"/>
      <c r="BLW47" s="545"/>
      <c r="BLX47" s="544"/>
      <c r="BLY47" s="545"/>
      <c r="BLZ47" s="545"/>
      <c r="BMA47" s="545"/>
      <c r="BMB47" s="545"/>
      <c r="BMC47" s="545"/>
      <c r="BMD47" s="545"/>
      <c r="BME47" s="544"/>
      <c r="BMF47" s="545"/>
      <c r="BMG47" s="545"/>
      <c r="BMH47" s="545"/>
      <c r="BMI47" s="545"/>
      <c r="BMJ47" s="545"/>
      <c r="BMK47" s="545"/>
      <c r="BML47" s="544"/>
      <c r="BMM47" s="545"/>
      <c r="BMN47" s="545"/>
      <c r="BMO47" s="545"/>
      <c r="BMP47" s="545"/>
      <c r="BMQ47" s="545"/>
      <c r="BMR47" s="545"/>
      <c r="BMS47" s="544"/>
      <c r="BMT47" s="545"/>
      <c r="BMU47" s="545"/>
      <c r="BMV47" s="545"/>
      <c r="BMW47" s="545"/>
      <c r="BMX47" s="545"/>
      <c r="BMY47" s="545"/>
      <c r="BMZ47" s="544"/>
      <c r="BNA47" s="545"/>
      <c r="BNB47" s="545"/>
      <c r="BNC47" s="545"/>
      <c r="BND47" s="545"/>
      <c r="BNE47" s="545"/>
      <c r="BNF47" s="545"/>
      <c r="BNG47" s="544"/>
      <c r="BNH47" s="545"/>
      <c r="BNI47" s="545"/>
      <c r="BNJ47" s="545"/>
      <c r="BNK47" s="545"/>
      <c r="BNL47" s="545"/>
      <c r="BNM47" s="545"/>
      <c r="BNN47" s="544"/>
      <c r="BNO47" s="545"/>
      <c r="BNP47" s="545"/>
      <c r="BNQ47" s="545"/>
      <c r="BNR47" s="545"/>
      <c r="BNS47" s="545"/>
      <c r="BNT47" s="545"/>
      <c r="BNU47" s="544"/>
      <c r="BNV47" s="545"/>
      <c r="BNW47" s="545"/>
      <c r="BNX47" s="545"/>
      <c r="BNY47" s="545"/>
      <c r="BNZ47" s="545"/>
      <c r="BOA47" s="545"/>
      <c r="BOB47" s="544"/>
      <c r="BOC47" s="545"/>
      <c r="BOD47" s="545"/>
      <c r="BOE47" s="545"/>
      <c r="BOF47" s="545"/>
      <c r="BOG47" s="545"/>
      <c r="BOH47" s="545"/>
      <c r="BOI47" s="544"/>
      <c r="BOJ47" s="545"/>
      <c r="BOK47" s="545"/>
      <c r="BOL47" s="545"/>
      <c r="BOM47" s="545"/>
      <c r="BON47" s="545"/>
      <c r="BOO47" s="545"/>
      <c r="BOP47" s="544"/>
      <c r="BOQ47" s="545"/>
      <c r="BOR47" s="545"/>
      <c r="BOS47" s="545"/>
      <c r="BOT47" s="545"/>
      <c r="BOU47" s="545"/>
      <c r="BOV47" s="545"/>
      <c r="BOW47" s="544"/>
      <c r="BOX47" s="545"/>
      <c r="BOY47" s="545"/>
      <c r="BOZ47" s="545"/>
      <c r="BPA47" s="545"/>
      <c r="BPB47" s="545"/>
      <c r="BPC47" s="545"/>
      <c r="BPD47" s="544"/>
      <c r="BPE47" s="545"/>
      <c r="BPF47" s="545"/>
      <c r="BPG47" s="545"/>
      <c r="BPH47" s="545"/>
      <c r="BPI47" s="545"/>
      <c r="BPJ47" s="545"/>
      <c r="BPK47" s="544"/>
      <c r="BPL47" s="545"/>
      <c r="BPM47" s="545"/>
      <c r="BPN47" s="545"/>
      <c r="BPO47" s="545"/>
      <c r="BPP47" s="545"/>
      <c r="BPQ47" s="545"/>
      <c r="BPR47" s="544"/>
      <c r="BPS47" s="545"/>
      <c r="BPT47" s="545"/>
      <c r="BPU47" s="545"/>
      <c r="BPV47" s="545"/>
      <c r="BPW47" s="545"/>
      <c r="BPX47" s="545"/>
      <c r="BPY47" s="544"/>
      <c r="BPZ47" s="545"/>
      <c r="BQA47" s="545"/>
      <c r="BQB47" s="545"/>
      <c r="BQC47" s="545"/>
      <c r="BQD47" s="545"/>
      <c r="BQE47" s="545"/>
      <c r="BQF47" s="544"/>
      <c r="BQG47" s="545"/>
      <c r="BQH47" s="545"/>
      <c r="BQI47" s="545"/>
      <c r="BQJ47" s="545"/>
      <c r="BQK47" s="545"/>
      <c r="BQL47" s="545"/>
      <c r="BQM47" s="544"/>
      <c r="BQN47" s="545"/>
      <c r="BQO47" s="545"/>
      <c r="BQP47" s="545"/>
      <c r="BQQ47" s="545"/>
      <c r="BQR47" s="545"/>
      <c r="BQS47" s="545"/>
      <c r="BQT47" s="544"/>
      <c r="BQU47" s="545"/>
      <c r="BQV47" s="545"/>
      <c r="BQW47" s="545"/>
      <c r="BQX47" s="545"/>
      <c r="BQY47" s="545"/>
      <c r="BQZ47" s="545"/>
      <c r="BRA47" s="544"/>
      <c r="BRB47" s="545"/>
      <c r="BRC47" s="545"/>
      <c r="BRD47" s="545"/>
      <c r="BRE47" s="545"/>
      <c r="BRF47" s="545"/>
      <c r="BRG47" s="545"/>
      <c r="BRH47" s="544"/>
      <c r="BRI47" s="545"/>
      <c r="BRJ47" s="545"/>
      <c r="BRK47" s="545"/>
      <c r="BRL47" s="545"/>
      <c r="BRM47" s="545"/>
      <c r="BRN47" s="545"/>
      <c r="BRO47" s="544"/>
      <c r="BRP47" s="545"/>
      <c r="BRQ47" s="545"/>
      <c r="BRR47" s="545"/>
      <c r="BRS47" s="545"/>
      <c r="BRT47" s="545"/>
      <c r="BRU47" s="545"/>
      <c r="BRV47" s="544"/>
      <c r="BRW47" s="545"/>
      <c r="BRX47" s="545"/>
      <c r="BRY47" s="545"/>
      <c r="BRZ47" s="545"/>
      <c r="BSA47" s="545"/>
      <c r="BSB47" s="545"/>
      <c r="BSC47" s="544"/>
      <c r="BSD47" s="545"/>
      <c r="BSE47" s="545"/>
      <c r="BSF47" s="545"/>
      <c r="BSG47" s="545"/>
      <c r="BSH47" s="545"/>
      <c r="BSI47" s="545"/>
      <c r="BSJ47" s="544"/>
      <c r="BSK47" s="545"/>
      <c r="BSL47" s="545"/>
      <c r="BSM47" s="545"/>
      <c r="BSN47" s="545"/>
      <c r="BSO47" s="545"/>
      <c r="BSP47" s="545"/>
      <c r="BSQ47" s="544"/>
      <c r="BSR47" s="545"/>
      <c r="BSS47" s="545"/>
      <c r="BST47" s="545"/>
      <c r="BSU47" s="545"/>
      <c r="BSV47" s="545"/>
      <c r="BSW47" s="545"/>
      <c r="BSX47" s="544"/>
      <c r="BSY47" s="545"/>
      <c r="BSZ47" s="545"/>
      <c r="BTA47" s="545"/>
      <c r="BTB47" s="545"/>
      <c r="BTC47" s="545"/>
      <c r="BTD47" s="545"/>
      <c r="BTE47" s="544"/>
      <c r="BTF47" s="545"/>
      <c r="BTG47" s="545"/>
      <c r="BTH47" s="545"/>
      <c r="BTI47" s="545"/>
      <c r="BTJ47" s="545"/>
      <c r="BTK47" s="545"/>
      <c r="BTL47" s="544"/>
      <c r="BTM47" s="545"/>
      <c r="BTN47" s="545"/>
      <c r="BTO47" s="545"/>
      <c r="BTP47" s="545"/>
      <c r="BTQ47" s="545"/>
      <c r="BTR47" s="545"/>
      <c r="BTS47" s="544"/>
      <c r="BTT47" s="545"/>
      <c r="BTU47" s="545"/>
      <c r="BTV47" s="545"/>
      <c r="BTW47" s="545"/>
      <c r="BTX47" s="545"/>
      <c r="BTY47" s="545"/>
      <c r="BTZ47" s="544"/>
      <c r="BUA47" s="545"/>
      <c r="BUB47" s="545"/>
      <c r="BUC47" s="545"/>
      <c r="BUD47" s="545"/>
      <c r="BUE47" s="545"/>
      <c r="BUF47" s="545"/>
      <c r="BUG47" s="544"/>
      <c r="BUH47" s="545"/>
      <c r="BUI47" s="545"/>
      <c r="BUJ47" s="545"/>
      <c r="BUK47" s="545"/>
      <c r="BUL47" s="545"/>
      <c r="BUM47" s="545"/>
      <c r="BUN47" s="544"/>
      <c r="BUO47" s="545"/>
      <c r="BUP47" s="545"/>
      <c r="BUQ47" s="545"/>
      <c r="BUR47" s="545"/>
      <c r="BUS47" s="545"/>
      <c r="BUT47" s="545"/>
      <c r="BUU47" s="544"/>
      <c r="BUV47" s="545"/>
      <c r="BUW47" s="545"/>
      <c r="BUX47" s="545"/>
      <c r="BUY47" s="545"/>
      <c r="BUZ47" s="545"/>
      <c r="BVA47" s="545"/>
      <c r="BVB47" s="544"/>
      <c r="BVC47" s="545"/>
      <c r="BVD47" s="545"/>
      <c r="BVE47" s="545"/>
      <c r="BVF47" s="545"/>
      <c r="BVG47" s="545"/>
      <c r="BVH47" s="545"/>
      <c r="BVI47" s="544"/>
      <c r="BVJ47" s="545"/>
      <c r="BVK47" s="545"/>
      <c r="BVL47" s="545"/>
      <c r="BVM47" s="545"/>
      <c r="BVN47" s="545"/>
      <c r="BVO47" s="545"/>
      <c r="BVP47" s="544"/>
      <c r="BVQ47" s="545"/>
      <c r="BVR47" s="545"/>
      <c r="BVS47" s="545"/>
      <c r="BVT47" s="545"/>
      <c r="BVU47" s="545"/>
      <c r="BVV47" s="545"/>
      <c r="BVW47" s="544"/>
      <c r="BVX47" s="545"/>
      <c r="BVY47" s="545"/>
      <c r="BVZ47" s="545"/>
      <c r="BWA47" s="545"/>
      <c r="BWB47" s="545"/>
      <c r="BWC47" s="545"/>
      <c r="BWD47" s="544"/>
      <c r="BWE47" s="545"/>
      <c r="BWF47" s="545"/>
      <c r="BWG47" s="545"/>
      <c r="BWH47" s="545"/>
      <c r="BWI47" s="545"/>
      <c r="BWJ47" s="545"/>
      <c r="BWK47" s="544"/>
      <c r="BWL47" s="545"/>
      <c r="BWM47" s="545"/>
      <c r="BWN47" s="545"/>
      <c r="BWO47" s="545"/>
      <c r="BWP47" s="545"/>
      <c r="BWQ47" s="545"/>
      <c r="BWR47" s="544"/>
      <c r="BWS47" s="545"/>
      <c r="BWT47" s="545"/>
      <c r="BWU47" s="545"/>
      <c r="BWV47" s="545"/>
      <c r="BWW47" s="545"/>
      <c r="BWX47" s="545"/>
      <c r="BWY47" s="544"/>
      <c r="BWZ47" s="545"/>
      <c r="BXA47" s="545"/>
      <c r="BXB47" s="545"/>
      <c r="BXC47" s="545"/>
      <c r="BXD47" s="545"/>
      <c r="BXE47" s="545"/>
      <c r="BXF47" s="544"/>
      <c r="BXG47" s="545"/>
      <c r="BXH47" s="545"/>
      <c r="BXI47" s="545"/>
      <c r="BXJ47" s="545"/>
      <c r="BXK47" s="545"/>
      <c r="BXL47" s="545"/>
      <c r="BXM47" s="544"/>
      <c r="BXN47" s="545"/>
      <c r="BXO47" s="545"/>
      <c r="BXP47" s="545"/>
      <c r="BXQ47" s="545"/>
      <c r="BXR47" s="545"/>
      <c r="BXS47" s="545"/>
      <c r="BXT47" s="544"/>
      <c r="BXU47" s="545"/>
      <c r="BXV47" s="545"/>
      <c r="BXW47" s="545"/>
      <c r="BXX47" s="545"/>
      <c r="BXY47" s="545"/>
      <c r="BXZ47" s="545"/>
      <c r="BYA47" s="544"/>
      <c r="BYB47" s="545"/>
      <c r="BYC47" s="545"/>
      <c r="BYD47" s="545"/>
      <c r="BYE47" s="545"/>
      <c r="BYF47" s="545"/>
      <c r="BYG47" s="545"/>
      <c r="BYH47" s="544"/>
      <c r="BYI47" s="545"/>
      <c r="BYJ47" s="545"/>
      <c r="BYK47" s="545"/>
      <c r="BYL47" s="545"/>
      <c r="BYM47" s="545"/>
      <c r="BYN47" s="545"/>
      <c r="BYO47" s="544"/>
      <c r="BYP47" s="545"/>
      <c r="BYQ47" s="545"/>
      <c r="BYR47" s="545"/>
      <c r="BYS47" s="545"/>
      <c r="BYT47" s="545"/>
      <c r="BYU47" s="545"/>
      <c r="BYV47" s="544"/>
      <c r="BYW47" s="545"/>
      <c r="BYX47" s="545"/>
      <c r="BYY47" s="545"/>
      <c r="BYZ47" s="545"/>
      <c r="BZA47" s="545"/>
      <c r="BZB47" s="545"/>
      <c r="BZC47" s="544"/>
      <c r="BZD47" s="545"/>
      <c r="BZE47" s="545"/>
      <c r="BZF47" s="545"/>
      <c r="BZG47" s="545"/>
      <c r="BZH47" s="545"/>
      <c r="BZI47" s="545"/>
      <c r="BZJ47" s="544"/>
      <c r="BZK47" s="545"/>
      <c r="BZL47" s="545"/>
      <c r="BZM47" s="545"/>
      <c r="BZN47" s="545"/>
      <c r="BZO47" s="545"/>
      <c r="BZP47" s="545"/>
      <c r="BZQ47" s="544"/>
      <c r="BZR47" s="545"/>
      <c r="BZS47" s="545"/>
      <c r="BZT47" s="545"/>
      <c r="BZU47" s="545"/>
      <c r="BZV47" s="545"/>
      <c r="BZW47" s="545"/>
      <c r="BZX47" s="544"/>
      <c r="BZY47" s="545"/>
      <c r="BZZ47" s="545"/>
      <c r="CAA47" s="545"/>
      <c r="CAB47" s="545"/>
      <c r="CAC47" s="545"/>
      <c r="CAD47" s="545"/>
      <c r="CAE47" s="544"/>
      <c r="CAF47" s="545"/>
      <c r="CAG47" s="545"/>
      <c r="CAH47" s="545"/>
      <c r="CAI47" s="545"/>
      <c r="CAJ47" s="545"/>
      <c r="CAK47" s="545"/>
      <c r="CAL47" s="544"/>
      <c r="CAM47" s="545"/>
      <c r="CAN47" s="545"/>
      <c r="CAO47" s="545"/>
      <c r="CAP47" s="545"/>
      <c r="CAQ47" s="545"/>
      <c r="CAR47" s="545"/>
      <c r="CAS47" s="544"/>
      <c r="CAT47" s="545"/>
      <c r="CAU47" s="545"/>
      <c r="CAV47" s="545"/>
      <c r="CAW47" s="545"/>
      <c r="CAX47" s="545"/>
      <c r="CAY47" s="545"/>
      <c r="CAZ47" s="544"/>
      <c r="CBA47" s="545"/>
      <c r="CBB47" s="545"/>
      <c r="CBC47" s="545"/>
      <c r="CBD47" s="545"/>
      <c r="CBE47" s="545"/>
      <c r="CBF47" s="545"/>
      <c r="CBG47" s="544"/>
      <c r="CBH47" s="545"/>
      <c r="CBI47" s="545"/>
      <c r="CBJ47" s="545"/>
      <c r="CBK47" s="545"/>
      <c r="CBL47" s="545"/>
      <c r="CBM47" s="545"/>
      <c r="CBN47" s="544"/>
      <c r="CBO47" s="545"/>
      <c r="CBP47" s="545"/>
      <c r="CBQ47" s="545"/>
      <c r="CBR47" s="545"/>
      <c r="CBS47" s="545"/>
      <c r="CBT47" s="545"/>
      <c r="CBU47" s="544"/>
      <c r="CBV47" s="545"/>
      <c r="CBW47" s="545"/>
      <c r="CBX47" s="545"/>
      <c r="CBY47" s="545"/>
      <c r="CBZ47" s="545"/>
      <c r="CCA47" s="545"/>
      <c r="CCB47" s="544"/>
      <c r="CCC47" s="545"/>
      <c r="CCD47" s="545"/>
      <c r="CCE47" s="545"/>
      <c r="CCF47" s="545"/>
      <c r="CCG47" s="545"/>
      <c r="CCH47" s="545"/>
      <c r="CCI47" s="544"/>
      <c r="CCJ47" s="545"/>
      <c r="CCK47" s="545"/>
      <c r="CCL47" s="545"/>
      <c r="CCM47" s="545"/>
      <c r="CCN47" s="545"/>
      <c r="CCO47" s="545"/>
      <c r="CCP47" s="544"/>
      <c r="CCQ47" s="545"/>
      <c r="CCR47" s="545"/>
      <c r="CCS47" s="545"/>
      <c r="CCT47" s="545"/>
      <c r="CCU47" s="545"/>
      <c r="CCV47" s="545"/>
      <c r="CCW47" s="544"/>
      <c r="CCX47" s="545"/>
      <c r="CCY47" s="545"/>
      <c r="CCZ47" s="545"/>
      <c r="CDA47" s="545"/>
      <c r="CDB47" s="545"/>
      <c r="CDC47" s="545"/>
      <c r="CDD47" s="544"/>
      <c r="CDE47" s="545"/>
      <c r="CDF47" s="545"/>
      <c r="CDG47" s="545"/>
      <c r="CDH47" s="545"/>
      <c r="CDI47" s="545"/>
      <c r="CDJ47" s="545"/>
      <c r="CDK47" s="544"/>
      <c r="CDL47" s="545"/>
      <c r="CDM47" s="545"/>
      <c r="CDN47" s="545"/>
      <c r="CDO47" s="545"/>
      <c r="CDP47" s="545"/>
      <c r="CDQ47" s="545"/>
      <c r="CDR47" s="544"/>
      <c r="CDS47" s="545"/>
      <c r="CDT47" s="545"/>
      <c r="CDU47" s="545"/>
      <c r="CDV47" s="545"/>
      <c r="CDW47" s="545"/>
      <c r="CDX47" s="545"/>
      <c r="CDY47" s="544"/>
      <c r="CDZ47" s="545"/>
      <c r="CEA47" s="545"/>
      <c r="CEB47" s="545"/>
      <c r="CEC47" s="545"/>
      <c r="CED47" s="545"/>
      <c r="CEE47" s="545"/>
      <c r="CEF47" s="544"/>
      <c r="CEG47" s="545"/>
      <c r="CEH47" s="545"/>
      <c r="CEI47" s="545"/>
      <c r="CEJ47" s="545"/>
      <c r="CEK47" s="545"/>
      <c r="CEL47" s="545"/>
      <c r="CEM47" s="544"/>
      <c r="CEN47" s="545"/>
      <c r="CEO47" s="545"/>
      <c r="CEP47" s="545"/>
      <c r="CEQ47" s="545"/>
      <c r="CER47" s="545"/>
      <c r="CES47" s="545"/>
      <c r="CET47" s="544"/>
      <c r="CEU47" s="545"/>
      <c r="CEV47" s="545"/>
      <c r="CEW47" s="545"/>
      <c r="CEX47" s="545"/>
      <c r="CEY47" s="545"/>
      <c r="CEZ47" s="545"/>
      <c r="CFA47" s="544"/>
      <c r="CFB47" s="545"/>
      <c r="CFC47" s="545"/>
      <c r="CFD47" s="545"/>
      <c r="CFE47" s="545"/>
      <c r="CFF47" s="545"/>
      <c r="CFG47" s="545"/>
      <c r="CFH47" s="544"/>
      <c r="CFI47" s="545"/>
      <c r="CFJ47" s="545"/>
      <c r="CFK47" s="545"/>
      <c r="CFL47" s="545"/>
      <c r="CFM47" s="545"/>
      <c r="CFN47" s="545"/>
      <c r="CFO47" s="544"/>
      <c r="CFP47" s="545"/>
      <c r="CFQ47" s="545"/>
      <c r="CFR47" s="545"/>
      <c r="CFS47" s="545"/>
      <c r="CFT47" s="545"/>
      <c r="CFU47" s="545"/>
      <c r="CFV47" s="544"/>
      <c r="CFW47" s="545"/>
      <c r="CFX47" s="545"/>
      <c r="CFY47" s="545"/>
      <c r="CFZ47" s="545"/>
      <c r="CGA47" s="545"/>
      <c r="CGB47" s="545"/>
      <c r="CGC47" s="544"/>
      <c r="CGD47" s="545"/>
      <c r="CGE47" s="545"/>
      <c r="CGF47" s="545"/>
      <c r="CGG47" s="545"/>
      <c r="CGH47" s="545"/>
      <c r="CGI47" s="545"/>
      <c r="CGJ47" s="544"/>
      <c r="CGK47" s="545"/>
      <c r="CGL47" s="545"/>
      <c r="CGM47" s="545"/>
      <c r="CGN47" s="545"/>
      <c r="CGO47" s="545"/>
      <c r="CGP47" s="545"/>
      <c r="CGQ47" s="544"/>
      <c r="CGR47" s="545"/>
      <c r="CGS47" s="545"/>
      <c r="CGT47" s="545"/>
      <c r="CGU47" s="545"/>
      <c r="CGV47" s="545"/>
      <c r="CGW47" s="545"/>
      <c r="CGX47" s="544"/>
      <c r="CGY47" s="545"/>
      <c r="CGZ47" s="545"/>
      <c r="CHA47" s="545"/>
      <c r="CHB47" s="545"/>
      <c r="CHC47" s="545"/>
      <c r="CHD47" s="545"/>
      <c r="CHE47" s="544"/>
      <c r="CHF47" s="545"/>
      <c r="CHG47" s="545"/>
      <c r="CHH47" s="545"/>
      <c r="CHI47" s="545"/>
      <c r="CHJ47" s="545"/>
      <c r="CHK47" s="545"/>
      <c r="CHL47" s="544"/>
      <c r="CHM47" s="545"/>
      <c r="CHN47" s="545"/>
      <c r="CHO47" s="545"/>
      <c r="CHP47" s="545"/>
      <c r="CHQ47" s="545"/>
      <c r="CHR47" s="545"/>
      <c r="CHS47" s="544"/>
      <c r="CHT47" s="545"/>
      <c r="CHU47" s="545"/>
      <c r="CHV47" s="545"/>
      <c r="CHW47" s="545"/>
      <c r="CHX47" s="545"/>
      <c r="CHY47" s="545"/>
      <c r="CHZ47" s="544"/>
      <c r="CIA47" s="545"/>
      <c r="CIB47" s="545"/>
      <c r="CIC47" s="545"/>
      <c r="CID47" s="545"/>
      <c r="CIE47" s="545"/>
      <c r="CIF47" s="545"/>
      <c r="CIG47" s="544"/>
      <c r="CIH47" s="545"/>
      <c r="CII47" s="545"/>
      <c r="CIJ47" s="545"/>
      <c r="CIK47" s="545"/>
      <c r="CIL47" s="545"/>
      <c r="CIM47" s="545"/>
      <c r="CIN47" s="544"/>
      <c r="CIO47" s="545"/>
      <c r="CIP47" s="545"/>
      <c r="CIQ47" s="545"/>
      <c r="CIR47" s="545"/>
      <c r="CIS47" s="545"/>
      <c r="CIT47" s="545"/>
      <c r="CIU47" s="544"/>
      <c r="CIV47" s="545"/>
      <c r="CIW47" s="545"/>
      <c r="CIX47" s="545"/>
      <c r="CIY47" s="545"/>
      <c r="CIZ47" s="545"/>
      <c r="CJA47" s="545"/>
      <c r="CJB47" s="544"/>
      <c r="CJC47" s="545"/>
      <c r="CJD47" s="545"/>
      <c r="CJE47" s="545"/>
      <c r="CJF47" s="545"/>
      <c r="CJG47" s="545"/>
      <c r="CJH47" s="545"/>
      <c r="CJI47" s="544"/>
      <c r="CJJ47" s="545"/>
      <c r="CJK47" s="545"/>
      <c r="CJL47" s="545"/>
      <c r="CJM47" s="545"/>
      <c r="CJN47" s="545"/>
      <c r="CJO47" s="545"/>
      <c r="CJP47" s="544"/>
      <c r="CJQ47" s="545"/>
      <c r="CJR47" s="545"/>
      <c r="CJS47" s="545"/>
      <c r="CJT47" s="545"/>
      <c r="CJU47" s="545"/>
      <c r="CJV47" s="545"/>
      <c r="CJW47" s="544"/>
      <c r="CJX47" s="545"/>
      <c r="CJY47" s="545"/>
      <c r="CJZ47" s="545"/>
      <c r="CKA47" s="545"/>
      <c r="CKB47" s="545"/>
      <c r="CKC47" s="545"/>
      <c r="CKD47" s="544"/>
      <c r="CKE47" s="545"/>
      <c r="CKF47" s="545"/>
      <c r="CKG47" s="545"/>
      <c r="CKH47" s="545"/>
      <c r="CKI47" s="545"/>
      <c r="CKJ47" s="545"/>
      <c r="CKK47" s="544"/>
      <c r="CKL47" s="545"/>
      <c r="CKM47" s="545"/>
      <c r="CKN47" s="545"/>
      <c r="CKO47" s="545"/>
      <c r="CKP47" s="545"/>
      <c r="CKQ47" s="545"/>
      <c r="CKR47" s="544"/>
      <c r="CKS47" s="545"/>
      <c r="CKT47" s="545"/>
      <c r="CKU47" s="545"/>
      <c r="CKV47" s="545"/>
      <c r="CKW47" s="545"/>
      <c r="CKX47" s="545"/>
      <c r="CKY47" s="544"/>
      <c r="CKZ47" s="545"/>
      <c r="CLA47" s="545"/>
      <c r="CLB47" s="545"/>
      <c r="CLC47" s="545"/>
      <c r="CLD47" s="545"/>
      <c r="CLE47" s="545"/>
      <c r="CLF47" s="544"/>
      <c r="CLG47" s="545"/>
      <c r="CLH47" s="545"/>
      <c r="CLI47" s="545"/>
      <c r="CLJ47" s="545"/>
      <c r="CLK47" s="545"/>
      <c r="CLL47" s="545"/>
      <c r="CLM47" s="544"/>
      <c r="CLN47" s="545"/>
      <c r="CLO47" s="545"/>
      <c r="CLP47" s="545"/>
      <c r="CLQ47" s="545"/>
      <c r="CLR47" s="545"/>
      <c r="CLS47" s="545"/>
      <c r="CLT47" s="544"/>
      <c r="CLU47" s="545"/>
      <c r="CLV47" s="545"/>
      <c r="CLW47" s="545"/>
      <c r="CLX47" s="545"/>
      <c r="CLY47" s="545"/>
      <c r="CLZ47" s="545"/>
      <c r="CMA47" s="544"/>
      <c r="CMB47" s="545"/>
      <c r="CMC47" s="545"/>
      <c r="CMD47" s="545"/>
      <c r="CME47" s="545"/>
      <c r="CMF47" s="545"/>
      <c r="CMG47" s="545"/>
      <c r="CMH47" s="544"/>
      <c r="CMI47" s="545"/>
      <c r="CMJ47" s="545"/>
      <c r="CMK47" s="545"/>
      <c r="CML47" s="545"/>
      <c r="CMM47" s="545"/>
      <c r="CMN47" s="545"/>
      <c r="CMO47" s="544"/>
      <c r="CMP47" s="545"/>
      <c r="CMQ47" s="545"/>
      <c r="CMR47" s="545"/>
      <c r="CMS47" s="545"/>
      <c r="CMT47" s="545"/>
      <c r="CMU47" s="545"/>
      <c r="CMV47" s="544"/>
      <c r="CMW47" s="545"/>
      <c r="CMX47" s="545"/>
      <c r="CMY47" s="545"/>
      <c r="CMZ47" s="545"/>
      <c r="CNA47" s="545"/>
      <c r="CNB47" s="545"/>
      <c r="CNC47" s="544"/>
      <c r="CND47" s="545"/>
      <c r="CNE47" s="545"/>
      <c r="CNF47" s="545"/>
      <c r="CNG47" s="545"/>
      <c r="CNH47" s="545"/>
      <c r="CNI47" s="545"/>
      <c r="CNJ47" s="544"/>
      <c r="CNK47" s="545"/>
      <c r="CNL47" s="545"/>
      <c r="CNM47" s="545"/>
      <c r="CNN47" s="545"/>
      <c r="CNO47" s="545"/>
      <c r="CNP47" s="545"/>
      <c r="CNQ47" s="544"/>
      <c r="CNR47" s="545"/>
      <c r="CNS47" s="545"/>
      <c r="CNT47" s="545"/>
      <c r="CNU47" s="545"/>
      <c r="CNV47" s="545"/>
      <c r="CNW47" s="545"/>
      <c r="CNX47" s="544"/>
      <c r="CNY47" s="545"/>
      <c r="CNZ47" s="545"/>
      <c r="COA47" s="545"/>
      <c r="COB47" s="545"/>
      <c r="COC47" s="545"/>
      <c r="COD47" s="545"/>
      <c r="COE47" s="544"/>
      <c r="COF47" s="545"/>
      <c r="COG47" s="545"/>
      <c r="COH47" s="545"/>
      <c r="COI47" s="545"/>
      <c r="COJ47" s="545"/>
      <c r="COK47" s="545"/>
      <c r="COL47" s="544"/>
      <c r="COM47" s="545"/>
      <c r="CON47" s="545"/>
      <c r="COO47" s="545"/>
      <c r="COP47" s="545"/>
      <c r="COQ47" s="545"/>
      <c r="COR47" s="545"/>
      <c r="COS47" s="544"/>
      <c r="COT47" s="545"/>
      <c r="COU47" s="545"/>
      <c r="COV47" s="545"/>
      <c r="COW47" s="545"/>
      <c r="COX47" s="545"/>
      <c r="COY47" s="545"/>
      <c r="COZ47" s="544"/>
      <c r="CPA47" s="545"/>
      <c r="CPB47" s="545"/>
      <c r="CPC47" s="545"/>
      <c r="CPD47" s="545"/>
      <c r="CPE47" s="545"/>
      <c r="CPF47" s="545"/>
      <c r="CPG47" s="544"/>
      <c r="CPH47" s="545"/>
      <c r="CPI47" s="545"/>
      <c r="CPJ47" s="545"/>
      <c r="CPK47" s="545"/>
      <c r="CPL47" s="545"/>
      <c r="CPM47" s="545"/>
      <c r="CPN47" s="544"/>
      <c r="CPO47" s="545"/>
      <c r="CPP47" s="545"/>
      <c r="CPQ47" s="545"/>
      <c r="CPR47" s="545"/>
      <c r="CPS47" s="545"/>
      <c r="CPT47" s="545"/>
      <c r="CPU47" s="544"/>
      <c r="CPV47" s="545"/>
      <c r="CPW47" s="545"/>
      <c r="CPX47" s="545"/>
      <c r="CPY47" s="545"/>
      <c r="CPZ47" s="545"/>
      <c r="CQA47" s="545"/>
      <c r="CQB47" s="544"/>
      <c r="CQC47" s="545"/>
      <c r="CQD47" s="545"/>
      <c r="CQE47" s="545"/>
      <c r="CQF47" s="545"/>
      <c r="CQG47" s="545"/>
      <c r="CQH47" s="545"/>
      <c r="CQI47" s="544"/>
      <c r="CQJ47" s="545"/>
      <c r="CQK47" s="545"/>
      <c r="CQL47" s="545"/>
      <c r="CQM47" s="545"/>
      <c r="CQN47" s="545"/>
      <c r="CQO47" s="545"/>
      <c r="CQP47" s="544"/>
      <c r="CQQ47" s="545"/>
      <c r="CQR47" s="545"/>
      <c r="CQS47" s="545"/>
      <c r="CQT47" s="545"/>
      <c r="CQU47" s="545"/>
      <c r="CQV47" s="545"/>
      <c r="CQW47" s="544"/>
      <c r="CQX47" s="545"/>
      <c r="CQY47" s="545"/>
      <c r="CQZ47" s="545"/>
      <c r="CRA47" s="545"/>
      <c r="CRB47" s="545"/>
      <c r="CRC47" s="545"/>
      <c r="CRD47" s="544"/>
      <c r="CRE47" s="545"/>
      <c r="CRF47" s="545"/>
      <c r="CRG47" s="545"/>
      <c r="CRH47" s="545"/>
      <c r="CRI47" s="545"/>
      <c r="CRJ47" s="545"/>
      <c r="CRK47" s="544"/>
      <c r="CRL47" s="545"/>
      <c r="CRM47" s="545"/>
      <c r="CRN47" s="545"/>
      <c r="CRO47" s="545"/>
      <c r="CRP47" s="545"/>
      <c r="CRQ47" s="545"/>
      <c r="CRR47" s="544"/>
      <c r="CRS47" s="545"/>
      <c r="CRT47" s="545"/>
      <c r="CRU47" s="545"/>
      <c r="CRV47" s="545"/>
      <c r="CRW47" s="545"/>
      <c r="CRX47" s="545"/>
      <c r="CRY47" s="544"/>
      <c r="CRZ47" s="545"/>
      <c r="CSA47" s="545"/>
      <c r="CSB47" s="545"/>
      <c r="CSC47" s="545"/>
      <c r="CSD47" s="545"/>
      <c r="CSE47" s="545"/>
      <c r="CSF47" s="544"/>
      <c r="CSG47" s="545"/>
      <c r="CSH47" s="545"/>
      <c r="CSI47" s="545"/>
      <c r="CSJ47" s="545"/>
      <c r="CSK47" s="545"/>
      <c r="CSL47" s="545"/>
      <c r="CSM47" s="544"/>
      <c r="CSN47" s="545"/>
      <c r="CSO47" s="545"/>
      <c r="CSP47" s="545"/>
      <c r="CSQ47" s="545"/>
      <c r="CSR47" s="545"/>
      <c r="CSS47" s="545"/>
      <c r="CST47" s="544"/>
      <c r="CSU47" s="545"/>
      <c r="CSV47" s="545"/>
      <c r="CSW47" s="545"/>
      <c r="CSX47" s="545"/>
      <c r="CSY47" s="545"/>
      <c r="CSZ47" s="545"/>
      <c r="CTA47" s="544"/>
      <c r="CTB47" s="545"/>
      <c r="CTC47" s="545"/>
      <c r="CTD47" s="545"/>
      <c r="CTE47" s="545"/>
      <c r="CTF47" s="545"/>
      <c r="CTG47" s="545"/>
      <c r="CTH47" s="544"/>
      <c r="CTI47" s="545"/>
      <c r="CTJ47" s="545"/>
      <c r="CTK47" s="545"/>
      <c r="CTL47" s="545"/>
      <c r="CTM47" s="545"/>
      <c r="CTN47" s="545"/>
      <c r="CTO47" s="544"/>
      <c r="CTP47" s="545"/>
      <c r="CTQ47" s="545"/>
      <c r="CTR47" s="545"/>
      <c r="CTS47" s="545"/>
      <c r="CTT47" s="545"/>
      <c r="CTU47" s="545"/>
      <c r="CTV47" s="544"/>
      <c r="CTW47" s="545"/>
      <c r="CTX47" s="545"/>
      <c r="CTY47" s="545"/>
      <c r="CTZ47" s="545"/>
      <c r="CUA47" s="545"/>
      <c r="CUB47" s="545"/>
      <c r="CUC47" s="544"/>
      <c r="CUD47" s="545"/>
      <c r="CUE47" s="545"/>
      <c r="CUF47" s="545"/>
      <c r="CUG47" s="545"/>
      <c r="CUH47" s="545"/>
      <c r="CUI47" s="545"/>
      <c r="CUJ47" s="544"/>
      <c r="CUK47" s="545"/>
      <c r="CUL47" s="545"/>
      <c r="CUM47" s="545"/>
      <c r="CUN47" s="545"/>
      <c r="CUO47" s="545"/>
      <c r="CUP47" s="545"/>
      <c r="CUQ47" s="544"/>
      <c r="CUR47" s="545"/>
      <c r="CUS47" s="545"/>
      <c r="CUT47" s="545"/>
      <c r="CUU47" s="545"/>
      <c r="CUV47" s="545"/>
      <c r="CUW47" s="545"/>
      <c r="CUX47" s="544"/>
      <c r="CUY47" s="545"/>
      <c r="CUZ47" s="545"/>
      <c r="CVA47" s="545"/>
      <c r="CVB47" s="545"/>
      <c r="CVC47" s="545"/>
      <c r="CVD47" s="545"/>
      <c r="CVE47" s="544"/>
      <c r="CVF47" s="545"/>
      <c r="CVG47" s="545"/>
      <c r="CVH47" s="545"/>
      <c r="CVI47" s="545"/>
      <c r="CVJ47" s="545"/>
      <c r="CVK47" s="545"/>
      <c r="CVL47" s="544"/>
      <c r="CVM47" s="545"/>
      <c r="CVN47" s="545"/>
      <c r="CVO47" s="545"/>
      <c r="CVP47" s="545"/>
      <c r="CVQ47" s="545"/>
      <c r="CVR47" s="545"/>
      <c r="CVS47" s="544"/>
      <c r="CVT47" s="545"/>
      <c r="CVU47" s="545"/>
      <c r="CVV47" s="545"/>
      <c r="CVW47" s="545"/>
      <c r="CVX47" s="545"/>
      <c r="CVY47" s="545"/>
      <c r="CVZ47" s="544"/>
      <c r="CWA47" s="545"/>
      <c r="CWB47" s="545"/>
      <c r="CWC47" s="545"/>
      <c r="CWD47" s="545"/>
      <c r="CWE47" s="545"/>
      <c r="CWF47" s="545"/>
      <c r="CWG47" s="544"/>
      <c r="CWH47" s="545"/>
      <c r="CWI47" s="545"/>
      <c r="CWJ47" s="545"/>
      <c r="CWK47" s="545"/>
      <c r="CWL47" s="545"/>
      <c r="CWM47" s="545"/>
      <c r="CWN47" s="544"/>
      <c r="CWO47" s="545"/>
      <c r="CWP47" s="545"/>
      <c r="CWQ47" s="545"/>
      <c r="CWR47" s="545"/>
      <c r="CWS47" s="545"/>
      <c r="CWT47" s="545"/>
      <c r="CWU47" s="544"/>
      <c r="CWV47" s="545"/>
      <c r="CWW47" s="545"/>
      <c r="CWX47" s="545"/>
      <c r="CWY47" s="545"/>
      <c r="CWZ47" s="545"/>
      <c r="CXA47" s="545"/>
      <c r="CXB47" s="544"/>
      <c r="CXC47" s="545"/>
      <c r="CXD47" s="545"/>
      <c r="CXE47" s="545"/>
      <c r="CXF47" s="545"/>
      <c r="CXG47" s="545"/>
      <c r="CXH47" s="545"/>
      <c r="CXI47" s="544"/>
      <c r="CXJ47" s="545"/>
      <c r="CXK47" s="545"/>
      <c r="CXL47" s="545"/>
      <c r="CXM47" s="545"/>
      <c r="CXN47" s="545"/>
      <c r="CXO47" s="545"/>
      <c r="CXP47" s="544"/>
      <c r="CXQ47" s="545"/>
      <c r="CXR47" s="545"/>
      <c r="CXS47" s="545"/>
      <c r="CXT47" s="545"/>
      <c r="CXU47" s="545"/>
      <c r="CXV47" s="545"/>
      <c r="CXW47" s="544"/>
      <c r="CXX47" s="545"/>
      <c r="CXY47" s="545"/>
      <c r="CXZ47" s="545"/>
      <c r="CYA47" s="545"/>
      <c r="CYB47" s="545"/>
      <c r="CYC47" s="545"/>
      <c r="CYD47" s="544"/>
      <c r="CYE47" s="545"/>
      <c r="CYF47" s="545"/>
      <c r="CYG47" s="545"/>
      <c r="CYH47" s="545"/>
      <c r="CYI47" s="545"/>
      <c r="CYJ47" s="545"/>
      <c r="CYK47" s="544"/>
      <c r="CYL47" s="545"/>
      <c r="CYM47" s="545"/>
      <c r="CYN47" s="545"/>
      <c r="CYO47" s="545"/>
      <c r="CYP47" s="545"/>
      <c r="CYQ47" s="545"/>
      <c r="CYR47" s="544"/>
      <c r="CYS47" s="545"/>
      <c r="CYT47" s="545"/>
      <c r="CYU47" s="545"/>
      <c r="CYV47" s="545"/>
      <c r="CYW47" s="545"/>
      <c r="CYX47" s="545"/>
      <c r="CYY47" s="544"/>
      <c r="CYZ47" s="545"/>
      <c r="CZA47" s="545"/>
      <c r="CZB47" s="545"/>
      <c r="CZC47" s="545"/>
      <c r="CZD47" s="545"/>
      <c r="CZE47" s="545"/>
      <c r="CZF47" s="544"/>
      <c r="CZG47" s="545"/>
      <c r="CZH47" s="545"/>
      <c r="CZI47" s="545"/>
      <c r="CZJ47" s="545"/>
      <c r="CZK47" s="545"/>
      <c r="CZL47" s="545"/>
      <c r="CZM47" s="544"/>
      <c r="CZN47" s="545"/>
      <c r="CZO47" s="545"/>
      <c r="CZP47" s="545"/>
      <c r="CZQ47" s="545"/>
      <c r="CZR47" s="545"/>
      <c r="CZS47" s="545"/>
      <c r="CZT47" s="544"/>
      <c r="CZU47" s="545"/>
      <c r="CZV47" s="545"/>
      <c r="CZW47" s="545"/>
      <c r="CZX47" s="545"/>
      <c r="CZY47" s="545"/>
      <c r="CZZ47" s="545"/>
      <c r="DAA47" s="544"/>
      <c r="DAB47" s="545"/>
      <c r="DAC47" s="545"/>
      <c r="DAD47" s="545"/>
      <c r="DAE47" s="545"/>
      <c r="DAF47" s="545"/>
      <c r="DAG47" s="545"/>
      <c r="DAH47" s="544"/>
      <c r="DAI47" s="545"/>
      <c r="DAJ47" s="545"/>
      <c r="DAK47" s="545"/>
      <c r="DAL47" s="545"/>
      <c r="DAM47" s="545"/>
      <c r="DAN47" s="545"/>
      <c r="DAO47" s="544"/>
      <c r="DAP47" s="545"/>
      <c r="DAQ47" s="545"/>
      <c r="DAR47" s="545"/>
      <c r="DAS47" s="545"/>
      <c r="DAT47" s="545"/>
      <c r="DAU47" s="545"/>
      <c r="DAV47" s="544"/>
      <c r="DAW47" s="545"/>
      <c r="DAX47" s="545"/>
      <c r="DAY47" s="545"/>
      <c r="DAZ47" s="545"/>
      <c r="DBA47" s="545"/>
      <c r="DBB47" s="545"/>
      <c r="DBC47" s="544"/>
      <c r="DBD47" s="545"/>
      <c r="DBE47" s="545"/>
      <c r="DBF47" s="545"/>
      <c r="DBG47" s="545"/>
      <c r="DBH47" s="545"/>
      <c r="DBI47" s="545"/>
      <c r="DBJ47" s="544"/>
      <c r="DBK47" s="545"/>
      <c r="DBL47" s="545"/>
      <c r="DBM47" s="545"/>
      <c r="DBN47" s="545"/>
      <c r="DBO47" s="545"/>
      <c r="DBP47" s="545"/>
      <c r="DBQ47" s="544"/>
      <c r="DBR47" s="545"/>
      <c r="DBS47" s="545"/>
      <c r="DBT47" s="545"/>
      <c r="DBU47" s="545"/>
      <c r="DBV47" s="545"/>
      <c r="DBW47" s="545"/>
      <c r="DBX47" s="544"/>
      <c r="DBY47" s="545"/>
      <c r="DBZ47" s="545"/>
      <c r="DCA47" s="545"/>
      <c r="DCB47" s="545"/>
      <c r="DCC47" s="545"/>
      <c r="DCD47" s="545"/>
      <c r="DCE47" s="544"/>
      <c r="DCF47" s="545"/>
      <c r="DCG47" s="545"/>
      <c r="DCH47" s="545"/>
      <c r="DCI47" s="545"/>
      <c r="DCJ47" s="545"/>
      <c r="DCK47" s="545"/>
      <c r="DCL47" s="544"/>
      <c r="DCM47" s="545"/>
      <c r="DCN47" s="545"/>
      <c r="DCO47" s="545"/>
      <c r="DCP47" s="545"/>
      <c r="DCQ47" s="545"/>
      <c r="DCR47" s="545"/>
      <c r="DCS47" s="544"/>
      <c r="DCT47" s="545"/>
      <c r="DCU47" s="545"/>
      <c r="DCV47" s="545"/>
      <c r="DCW47" s="545"/>
      <c r="DCX47" s="545"/>
      <c r="DCY47" s="545"/>
      <c r="DCZ47" s="544"/>
      <c r="DDA47" s="545"/>
      <c r="DDB47" s="545"/>
      <c r="DDC47" s="545"/>
      <c r="DDD47" s="545"/>
      <c r="DDE47" s="545"/>
      <c r="DDF47" s="545"/>
      <c r="DDG47" s="544"/>
      <c r="DDH47" s="545"/>
      <c r="DDI47" s="545"/>
      <c r="DDJ47" s="545"/>
      <c r="DDK47" s="545"/>
      <c r="DDL47" s="545"/>
      <c r="DDM47" s="545"/>
      <c r="DDN47" s="544"/>
      <c r="DDO47" s="545"/>
      <c r="DDP47" s="545"/>
      <c r="DDQ47" s="545"/>
      <c r="DDR47" s="545"/>
      <c r="DDS47" s="545"/>
      <c r="DDT47" s="545"/>
      <c r="DDU47" s="544"/>
      <c r="DDV47" s="545"/>
      <c r="DDW47" s="545"/>
      <c r="DDX47" s="545"/>
      <c r="DDY47" s="545"/>
      <c r="DDZ47" s="545"/>
      <c r="DEA47" s="545"/>
      <c r="DEB47" s="544"/>
      <c r="DEC47" s="545"/>
      <c r="DED47" s="545"/>
      <c r="DEE47" s="545"/>
      <c r="DEF47" s="545"/>
      <c r="DEG47" s="545"/>
      <c r="DEH47" s="545"/>
      <c r="DEI47" s="544"/>
      <c r="DEJ47" s="545"/>
      <c r="DEK47" s="545"/>
      <c r="DEL47" s="545"/>
      <c r="DEM47" s="545"/>
      <c r="DEN47" s="545"/>
      <c r="DEO47" s="545"/>
      <c r="DEP47" s="544"/>
      <c r="DEQ47" s="545"/>
      <c r="DER47" s="545"/>
      <c r="DES47" s="545"/>
      <c r="DET47" s="545"/>
      <c r="DEU47" s="545"/>
      <c r="DEV47" s="545"/>
      <c r="DEW47" s="544"/>
      <c r="DEX47" s="545"/>
      <c r="DEY47" s="545"/>
      <c r="DEZ47" s="545"/>
      <c r="DFA47" s="545"/>
      <c r="DFB47" s="545"/>
      <c r="DFC47" s="545"/>
      <c r="DFD47" s="544"/>
      <c r="DFE47" s="545"/>
      <c r="DFF47" s="545"/>
      <c r="DFG47" s="545"/>
      <c r="DFH47" s="545"/>
      <c r="DFI47" s="545"/>
      <c r="DFJ47" s="545"/>
      <c r="DFK47" s="544"/>
      <c r="DFL47" s="545"/>
      <c r="DFM47" s="545"/>
      <c r="DFN47" s="545"/>
      <c r="DFO47" s="545"/>
      <c r="DFP47" s="545"/>
      <c r="DFQ47" s="545"/>
      <c r="DFR47" s="544"/>
      <c r="DFS47" s="545"/>
      <c r="DFT47" s="545"/>
      <c r="DFU47" s="545"/>
      <c r="DFV47" s="545"/>
      <c r="DFW47" s="545"/>
      <c r="DFX47" s="545"/>
      <c r="DFY47" s="544"/>
      <c r="DFZ47" s="545"/>
      <c r="DGA47" s="545"/>
      <c r="DGB47" s="545"/>
      <c r="DGC47" s="545"/>
      <c r="DGD47" s="545"/>
      <c r="DGE47" s="545"/>
      <c r="DGF47" s="544"/>
      <c r="DGG47" s="545"/>
      <c r="DGH47" s="545"/>
      <c r="DGI47" s="545"/>
      <c r="DGJ47" s="545"/>
      <c r="DGK47" s="545"/>
      <c r="DGL47" s="545"/>
      <c r="DGM47" s="544"/>
      <c r="DGN47" s="545"/>
      <c r="DGO47" s="545"/>
      <c r="DGP47" s="545"/>
      <c r="DGQ47" s="545"/>
      <c r="DGR47" s="545"/>
      <c r="DGS47" s="545"/>
      <c r="DGT47" s="544"/>
      <c r="DGU47" s="545"/>
      <c r="DGV47" s="545"/>
      <c r="DGW47" s="545"/>
      <c r="DGX47" s="545"/>
      <c r="DGY47" s="545"/>
      <c r="DGZ47" s="545"/>
      <c r="DHA47" s="544"/>
      <c r="DHB47" s="545"/>
      <c r="DHC47" s="545"/>
      <c r="DHD47" s="545"/>
      <c r="DHE47" s="545"/>
      <c r="DHF47" s="545"/>
      <c r="DHG47" s="545"/>
      <c r="DHH47" s="544"/>
      <c r="DHI47" s="545"/>
      <c r="DHJ47" s="545"/>
      <c r="DHK47" s="545"/>
      <c r="DHL47" s="545"/>
      <c r="DHM47" s="545"/>
      <c r="DHN47" s="545"/>
      <c r="DHO47" s="544"/>
      <c r="DHP47" s="545"/>
      <c r="DHQ47" s="545"/>
      <c r="DHR47" s="545"/>
      <c r="DHS47" s="545"/>
      <c r="DHT47" s="545"/>
      <c r="DHU47" s="545"/>
      <c r="DHV47" s="544"/>
      <c r="DHW47" s="545"/>
      <c r="DHX47" s="545"/>
      <c r="DHY47" s="545"/>
      <c r="DHZ47" s="545"/>
      <c r="DIA47" s="545"/>
      <c r="DIB47" s="545"/>
      <c r="DIC47" s="544"/>
      <c r="DID47" s="545"/>
      <c r="DIE47" s="545"/>
      <c r="DIF47" s="545"/>
      <c r="DIG47" s="545"/>
      <c r="DIH47" s="545"/>
      <c r="DII47" s="545"/>
      <c r="DIJ47" s="544"/>
      <c r="DIK47" s="545"/>
      <c r="DIL47" s="545"/>
      <c r="DIM47" s="545"/>
      <c r="DIN47" s="545"/>
      <c r="DIO47" s="545"/>
      <c r="DIP47" s="545"/>
      <c r="DIQ47" s="544"/>
      <c r="DIR47" s="545"/>
      <c r="DIS47" s="545"/>
      <c r="DIT47" s="545"/>
      <c r="DIU47" s="545"/>
      <c r="DIV47" s="545"/>
      <c r="DIW47" s="545"/>
      <c r="DIX47" s="544"/>
      <c r="DIY47" s="545"/>
      <c r="DIZ47" s="545"/>
      <c r="DJA47" s="545"/>
      <c r="DJB47" s="545"/>
      <c r="DJC47" s="545"/>
      <c r="DJD47" s="545"/>
      <c r="DJE47" s="544"/>
      <c r="DJF47" s="545"/>
      <c r="DJG47" s="545"/>
      <c r="DJH47" s="545"/>
      <c r="DJI47" s="545"/>
      <c r="DJJ47" s="545"/>
      <c r="DJK47" s="545"/>
      <c r="DJL47" s="544"/>
      <c r="DJM47" s="545"/>
      <c r="DJN47" s="545"/>
      <c r="DJO47" s="545"/>
      <c r="DJP47" s="545"/>
      <c r="DJQ47" s="545"/>
      <c r="DJR47" s="545"/>
      <c r="DJS47" s="544"/>
      <c r="DJT47" s="545"/>
      <c r="DJU47" s="545"/>
      <c r="DJV47" s="545"/>
      <c r="DJW47" s="545"/>
      <c r="DJX47" s="545"/>
      <c r="DJY47" s="545"/>
      <c r="DJZ47" s="544"/>
      <c r="DKA47" s="545"/>
      <c r="DKB47" s="545"/>
      <c r="DKC47" s="545"/>
      <c r="DKD47" s="545"/>
      <c r="DKE47" s="545"/>
      <c r="DKF47" s="545"/>
      <c r="DKG47" s="544"/>
      <c r="DKH47" s="545"/>
      <c r="DKI47" s="545"/>
      <c r="DKJ47" s="545"/>
      <c r="DKK47" s="545"/>
      <c r="DKL47" s="545"/>
      <c r="DKM47" s="545"/>
      <c r="DKN47" s="544"/>
      <c r="DKO47" s="545"/>
      <c r="DKP47" s="545"/>
      <c r="DKQ47" s="545"/>
      <c r="DKR47" s="545"/>
      <c r="DKS47" s="545"/>
      <c r="DKT47" s="545"/>
      <c r="DKU47" s="544"/>
      <c r="DKV47" s="545"/>
      <c r="DKW47" s="545"/>
      <c r="DKX47" s="545"/>
      <c r="DKY47" s="545"/>
      <c r="DKZ47" s="545"/>
      <c r="DLA47" s="545"/>
      <c r="DLB47" s="544"/>
      <c r="DLC47" s="545"/>
      <c r="DLD47" s="545"/>
      <c r="DLE47" s="545"/>
      <c r="DLF47" s="545"/>
      <c r="DLG47" s="545"/>
      <c r="DLH47" s="545"/>
      <c r="DLI47" s="544"/>
      <c r="DLJ47" s="545"/>
      <c r="DLK47" s="545"/>
      <c r="DLL47" s="545"/>
      <c r="DLM47" s="545"/>
      <c r="DLN47" s="545"/>
      <c r="DLO47" s="545"/>
      <c r="DLP47" s="544"/>
      <c r="DLQ47" s="545"/>
      <c r="DLR47" s="545"/>
      <c r="DLS47" s="545"/>
      <c r="DLT47" s="545"/>
      <c r="DLU47" s="545"/>
      <c r="DLV47" s="545"/>
      <c r="DLW47" s="544"/>
      <c r="DLX47" s="545"/>
      <c r="DLY47" s="545"/>
      <c r="DLZ47" s="545"/>
      <c r="DMA47" s="545"/>
      <c r="DMB47" s="545"/>
      <c r="DMC47" s="545"/>
      <c r="DMD47" s="544"/>
      <c r="DME47" s="545"/>
      <c r="DMF47" s="545"/>
      <c r="DMG47" s="545"/>
      <c r="DMH47" s="545"/>
      <c r="DMI47" s="545"/>
      <c r="DMJ47" s="545"/>
      <c r="DMK47" s="544"/>
      <c r="DML47" s="545"/>
      <c r="DMM47" s="545"/>
      <c r="DMN47" s="545"/>
      <c r="DMO47" s="545"/>
      <c r="DMP47" s="545"/>
      <c r="DMQ47" s="545"/>
      <c r="DMR47" s="544"/>
      <c r="DMS47" s="545"/>
      <c r="DMT47" s="545"/>
      <c r="DMU47" s="545"/>
      <c r="DMV47" s="545"/>
      <c r="DMW47" s="545"/>
      <c r="DMX47" s="545"/>
      <c r="DMY47" s="544"/>
      <c r="DMZ47" s="545"/>
      <c r="DNA47" s="545"/>
      <c r="DNB47" s="545"/>
      <c r="DNC47" s="545"/>
      <c r="DND47" s="545"/>
      <c r="DNE47" s="545"/>
      <c r="DNF47" s="544"/>
      <c r="DNG47" s="545"/>
      <c r="DNH47" s="545"/>
      <c r="DNI47" s="545"/>
      <c r="DNJ47" s="545"/>
      <c r="DNK47" s="545"/>
      <c r="DNL47" s="545"/>
      <c r="DNM47" s="544"/>
      <c r="DNN47" s="545"/>
      <c r="DNO47" s="545"/>
      <c r="DNP47" s="545"/>
      <c r="DNQ47" s="545"/>
      <c r="DNR47" s="545"/>
      <c r="DNS47" s="545"/>
      <c r="DNT47" s="544"/>
      <c r="DNU47" s="545"/>
      <c r="DNV47" s="545"/>
      <c r="DNW47" s="545"/>
      <c r="DNX47" s="545"/>
      <c r="DNY47" s="545"/>
      <c r="DNZ47" s="545"/>
      <c r="DOA47" s="544"/>
      <c r="DOB47" s="545"/>
      <c r="DOC47" s="545"/>
      <c r="DOD47" s="545"/>
      <c r="DOE47" s="545"/>
      <c r="DOF47" s="545"/>
      <c r="DOG47" s="545"/>
      <c r="DOH47" s="544"/>
      <c r="DOI47" s="545"/>
      <c r="DOJ47" s="545"/>
      <c r="DOK47" s="545"/>
      <c r="DOL47" s="545"/>
      <c r="DOM47" s="545"/>
      <c r="DON47" s="545"/>
      <c r="DOO47" s="544"/>
      <c r="DOP47" s="545"/>
      <c r="DOQ47" s="545"/>
      <c r="DOR47" s="545"/>
      <c r="DOS47" s="545"/>
      <c r="DOT47" s="545"/>
      <c r="DOU47" s="545"/>
      <c r="DOV47" s="544"/>
      <c r="DOW47" s="545"/>
      <c r="DOX47" s="545"/>
      <c r="DOY47" s="545"/>
      <c r="DOZ47" s="545"/>
      <c r="DPA47" s="545"/>
      <c r="DPB47" s="545"/>
      <c r="DPC47" s="544"/>
      <c r="DPD47" s="545"/>
      <c r="DPE47" s="545"/>
      <c r="DPF47" s="545"/>
      <c r="DPG47" s="545"/>
      <c r="DPH47" s="545"/>
      <c r="DPI47" s="545"/>
      <c r="DPJ47" s="544"/>
      <c r="DPK47" s="545"/>
      <c r="DPL47" s="545"/>
      <c r="DPM47" s="545"/>
      <c r="DPN47" s="545"/>
      <c r="DPO47" s="545"/>
      <c r="DPP47" s="545"/>
      <c r="DPQ47" s="544"/>
      <c r="DPR47" s="545"/>
      <c r="DPS47" s="545"/>
      <c r="DPT47" s="545"/>
      <c r="DPU47" s="545"/>
      <c r="DPV47" s="545"/>
      <c r="DPW47" s="545"/>
      <c r="DPX47" s="544"/>
      <c r="DPY47" s="545"/>
      <c r="DPZ47" s="545"/>
      <c r="DQA47" s="545"/>
      <c r="DQB47" s="545"/>
      <c r="DQC47" s="545"/>
      <c r="DQD47" s="545"/>
      <c r="DQE47" s="544"/>
      <c r="DQF47" s="545"/>
      <c r="DQG47" s="545"/>
      <c r="DQH47" s="545"/>
      <c r="DQI47" s="545"/>
      <c r="DQJ47" s="545"/>
      <c r="DQK47" s="545"/>
      <c r="DQL47" s="544"/>
      <c r="DQM47" s="545"/>
      <c r="DQN47" s="545"/>
      <c r="DQO47" s="545"/>
      <c r="DQP47" s="545"/>
      <c r="DQQ47" s="545"/>
      <c r="DQR47" s="545"/>
      <c r="DQS47" s="544"/>
      <c r="DQT47" s="545"/>
      <c r="DQU47" s="545"/>
      <c r="DQV47" s="545"/>
      <c r="DQW47" s="545"/>
      <c r="DQX47" s="545"/>
      <c r="DQY47" s="545"/>
      <c r="DQZ47" s="544"/>
      <c r="DRA47" s="545"/>
      <c r="DRB47" s="545"/>
      <c r="DRC47" s="545"/>
      <c r="DRD47" s="545"/>
      <c r="DRE47" s="545"/>
      <c r="DRF47" s="545"/>
      <c r="DRG47" s="544"/>
      <c r="DRH47" s="545"/>
      <c r="DRI47" s="545"/>
      <c r="DRJ47" s="545"/>
      <c r="DRK47" s="545"/>
      <c r="DRL47" s="545"/>
      <c r="DRM47" s="545"/>
      <c r="DRN47" s="544"/>
      <c r="DRO47" s="545"/>
      <c r="DRP47" s="545"/>
      <c r="DRQ47" s="545"/>
      <c r="DRR47" s="545"/>
      <c r="DRS47" s="545"/>
      <c r="DRT47" s="545"/>
      <c r="DRU47" s="544"/>
      <c r="DRV47" s="545"/>
      <c r="DRW47" s="545"/>
      <c r="DRX47" s="545"/>
      <c r="DRY47" s="545"/>
      <c r="DRZ47" s="545"/>
      <c r="DSA47" s="545"/>
      <c r="DSB47" s="544"/>
      <c r="DSC47" s="545"/>
      <c r="DSD47" s="545"/>
      <c r="DSE47" s="545"/>
      <c r="DSF47" s="545"/>
      <c r="DSG47" s="545"/>
      <c r="DSH47" s="545"/>
      <c r="DSI47" s="544"/>
      <c r="DSJ47" s="545"/>
      <c r="DSK47" s="545"/>
      <c r="DSL47" s="545"/>
      <c r="DSM47" s="545"/>
      <c r="DSN47" s="545"/>
      <c r="DSO47" s="545"/>
      <c r="DSP47" s="544"/>
      <c r="DSQ47" s="545"/>
      <c r="DSR47" s="545"/>
      <c r="DSS47" s="545"/>
      <c r="DST47" s="545"/>
      <c r="DSU47" s="545"/>
      <c r="DSV47" s="545"/>
      <c r="DSW47" s="544"/>
      <c r="DSX47" s="545"/>
      <c r="DSY47" s="545"/>
      <c r="DSZ47" s="545"/>
      <c r="DTA47" s="545"/>
      <c r="DTB47" s="545"/>
      <c r="DTC47" s="545"/>
      <c r="DTD47" s="544"/>
      <c r="DTE47" s="545"/>
      <c r="DTF47" s="545"/>
      <c r="DTG47" s="545"/>
      <c r="DTH47" s="545"/>
      <c r="DTI47" s="545"/>
      <c r="DTJ47" s="545"/>
      <c r="DTK47" s="544"/>
      <c r="DTL47" s="545"/>
      <c r="DTM47" s="545"/>
      <c r="DTN47" s="545"/>
      <c r="DTO47" s="545"/>
      <c r="DTP47" s="545"/>
      <c r="DTQ47" s="545"/>
      <c r="DTR47" s="544"/>
      <c r="DTS47" s="545"/>
      <c r="DTT47" s="545"/>
      <c r="DTU47" s="545"/>
      <c r="DTV47" s="545"/>
      <c r="DTW47" s="545"/>
      <c r="DTX47" s="545"/>
      <c r="DTY47" s="544"/>
      <c r="DTZ47" s="545"/>
      <c r="DUA47" s="545"/>
      <c r="DUB47" s="545"/>
      <c r="DUC47" s="545"/>
      <c r="DUD47" s="545"/>
      <c r="DUE47" s="545"/>
      <c r="DUF47" s="544"/>
      <c r="DUG47" s="545"/>
      <c r="DUH47" s="545"/>
      <c r="DUI47" s="545"/>
      <c r="DUJ47" s="545"/>
      <c r="DUK47" s="545"/>
      <c r="DUL47" s="545"/>
      <c r="DUM47" s="544"/>
      <c r="DUN47" s="545"/>
      <c r="DUO47" s="545"/>
      <c r="DUP47" s="545"/>
      <c r="DUQ47" s="545"/>
      <c r="DUR47" s="545"/>
      <c r="DUS47" s="545"/>
      <c r="DUT47" s="544"/>
      <c r="DUU47" s="545"/>
      <c r="DUV47" s="545"/>
      <c r="DUW47" s="545"/>
      <c r="DUX47" s="545"/>
      <c r="DUY47" s="545"/>
      <c r="DUZ47" s="545"/>
      <c r="DVA47" s="544"/>
      <c r="DVB47" s="545"/>
      <c r="DVC47" s="545"/>
      <c r="DVD47" s="545"/>
      <c r="DVE47" s="545"/>
      <c r="DVF47" s="545"/>
      <c r="DVG47" s="545"/>
      <c r="DVH47" s="544"/>
      <c r="DVI47" s="545"/>
      <c r="DVJ47" s="545"/>
      <c r="DVK47" s="545"/>
      <c r="DVL47" s="545"/>
      <c r="DVM47" s="545"/>
      <c r="DVN47" s="545"/>
      <c r="DVO47" s="544"/>
      <c r="DVP47" s="545"/>
      <c r="DVQ47" s="545"/>
      <c r="DVR47" s="545"/>
      <c r="DVS47" s="545"/>
      <c r="DVT47" s="545"/>
      <c r="DVU47" s="545"/>
      <c r="DVV47" s="544"/>
      <c r="DVW47" s="545"/>
      <c r="DVX47" s="545"/>
      <c r="DVY47" s="545"/>
      <c r="DVZ47" s="545"/>
      <c r="DWA47" s="545"/>
      <c r="DWB47" s="545"/>
      <c r="DWC47" s="544"/>
      <c r="DWD47" s="545"/>
      <c r="DWE47" s="545"/>
      <c r="DWF47" s="545"/>
      <c r="DWG47" s="545"/>
      <c r="DWH47" s="545"/>
      <c r="DWI47" s="545"/>
      <c r="DWJ47" s="544"/>
      <c r="DWK47" s="545"/>
      <c r="DWL47" s="545"/>
      <c r="DWM47" s="545"/>
      <c r="DWN47" s="545"/>
      <c r="DWO47" s="545"/>
      <c r="DWP47" s="545"/>
      <c r="DWQ47" s="544"/>
      <c r="DWR47" s="545"/>
      <c r="DWS47" s="545"/>
      <c r="DWT47" s="545"/>
      <c r="DWU47" s="545"/>
      <c r="DWV47" s="545"/>
      <c r="DWW47" s="545"/>
      <c r="DWX47" s="544"/>
      <c r="DWY47" s="545"/>
      <c r="DWZ47" s="545"/>
      <c r="DXA47" s="545"/>
      <c r="DXB47" s="545"/>
      <c r="DXC47" s="545"/>
      <c r="DXD47" s="545"/>
      <c r="DXE47" s="544"/>
      <c r="DXF47" s="545"/>
      <c r="DXG47" s="545"/>
      <c r="DXH47" s="545"/>
      <c r="DXI47" s="545"/>
      <c r="DXJ47" s="545"/>
      <c r="DXK47" s="545"/>
      <c r="DXL47" s="544"/>
      <c r="DXM47" s="545"/>
      <c r="DXN47" s="545"/>
      <c r="DXO47" s="545"/>
      <c r="DXP47" s="545"/>
      <c r="DXQ47" s="545"/>
      <c r="DXR47" s="545"/>
      <c r="DXS47" s="544"/>
      <c r="DXT47" s="545"/>
      <c r="DXU47" s="545"/>
      <c r="DXV47" s="545"/>
      <c r="DXW47" s="545"/>
      <c r="DXX47" s="545"/>
      <c r="DXY47" s="545"/>
      <c r="DXZ47" s="544"/>
      <c r="DYA47" s="545"/>
      <c r="DYB47" s="545"/>
      <c r="DYC47" s="545"/>
      <c r="DYD47" s="545"/>
      <c r="DYE47" s="545"/>
      <c r="DYF47" s="545"/>
      <c r="DYG47" s="544"/>
      <c r="DYH47" s="545"/>
      <c r="DYI47" s="545"/>
      <c r="DYJ47" s="545"/>
      <c r="DYK47" s="545"/>
      <c r="DYL47" s="545"/>
      <c r="DYM47" s="545"/>
      <c r="DYN47" s="544"/>
      <c r="DYO47" s="545"/>
      <c r="DYP47" s="545"/>
      <c r="DYQ47" s="545"/>
      <c r="DYR47" s="545"/>
      <c r="DYS47" s="545"/>
      <c r="DYT47" s="545"/>
      <c r="DYU47" s="544"/>
      <c r="DYV47" s="545"/>
      <c r="DYW47" s="545"/>
      <c r="DYX47" s="545"/>
      <c r="DYY47" s="545"/>
      <c r="DYZ47" s="545"/>
      <c r="DZA47" s="545"/>
      <c r="DZB47" s="544"/>
      <c r="DZC47" s="545"/>
      <c r="DZD47" s="545"/>
      <c r="DZE47" s="545"/>
      <c r="DZF47" s="545"/>
      <c r="DZG47" s="545"/>
      <c r="DZH47" s="545"/>
      <c r="DZI47" s="544"/>
      <c r="DZJ47" s="545"/>
      <c r="DZK47" s="545"/>
      <c r="DZL47" s="545"/>
      <c r="DZM47" s="545"/>
      <c r="DZN47" s="545"/>
      <c r="DZO47" s="545"/>
      <c r="DZP47" s="544"/>
      <c r="DZQ47" s="545"/>
      <c r="DZR47" s="545"/>
      <c r="DZS47" s="545"/>
      <c r="DZT47" s="545"/>
      <c r="DZU47" s="545"/>
      <c r="DZV47" s="545"/>
      <c r="DZW47" s="544"/>
      <c r="DZX47" s="545"/>
      <c r="DZY47" s="545"/>
      <c r="DZZ47" s="545"/>
      <c r="EAA47" s="545"/>
      <c r="EAB47" s="545"/>
      <c r="EAC47" s="545"/>
      <c r="EAD47" s="544"/>
      <c r="EAE47" s="545"/>
      <c r="EAF47" s="545"/>
      <c r="EAG47" s="545"/>
      <c r="EAH47" s="545"/>
      <c r="EAI47" s="545"/>
      <c r="EAJ47" s="545"/>
      <c r="EAK47" s="544"/>
      <c r="EAL47" s="545"/>
      <c r="EAM47" s="545"/>
      <c r="EAN47" s="545"/>
      <c r="EAO47" s="545"/>
      <c r="EAP47" s="545"/>
      <c r="EAQ47" s="545"/>
      <c r="EAR47" s="544"/>
      <c r="EAS47" s="545"/>
      <c r="EAT47" s="545"/>
      <c r="EAU47" s="545"/>
      <c r="EAV47" s="545"/>
      <c r="EAW47" s="545"/>
      <c r="EAX47" s="545"/>
      <c r="EAY47" s="544"/>
      <c r="EAZ47" s="545"/>
      <c r="EBA47" s="545"/>
      <c r="EBB47" s="545"/>
      <c r="EBC47" s="545"/>
      <c r="EBD47" s="545"/>
      <c r="EBE47" s="545"/>
      <c r="EBF47" s="544"/>
      <c r="EBG47" s="545"/>
      <c r="EBH47" s="545"/>
      <c r="EBI47" s="545"/>
      <c r="EBJ47" s="545"/>
      <c r="EBK47" s="545"/>
      <c r="EBL47" s="545"/>
      <c r="EBM47" s="544"/>
      <c r="EBN47" s="545"/>
      <c r="EBO47" s="545"/>
      <c r="EBP47" s="545"/>
      <c r="EBQ47" s="545"/>
      <c r="EBR47" s="545"/>
      <c r="EBS47" s="545"/>
      <c r="EBT47" s="544"/>
      <c r="EBU47" s="545"/>
      <c r="EBV47" s="545"/>
      <c r="EBW47" s="545"/>
      <c r="EBX47" s="545"/>
      <c r="EBY47" s="545"/>
      <c r="EBZ47" s="545"/>
      <c r="ECA47" s="544"/>
      <c r="ECB47" s="545"/>
      <c r="ECC47" s="545"/>
      <c r="ECD47" s="545"/>
      <c r="ECE47" s="545"/>
      <c r="ECF47" s="545"/>
      <c r="ECG47" s="545"/>
      <c r="ECH47" s="544"/>
      <c r="ECI47" s="545"/>
      <c r="ECJ47" s="545"/>
      <c r="ECK47" s="545"/>
      <c r="ECL47" s="545"/>
      <c r="ECM47" s="545"/>
      <c r="ECN47" s="545"/>
      <c r="ECO47" s="544"/>
      <c r="ECP47" s="545"/>
      <c r="ECQ47" s="545"/>
      <c r="ECR47" s="545"/>
      <c r="ECS47" s="545"/>
      <c r="ECT47" s="545"/>
      <c r="ECU47" s="545"/>
      <c r="ECV47" s="544"/>
      <c r="ECW47" s="545"/>
      <c r="ECX47" s="545"/>
      <c r="ECY47" s="545"/>
      <c r="ECZ47" s="545"/>
      <c r="EDA47" s="545"/>
      <c r="EDB47" s="545"/>
      <c r="EDC47" s="544"/>
      <c r="EDD47" s="545"/>
      <c r="EDE47" s="545"/>
      <c r="EDF47" s="545"/>
      <c r="EDG47" s="545"/>
      <c r="EDH47" s="545"/>
      <c r="EDI47" s="545"/>
      <c r="EDJ47" s="544"/>
      <c r="EDK47" s="545"/>
      <c r="EDL47" s="545"/>
      <c r="EDM47" s="545"/>
      <c r="EDN47" s="545"/>
      <c r="EDO47" s="545"/>
      <c r="EDP47" s="545"/>
      <c r="EDQ47" s="544"/>
      <c r="EDR47" s="545"/>
      <c r="EDS47" s="545"/>
      <c r="EDT47" s="545"/>
      <c r="EDU47" s="545"/>
      <c r="EDV47" s="545"/>
      <c r="EDW47" s="545"/>
      <c r="EDX47" s="544"/>
      <c r="EDY47" s="545"/>
      <c r="EDZ47" s="545"/>
      <c r="EEA47" s="545"/>
      <c r="EEB47" s="545"/>
      <c r="EEC47" s="545"/>
      <c r="EED47" s="545"/>
      <c r="EEE47" s="544"/>
      <c r="EEF47" s="545"/>
      <c r="EEG47" s="545"/>
      <c r="EEH47" s="545"/>
      <c r="EEI47" s="545"/>
      <c r="EEJ47" s="545"/>
      <c r="EEK47" s="545"/>
      <c r="EEL47" s="544"/>
      <c r="EEM47" s="545"/>
      <c r="EEN47" s="545"/>
      <c r="EEO47" s="545"/>
      <c r="EEP47" s="545"/>
      <c r="EEQ47" s="545"/>
      <c r="EER47" s="545"/>
      <c r="EES47" s="544"/>
      <c r="EET47" s="545"/>
      <c r="EEU47" s="545"/>
      <c r="EEV47" s="545"/>
      <c r="EEW47" s="545"/>
      <c r="EEX47" s="545"/>
      <c r="EEY47" s="545"/>
      <c r="EEZ47" s="544"/>
      <c r="EFA47" s="545"/>
      <c r="EFB47" s="545"/>
      <c r="EFC47" s="545"/>
      <c r="EFD47" s="545"/>
      <c r="EFE47" s="545"/>
      <c r="EFF47" s="545"/>
      <c r="EFG47" s="544"/>
      <c r="EFH47" s="545"/>
      <c r="EFI47" s="545"/>
      <c r="EFJ47" s="545"/>
      <c r="EFK47" s="545"/>
      <c r="EFL47" s="545"/>
      <c r="EFM47" s="545"/>
      <c r="EFN47" s="544"/>
      <c r="EFO47" s="545"/>
      <c r="EFP47" s="545"/>
      <c r="EFQ47" s="545"/>
      <c r="EFR47" s="545"/>
      <c r="EFS47" s="545"/>
      <c r="EFT47" s="545"/>
      <c r="EFU47" s="544"/>
      <c r="EFV47" s="545"/>
      <c r="EFW47" s="545"/>
      <c r="EFX47" s="545"/>
      <c r="EFY47" s="545"/>
      <c r="EFZ47" s="545"/>
      <c r="EGA47" s="545"/>
      <c r="EGB47" s="544"/>
      <c r="EGC47" s="545"/>
      <c r="EGD47" s="545"/>
      <c r="EGE47" s="545"/>
      <c r="EGF47" s="545"/>
      <c r="EGG47" s="545"/>
      <c r="EGH47" s="545"/>
      <c r="EGI47" s="544"/>
      <c r="EGJ47" s="545"/>
      <c r="EGK47" s="545"/>
      <c r="EGL47" s="545"/>
      <c r="EGM47" s="545"/>
      <c r="EGN47" s="545"/>
      <c r="EGO47" s="545"/>
      <c r="EGP47" s="544"/>
      <c r="EGQ47" s="545"/>
      <c r="EGR47" s="545"/>
      <c r="EGS47" s="545"/>
      <c r="EGT47" s="545"/>
      <c r="EGU47" s="545"/>
      <c r="EGV47" s="545"/>
      <c r="EGW47" s="544"/>
      <c r="EGX47" s="545"/>
      <c r="EGY47" s="545"/>
      <c r="EGZ47" s="545"/>
      <c r="EHA47" s="545"/>
      <c r="EHB47" s="545"/>
      <c r="EHC47" s="545"/>
      <c r="EHD47" s="544"/>
      <c r="EHE47" s="545"/>
      <c r="EHF47" s="545"/>
      <c r="EHG47" s="545"/>
      <c r="EHH47" s="545"/>
      <c r="EHI47" s="545"/>
      <c r="EHJ47" s="545"/>
      <c r="EHK47" s="544"/>
      <c r="EHL47" s="545"/>
      <c r="EHM47" s="545"/>
      <c r="EHN47" s="545"/>
      <c r="EHO47" s="545"/>
      <c r="EHP47" s="545"/>
      <c r="EHQ47" s="545"/>
      <c r="EHR47" s="544"/>
      <c r="EHS47" s="545"/>
      <c r="EHT47" s="545"/>
      <c r="EHU47" s="545"/>
      <c r="EHV47" s="545"/>
      <c r="EHW47" s="545"/>
      <c r="EHX47" s="545"/>
      <c r="EHY47" s="544"/>
      <c r="EHZ47" s="545"/>
      <c r="EIA47" s="545"/>
      <c r="EIB47" s="545"/>
      <c r="EIC47" s="545"/>
      <c r="EID47" s="545"/>
      <c r="EIE47" s="545"/>
      <c r="EIF47" s="544"/>
      <c r="EIG47" s="545"/>
      <c r="EIH47" s="545"/>
      <c r="EII47" s="545"/>
      <c r="EIJ47" s="545"/>
      <c r="EIK47" s="545"/>
      <c r="EIL47" s="545"/>
      <c r="EIM47" s="544"/>
      <c r="EIN47" s="545"/>
      <c r="EIO47" s="545"/>
      <c r="EIP47" s="545"/>
      <c r="EIQ47" s="545"/>
      <c r="EIR47" s="545"/>
      <c r="EIS47" s="545"/>
      <c r="EIT47" s="544"/>
      <c r="EIU47" s="545"/>
      <c r="EIV47" s="545"/>
      <c r="EIW47" s="545"/>
      <c r="EIX47" s="545"/>
      <c r="EIY47" s="545"/>
      <c r="EIZ47" s="545"/>
      <c r="EJA47" s="544"/>
      <c r="EJB47" s="545"/>
      <c r="EJC47" s="545"/>
      <c r="EJD47" s="545"/>
      <c r="EJE47" s="545"/>
      <c r="EJF47" s="545"/>
      <c r="EJG47" s="545"/>
      <c r="EJH47" s="544"/>
      <c r="EJI47" s="545"/>
      <c r="EJJ47" s="545"/>
      <c r="EJK47" s="545"/>
      <c r="EJL47" s="545"/>
      <c r="EJM47" s="545"/>
      <c r="EJN47" s="545"/>
      <c r="EJO47" s="544"/>
      <c r="EJP47" s="545"/>
      <c r="EJQ47" s="545"/>
      <c r="EJR47" s="545"/>
      <c r="EJS47" s="545"/>
      <c r="EJT47" s="545"/>
      <c r="EJU47" s="545"/>
      <c r="EJV47" s="544"/>
      <c r="EJW47" s="545"/>
      <c r="EJX47" s="545"/>
      <c r="EJY47" s="545"/>
      <c r="EJZ47" s="545"/>
      <c r="EKA47" s="545"/>
      <c r="EKB47" s="545"/>
      <c r="EKC47" s="544"/>
      <c r="EKD47" s="545"/>
      <c r="EKE47" s="545"/>
      <c r="EKF47" s="545"/>
      <c r="EKG47" s="545"/>
      <c r="EKH47" s="545"/>
      <c r="EKI47" s="545"/>
      <c r="EKJ47" s="544"/>
      <c r="EKK47" s="545"/>
      <c r="EKL47" s="545"/>
      <c r="EKM47" s="545"/>
      <c r="EKN47" s="545"/>
      <c r="EKO47" s="545"/>
      <c r="EKP47" s="545"/>
      <c r="EKQ47" s="544"/>
      <c r="EKR47" s="545"/>
      <c r="EKS47" s="545"/>
      <c r="EKT47" s="545"/>
      <c r="EKU47" s="545"/>
      <c r="EKV47" s="545"/>
      <c r="EKW47" s="545"/>
      <c r="EKX47" s="544"/>
      <c r="EKY47" s="545"/>
      <c r="EKZ47" s="545"/>
      <c r="ELA47" s="545"/>
      <c r="ELB47" s="545"/>
      <c r="ELC47" s="545"/>
      <c r="ELD47" s="545"/>
      <c r="ELE47" s="544"/>
      <c r="ELF47" s="545"/>
      <c r="ELG47" s="545"/>
      <c r="ELH47" s="545"/>
      <c r="ELI47" s="545"/>
      <c r="ELJ47" s="545"/>
      <c r="ELK47" s="545"/>
      <c r="ELL47" s="544"/>
      <c r="ELM47" s="545"/>
      <c r="ELN47" s="545"/>
      <c r="ELO47" s="545"/>
      <c r="ELP47" s="545"/>
      <c r="ELQ47" s="545"/>
      <c r="ELR47" s="545"/>
      <c r="ELS47" s="544"/>
      <c r="ELT47" s="545"/>
      <c r="ELU47" s="545"/>
      <c r="ELV47" s="545"/>
      <c r="ELW47" s="545"/>
      <c r="ELX47" s="545"/>
      <c r="ELY47" s="545"/>
      <c r="ELZ47" s="544"/>
      <c r="EMA47" s="545"/>
      <c r="EMB47" s="545"/>
      <c r="EMC47" s="545"/>
      <c r="EMD47" s="545"/>
      <c r="EME47" s="545"/>
      <c r="EMF47" s="545"/>
      <c r="EMG47" s="544"/>
      <c r="EMH47" s="545"/>
      <c r="EMI47" s="545"/>
      <c r="EMJ47" s="545"/>
      <c r="EMK47" s="545"/>
      <c r="EML47" s="545"/>
      <c r="EMM47" s="545"/>
      <c r="EMN47" s="544"/>
      <c r="EMO47" s="545"/>
      <c r="EMP47" s="545"/>
      <c r="EMQ47" s="545"/>
      <c r="EMR47" s="545"/>
      <c r="EMS47" s="545"/>
      <c r="EMT47" s="545"/>
      <c r="EMU47" s="544"/>
      <c r="EMV47" s="545"/>
      <c r="EMW47" s="545"/>
      <c r="EMX47" s="545"/>
      <c r="EMY47" s="545"/>
      <c r="EMZ47" s="545"/>
      <c r="ENA47" s="545"/>
      <c r="ENB47" s="544"/>
      <c r="ENC47" s="545"/>
      <c r="END47" s="545"/>
      <c r="ENE47" s="545"/>
      <c r="ENF47" s="545"/>
      <c r="ENG47" s="545"/>
      <c r="ENH47" s="545"/>
      <c r="ENI47" s="544"/>
      <c r="ENJ47" s="545"/>
      <c r="ENK47" s="545"/>
      <c r="ENL47" s="545"/>
      <c r="ENM47" s="545"/>
      <c r="ENN47" s="545"/>
      <c r="ENO47" s="545"/>
      <c r="ENP47" s="544"/>
      <c r="ENQ47" s="545"/>
      <c r="ENR47" s="545"/>
      <c r="ENS47" s="545"/>
      <c r="ENT47" s="545"/>
      <c r="ENU47" s="545"/>
      <c r="ENV47" s="545"/>
      <c r="ENW47" s="544"/>
      <c r="ENX47" s="545"/>
      <c r="ENY47" s="545"/>
      <c r="ENZ47" s="545"/>
      <c r="EOA47" s="545"/>
      <c r="EOB47" s="545"/>
      <c r="EOC47" s="545"/>
      <c r="EOD47" s="544"/>
      <c r="EOE47" s="545"/>
      <c r="EOF47" s="545"/>
      <c r="EOG47" s="545"/>
      <c r="EOH47" s="545"/>
      <c r="EOI47" s="545"/>
      <c r="EOJ47" s="545"/>
      <c r="EOK47" s="544"/>
      <c r="EOL47" s="545"/>
      <c r="EOM47" s="545"/>
      <c r="EON47" s="545"/>
      <c r="EOO47" s="545"/>
      <c r="EOP47" s="545"/>
      <c r="EOQ47" s="545"/>
      <c r="EOR47" s="544"/>
      <c r="EOS47" s="545"/>
      <c r="EOT47" s="545"/>
      <c r="EOU47" s="545"/>
      <c r="EOV47" s="545"/>
      <c r="EOW47" s="545"/>
      <c r="EOX47" s="545"/>
      <c r="EOY47" s="544"/>
      <c r="EOZ47" s="545"/>
      <c r="EPA47" s="545"/>
      <c r="EPB47" s="545"/>
      <c r="EPC47" s="545"/>
      <c r="EPD47" s="545"/>
      <c r="EPE47" s="545"/>
      <c r="EPF47" s="544"/>
      <c r="EPG47" s="545"/>
      <c r="EPH47" s="545"/>
      <c r="EPI47" s="545"/>
      <c r="EPJ47" s="545"/>
      <c r="EPK47" s="545"/>
      <c r="EPL47" s="545"/>
      <c r="EPM47" s="544"/>
      <c r="EPN47" s="545"/>
      <c r="EPO47" s="545"/>
      <c r="EPP47" s="545"/>
      <c r="EPQ47" s="545"/>
      <c r="EPR47" s="545"/>
      <c r="EPS47" s="545"/>
      <c r="EPT47" s="544"/>
      <c r="EPU47" s="545"/>
      <c r="EPV47" s="545"/>
      <c r="EPW47" s="545"/>
      <c r="EPX47" s="545"/>
      <c r="EPY47" s="545"/>
      <c r="EPZ47" s="545"/>
      <c r="EQA47" s="544"/>
      <c r="EQB47" s="545"/>
      <c r="EQC47" s="545"/>
      <c r="EQD47" s="545"/>
      <c r="EQE47" s="545"/>
      <c r="EQF47" s="545"/>
      <c r="EQG47" s="545"/>
      <c r="EQH47" s="544"/>
      <c r="EQI47" s="545"/>
      <c r="EQJ47" s="545"/>
      <c r="EQK47" s="545"/>
      <c r="EQL47" s="545"/>
      <c r="EQM47" s="545"/>
      <c r="EQN47" s="545"/>
      <c r="EQO47" s="544"/>
      <c r="EQP47" s="545"/>
      <c r="EQQ47" s="545"/>
      <c r="EQR47" s="545"/>
      <c r="EQS47" s="545"/>
      <c r="EQT47" s="545"/>
      <c r="EQU47" s="545"/>
      <c r="EQV47" s="544"/>
      <c r="EQW47" s="545"/>
      <c r="EQX47" s="545"/>
      <c r="EQY47" s="545"/>
      <c r="EQZ47" s="545"/>
      <c r="ERA47" s="545"/>
      <c r="ERB47" s="545"/>
      <c r="ERC47" s="544"/>
      <c r="ERD47" s="545"/>
      <c r="ERE47" s="545"/>
      <c r="ERF47" s="545"/>
      <c r="ERG47" s="545"/>
      <c r="ERH47" s="545"/>
      <c r="ERI47" s="545"/>
      <c r="ERJ47" s="544"/>
      <c r="ERK47" s="545"/>
      <c r="ERL47" s="545"/>
      <c r="ERM47" s="545"/>
      <c r="ERN47" s="545"/>
      <c r="ERO47" s="545"/>
      <c r="ERP47" s="545"/>
      <c r="ERQ47" s="544"/>
      <c r="ERR47" s="545"/>
      <c r="ERS47" s="545"/>
      <c r="ERT47" s="545"/>
      <c r="ERU47" s="545"/>
      <c r="ERV47" s="545"/>
      <c r="ERW47" s="545"/>
      <c r="ERX47" s="544"/>
      <c r="ERY47" s="545"/>
      <c r="ERZ47" s="545"/>
      <c r="ESA47" s="545"/>
      <c r="ESB47" s="545"/>
      <c r="ESC47" s="545"/>
      <c r="ESD47" s="545"/>
      <c r="ESE47" s="544"/>
      <c r="ESF47" s="545"/>
      <c r="ESG47" s="545"/>
      <c r="ESH47" s="545"/>
      <c r="ESI47" s="545"/>
      <c r="ESJ47" s="545"/>
      <c r="ESK47" s="545"/>
      <c r="ESL47" s="544"/>
      <c r="ESM47" s="545"/>
      <c r="ESN47" s="545"/>
      <c r="ESO47" s="545"/>
      <c r="ESP47" s="545"/>
      <c r="ESQ47" s="545"/>
      <c r="ESR47" s="545"/>
      <c r="ESS47" s="544"/>
      <c r="EST47" s="545"/>
      <c r="ESU47" s="545"/>
      <c r="ESV47" s="545"/>
      <c r="ESW47" s="545"/>
      <c r="ESX47" s="545"/>
      <c r="ESY47" s="545"/>
      <c r="ESZ47" s="544"/>
      <c r="ETA47" s="545"/>
      <c r="ETB47" s="545"/>
      <c r="ETC47" s="545"/>
      <c r="ETD47" s="545"/>
      <c r="ETE47" s="545"/>
      <c r="ETF47" s="545"/>
      <c r="ETG47" s="544"/>
      <c r="ETH47" s="545"/>
      <c r="ETI47" s="545"/>
      <c r="ETJ47" s="545"/>
      <c r="ETK47" s="545"/>
      <c r="ETL47" s="545"/>
      <c r="ETM47" s="545"/>
      <c r="ETN47" s="544"/>
      <c r="ETO47" s="545"/>
      <c r="ETP47" s="545"/>
      <c r="ETQ47" s="545"/>
      <c r="ETR47" s="545"/>
      <c r="ETS47" s="545"/>
      <c r="ETT47" s="545"/>
      <c r="ETU47" s="544"/>
      <c r="ETV47" s="545"/>
      <c r="ETW47" s="545"/>
      <c r="ETX47" s="545"/>
      <c r="ETY47" s="545"/>
      <c r="ETZ47" s="545"/>
      <c r="EUA47" s="545"/>
      <c r="EUB47" s="544"/>
      <c r="EUC47" s="545"/>
      <c r="EUD47" s="545"/>
      <c r="EUE47" s="545"/>
      <c r="EUF47" s="545"/>
      <c r="EUG47" s="545"/>
      <c r="EUH47" s="545"/>
      <c r="EUI47" s="544"/>
      <c r="EUJ47" s="545"/>
      <c r="EUK47" s="545"/>
      <c r="EUL47" s="545"/>
      <c r="EUM47" s="545"/>
      <c r="EUN47" s="545"/>
      <c r="EUO47" s="545"/>
      <c r="EUP47" s="544"/>
      <c r="EUQ47" s="545"/>
      <c r="EUR47" s="545"/>
      <c r="EUS47" s="545"/>
      <c r="EUT47" s="545"/>
      <c r="EUU47" s="545"/>
      <c r="EUV47" s="545"/>
      <c r="EUW47" s="544"/>
      <c r="EUX47" s="545"/>
      <c r="EUY47" s="545"/>
      <c r="EUZ47" s="545"/>
      <c r="EVA47" s="545"/>
      <c r="EVB47" s="545"/>
      <c r="EVC47" s="545"/>
      <c r="EVD47" s="544"/>
      <c r="EVE47" s="545"/>
      <c r="EVF47" s="545"/>
      <c r="EVG47" s="545"/>
      <c r="EVH47" s="545"/>
      <c r="EVI47" s="545"/>
      <c r="EVJ47" s="545"/>
      <c r="EVK47" s="544"/>
      <c r="EVL47" s="545"/>
      <c r="EVM47" s="545"/>
      <c r="EVN47" s="545"/>
      <c r="EVO47" s="545"/>
      <c r="EVP47" s="545"/>
      <c r="EVQ47" s="545"/>
      <c r="EVR47" s="544"/>
      <c r="EVS47" s="545"/>
      <c r="EVT47" s="545"/>
      <c r="EVU47" s="545"/>
      <c r="EVV47" s="545"/>
      <c r="EVW47" s="545"/>
      <c r="EVX47" s="545"/>
      <c r="EVY47" s="544"/>
      <c r="EVZ47" s="545"/>
      <c r="EWA47" s="545"/>
      <c r="EWB47" s="545"/>
      <c r="EWC47" s="545"/>
      <c r="EWD47" s="545"/>
      <c r="EWE47" s="545"/>
      <c r="EWF47" s="544"/>
      <c r="EWG47" s="545"/>
      <c r="EWH47" s="545"/>
      <c r="EWI47" s="545"/>
      <c r="EWJ47" s="545"/>
      <c r="EWK47" s="545"/>
      <c r="EWL47" s="545"/>
      <c r="EWM47" s="544"/>
      <c r="EWN47" s="545"/>
      <c r="EWO47" s="545"/>
      <c r="EWP47" s="545"/>
      <c r="EWQ47" s="545"/>
      <c r="EWR47" s="545"/>
      <c r="EWS47" s="545"/>
      <c r="EWT47" s="544"/>
      <c r="EWU47" s="545"/>
      <c r="EWV47" s="545"/>
      <c r="EWW47" s="545"/>
      <c r="EWX47" s="545"/>
      <c r="EWY47" s="545"/>
      <c r="EWZ47" s="545"/>
      <c r="EXA47" s="544"/>
      <c r="EXB47" s="545"/>
      <c r="EXC47" s="545"/>
      <c r="EXD47" s="545"/>
      <c r="EXE47" s="545"/>
      <c r="EXF47" s="545"/>
      <c r="EXG47" s="545"/>
      <c r="EXH47" s="544"/>
      <c r="EXI47" s="545"/>
      <c r="EXJ47" s="545"/>
      <c r="EXK47" s="545"/>
      <c r="EXL47" s="545"/>
      <c r="EXM47" s="545"/>
      <c r="EXN47" s="545"/>
      <c r="EXO47" s="544"/>
      <c r="EXP47" s="545"/>
      <c r="EXQ47" s="545"/>
      <c r="EXR47" s="545"/>
      <c r="EXS47" s="545"/>
      <c r="EXT47" s="545"/>
      <c r="EXU47" s="545"/>
      <c r="EXV47" s="544"/>
      <c r="EXW47" s="545"/>
      <c r="EXX47" s="545"/>
      <c r="EXY47" s="545"/>
      <c r="EXZ47" s="545"/>
      <c r="EYA47" s="545"/>
      <c r="EYB47" s="545"/>
      <c r="EYC47" s="544"/>
      <c r="EYD47" s="545"/>
      <c r="EYE47" s="545"/>
      <c r="EYF47" s="545"/>
      <c r="EYG47" s="545"/>
      <c r="EYH47" s="545"/>
      <c r="EYI47" s="545"/>
      <c r="EYJ47" s="544"/>
      <c r="EYK47" s="545"/>
      <c r="EYL47" s="545"/>
      <c r="EYM47" s="545"/>
      <c r="EYN47" s="545"/>
      <c r="EYO47" s="545"/>
      <c r="EYP47" s="545"/>
      <c r="EYQ47" s="544"/>
      <c r="EYR47" s="545"/>
      <c r="EYS47" s="545"/>
      <c r="EYT47" s="545"/>
      <c r="EYU47" s="545"/>
      <c r="EYV47" s="545"/>
      <c r="EYW47" s="545"/>
      <c r="EYX47" s="544"/>
      <c r="EYY47" s="545"/>
      <c r="EYZ47" s="545"/>
      <c r="EZA47" s="545"/>
      <c r="EZB47" s="545"/>
      <c r="EZC47" s="545"/>
      <c r="EZD47" s="545"/>
      <c r="EZE47" s="544"/>
      <c r="EZF47" s="545"/>
      <c r="EZG47" s="545"/>
      <c r="EZH47" s="545"/>
      <c r="EZI47" s="545"/>
      <c r="EZJ47" s="545"/>
      <c r="EZK47" s="545"/>
      <c r="EZL47" s="544"/>
      <c r="EZM47" s="545"/>
      <c r="EZN47" s="545"/>
      <c r="EZO47" s="545"/>
      <c r="EZP47" s="545"/>
      <c r="EZQ47" s="545"/>
      <c r="EZR47" s="545"/>
      <c r="EZS47" s="544"/>
      <c r="EZT47" s="545"/>
      <c r="EZU47" s="545"/>
      <c r="EZV47" s="545"/>
      <c r="EZW47" s="545"/>
      <c r="EZX47" s="545"/>
      <c r="EZY47" s="545"/>
      <c r="EZZ47" s="544"/>
      <c r="FAA47" s="545"/>
      <c r="FAB47" s="545"/>
      <c r="FAC47" s="545"/>
      <c r="FAD47" s="545"/>
      <c r="FAE47" s="545"/>
      <c r="FAF47" s="545"/>
      <c r="FAG47" s="544"/>
      <c r="FAH47" s="545"/>
      <c r="FAI47" s="545"/>
      <c r="FAJ47" s="545"/>
      <c r="FAK47" s="545"/>
      <c r="FAL47" s="545"/>
      <c r="FAM47" s="545"/>
      <c r="FAN47" s="544"/>
      <c r="FAO47" s="545"/>
      <c r="FAP47" s="545"/>
      <c r="FAQ47" s="545"/>
      <c r="FAR47" s="545"/>
      <c r="FAS47" s="545"/>
      <c r="FAT47" s="545"/>
      <c r="FAU47" s="544"/>
      <c r="FAV47" s="545"/>
      <c r="FAW47" s="545"/>
      <c r="FAX47" s="545"/>
      <c r="FAY47" s="545"/>
      <c r="FAZ47" s="545"/>
      <c r="FBA47" s="545"/>
      <c r="FBB47" s="544"/>
      <c r="FBC47" s="545"/>
      <c r="FBD47" s="545"/>
      <c r="FBE47" s="545"/>
      <c r="FBF47" s="545"/>
      <c r="FBG47" s="545"/>
      <c r="FBH47" s="545"/>
      <c r="FBI47" s="544"/>
      <c r="FBJ47" s="545"/>
      <c r="FBK47" s="545"/>
      <c r="FBL47" s="545"/>
      <c r="FBM47" s="545"/>
      <c r="FBN47" s="545"/>
      <c r="FBO47" s="545"/>
      <c r="FBP47" s="544"/>
      <c r="FBQ47" s="545"/>
      <c r="FBR47" s="545"/>
      <c r="FBS47" s="545"/>
      <c r="FBT47" s="545"/>
      <c r="FBU47" s="545"/>
      <c r="FBV47" s="545"/>
      <c r="FBW47" s="544"/>
      <c r="FBX47" s="545"/>
      <c r="FBY47" s="545"/>
      <c r="FBZ47" s="545"/>
      <c r="FCA47" s="545"/>
      <c r="FCB47" s="545"/>
      <c r="FCC47" s="545"/>
      <c r="FCD47" s="544"/>
      <c r="FCE47" s="545"/>
      <c r="FCF47" s="545"/>
      <c r="FCG47" s="545"/>
      <c r="FCH47" s="545"/>
      <c r="FCI47" s="545"/>
      <c r="FCJ47" s="545"/>
      <c r="FCK47" s="544"/>
      <c r="FCL47" s="545"/>
      <c r="FCM47" s="545"/>
      <c r="FCN47" s="545"/>
      <c r="FCO47" s="545"/>
      <c r="FCP47" s="545"/>
      <c r="FCQ47" s="545"/>
      <c r="FCR47" s="544"/>
      <c r="FCS47" s="545"/>
      <c r="FCT47" s="545"/>
      <c r="FCU47" s="545"/>
      <c r="FCV47" s="545"/>
      <c r="FCW47" s="545"/>
      <c r="FCX47" s="545"/>
      <c r="FCY47" s="544"/>
      <c r="FCZ47" s="545"/>
      <c r="FDA47" s="545"/>
      <c r="FDB47" s="545"/>
      <c r="FDC47" s="545"/>
      <c r="FDD47" s="545"/>
      <c r="FDE47" s="545"/>
      <c r="FDF47" s="544"/>
      <c r="FDG47" s="545"/>
      <c r="FDH47" s="545"/>
      <c r="FDI47" s="545"/>
      <c r="FDJ47" s="545"/>
      <c r="FDK47" s="545"/>
      <c r="FDL47" s="545"/>
      <c r="FDM47" s="544"/>
      <c r="FDN47" s="545"/>
      <c r="FDO47" s="545"/>
      <c r="FDP47" s="545"/>
      <c r="FDQ47" s="545"/>
      <c r="FDR47" s="545"/>
      <c r="FDS47" s="545"/>
      <c r="FDT47" s="544"/>
      <c r="FDU47" s="545"/>
      <c r="FDV47" s="545"/>
      <c r="FDW47" s="545"/>
      <c r="FDX47" s="545"/>
      <c r="FDY47" s="545"/>
      <c r="FDZ47" s="545"/>
      <c r="FEA47" s="544"/>
      <c r="FEB47" s="545"/>
      <c r="FEC47" s="545"/>
      <c r="FED47" s="545"/>
      <c r="FEE47" s="545"/>
      <c r="FEF47" s="545"/>
      <c r="FEG47" s="545"/>
      <c r="FEH47" s="544"/>
      <c r="FEI47" s="545"/>
      <c r="FEJ47" s="545"/>
      <c r="FEK47" s="545"/>
      <c r="FEL47" s="545"/>
      <c r="FEM47" s="545"/>
      <c r="FEN47" s="545"/>
      <c r="FEO47" s="544"/>
      <c r="FEP47" s="545"/>
      <c r="FEQ47" s="545"/>
      <c r="FER47" s="545"/>
      <c r="FES47" s="545"/>
      <c r="FET47" s="545"/>
      <c r="FEU47" s="545"/>
      <c r="FEV47" s="544"/>
      <c r="FEW47" s="545"/>
      <c r="FEX47" s="545"/>
      <c r="FEY47" s="545"/>
      <c r="FEZ47" s="545"/>
      <c r="FFA47" s="545"/>
      <c r="FFB47" s="545"/>
      <c r="FFC47" s="544"/>
      <c r="FFD47" s="545"/>
      <c r="FFE47" s="545"/>
      <c r="FFF47" s="545"/>
      <c r="FFG47" s="545"/>
      <c r="FFH47" s="545"/>
      <c r="FFI47" s="545"/>
      <c r="FFJ47" s="544"/>
      <c r="FFK47" s="545"/>
      <c r="FFL47" s="545"/>
      <c r="FFM47" s="545"/>
      <c r="FFN47" s="545"/>
      <c r="FFO47" s="545"/>
      <c r="FFP47" s="545"/>
      <c r="FFQ47" s="544"/>
      <c r="FFR47" s="545"/>
      <c r="FFS47" s="545"/>
      <c r="FFT47" s="545"/>
      <c r="FFU47" s="545"/>
      <c r="FFV47" s="545"/>
      <c r="FFW47" s="545"/>
      <c r="FFX47" s="544"/>
      <c r="FFY47" s="545"/>
      <c r="FFZ47" s="545"/>
      <c r="FGA47" s="545"/>
      <c r="FGB47" s="545"/>
      <c r="FGC47" s="545"/>
      <c r="FGD47" s="545"/>
      <c r="FGE47" s="544"/>
      <c r="FGF47" s="545"/>
      <c r="FGG47" s="545"/>
      <c r="FGH47" s="545"/>
      <c r="FGI47" s="545"/>
      <c r="FGJ47" s="545"/>
      <c r="FGK47" s="545"/>
      <c r="FGL47" s="544"/>
      <c r="FGM47" s="545"/>
      <c r="FGN47" s="545"/>
      <c r="FGO47" s="545"/>
      <c r="FGP47" s="545"/>
      <c r="FGQ47" s="545"/>
      <c r="FGR47" s="545"/>
      <c r="FGS47" s="544"/>
      <c r="FGT47" s="545"/>
      <c r="FGU47" s="545"/>
      <c r="FGV47" s="545"/>
      <c r="FGW47" s="545"/>
      <c r="FGX47" s="545"/>
      <c r="FGY47" s="545"/>
      <c r="FGZ47" s="544"/>
      <c r="FHA47" s="545"/>
      <c r="FHB47" s="545"/>
      <c r="FHC47" s="545"/>
      <c r="FHD47" s="545"/>
      <c r="FHE47" s="545"/>
      <c r="FHF47" s="545"/>
      <c r="FHG47" s="544"/>
      <c r="FHH47" s="545"/>
      <c r="FHI47" s="545"/>
      <c r="FHJ47" s="545"/>
      <c r="FHK47" s="545"/>
      <c r="FHL47" s="545"/>
      <c r="FHM47" s="545"/>
      <c r="FHN47" s="544"/>
      <c r="FHO47" s="545"/>
      <c r="FHP47" s="545"/>
      <c r="FHQ47" s="545"/>
      <c r="FHR47" s="545"/>
      <c r="FHS47" s="545"/>
      <c r="FHT47" s="545"/>
      <c r="FHU47" s="544"/>
      <c r="FHV47" s="545"/>
      <c r="FHW47" s="545"/>
      <c r="FHX47" s="545"/>
      <c r="FHY47" s="545"/>
      <c r="FHZ47" s="545"/>
      <c r="FIA47" s="545"/>
      <c r="FIB47" s="544"/>
      <c r="FIC47" s="545"/>
      <c r="FID47" s="545"/>
      <c r="FIE47" s="545"/>
      <c r="FIF47" s="545"/>
      <c r="FIG47" s="545"/>
      <c r="FIH47" s="545"/>
      <c r="FII47" s="544"/>
      <c r="FIJ47" s="545"/>
      <c r="FIK47" s="545"/>
      <c r="FIL47" s="545"/>
      <c r="FIM47" s="545"/>
      <c r="FIN47" s="545"/>
      <c r="FIO47" s="545"/>
      <c r="FIP47" s="544"/>
      <c r="FIQ47" s="545"/>
      <c r="FIR47" s="545"/>
      <c r="FIS47" s="545"/>
      <c r="FIT47" s="545"/>
      <c r="FIU47" s="545"/>
      <c r="FIV47" s="545"/>
      <c r="FIW47" s="544"/>
      <c r="FIX47" s="545"/>
      <c r="FIY47" s="545"/>
      <c r="FIZ47" s="545"/>
      <c r="FJA47" s="545"/>
      <c r="FJB47" s="545"/>
      <c r="FJC47" s="545"/>
      <c r="FJD47" s="544"/>
      <c r="FJE47" s="545"/>
      <c r="FJF47" s="545"/>
      <c r="FJG47" s="545"/>
      <c r="FJH47" s="545"/>
      <c r="FJI47" s="545"/>
      <c r="FJJ47" s="545"/>
      <c r="FJK47" s="544"/>
      <c r="FJL47" s="545"/>
      <c r="FJM47" s="545"/>
      <c r="FJN47" s="545"/>
      <c r="FJO47" s="545"/>
      <c r="FJP47" s="545"/>
      <c r="FJQ47" s="545"/>
      <c r="FJR47" s="544"/>
      <c r="FJS47" s="545"/>
      <c r="FJT47" s="545"/>
      <c r="FJU47" s="545"/>
      <c r="FJV47" s="545"/>
      <c r="FJW47" s="545"/>
      <c r="FJX47" s="545"/>
      <c r="FJY47" s="544"/>
      <c r="FJZ47" s="545"/>
      <c r="FKA47" s="545"/>
      <c r="FKB47" s="545"/>
      <c r="FKC47" s="545"/>
      <c r="FKD47" s="545"/>
      <c r="FKE47" s="545"/>
      <c r="FKF47" s="544"/>
      <c r="FKG47" s="545"/>
      <c r="FKH47" s="545"/>
      <c r="FKI47" s="545"/>
      <c r="FKJ47" s="545"/>
      <c r="FKK47" s="545"/>
      <c r="FKL47" s="545"/>
      <c r="FKM47" s="544"/>
      <c r="FKN47" s="545"/>
      <c r="FKO47" s="545"/>
      <c r="FKP47" s="545"/>
      <c r="FKQ47" s="545"/>
      <c r="FKR47" s="545"/>
      <c r="FKS47" s="545"/>
      <c r="FKT47" s="544"/>
      <c r="FKU47" s="545"/>
      <c r="FKV47" s="545"/>
      <c r="FKW47" s="545"/>
      <c r="FKX47" s="545"/>
      <c r="FKY47" s="545"/>
      <c r="FKZ47" s="545"/>
      <c r="FLA47" s="544"/>
      <c r="FLB47" s="545"/>
      <c r="FLC47" s="545"/>
      <c r="FLD47" s="545"/>
      <c r="FLE47" s="545"/>
      <c r="FLF47" s="545"/>
      <c r="FLG47" s="545"/>
      <c r="FLH47" s="544"/>
      <c r="FLI47" s="545"/>
      <c r="FLJ47" s="545"/>
      <c r="FLK47" s="545"/>
      <c r="FLL47" s="545"/>
      <c r="FLM47" s="545"/>
      <c r="FLN47" s="545"/>
      <c r="FLO47" s="544"/>
      <c r="FLP47" s="545"/>
      <c r="FLQ47" s="545"/>
      <c r="FLR47" s="545"/>
      <c r="FLS47" s="545"/>
      <c r="FLT47" s="545"/>
      <c r="FLU47" s="545"/>
      <c r="FLV47" s="544"/>
      <c r="FLW47" s="545"/>
      <c r="FLX47" s="545"/>
      <c r="FLY47" s="545"/>
      <c r="FLZ47" s="545"/>
      <c r="FMA47" s="545"/>
      <c r="FMB47" s="545"/>
      <c r="FMC47" s="544"/>
      <c r="FMD47" s="545"/>
      <c r="FME47" s="545"/>
      <c r="FMF47" s="545"/>
      <c r="FMG47" s="545"/>
      <c r="FMH47" s="545"/>
      <c r="FMI47" s="545"/>
      <c r="FMJ47" s="544"/>
      <c r="FMK47" s="545"/>
      <c r="FML47" s="545"/>
      <c r="FMM47" s="545"/>
      <c r="FMN47" s="545"/>
      <c r="FMO47" s="545"/>
      <c r="FMP47" s="545"/>
      <c r="FMQ47" s="544"/>
      <c r="FMR47" s="545"/>
      <c r="FMS47" s="545"/>
      <c r="FMT47" s="545"/>
      <c r="FMU47" s="545"/>
      <c r="FMV47" s="545"/>
      <c r="FMW47" s="545"/>
      <c r="FMX47" s="544"/>
      <c r="FMY47" s="545"/>
      <c r="FMZ47" s="545"/>
      <c r="FNA47" s="545"/>
      <c r="FNB47" s="545"/>
      <c r="FNC47" s="545"/>
      <c r="FND47" s="545"/>
      <c r="FNE47" s="544"/>
      <c r="FNF47" s="545"/>
      <c r="FNG47" s="545"/>
      <c r="FNH47" s="545"/>
      <c r="FNI47" s="545"/>
      <c r="FNJ47" s="545"/>
      <c r="FNK47" s="545"/>
      <c r="FNL47" s="544"/>
      <c r="FNM47" s="545"/>
      <c r="FNN47" s="545"/>
      <c r="FNO47" s="545"/>
      <c r="FNP47" s="545"/>
      <c r="FNQ47" s="545"/>
      <c r="FNR47" s="545"/>
      <c r="FNS47" s="544"/>
      <c r="FNT47" s="545"/>
      <c r="FNU47" s="545"/>
      <c r="FNV47" s="545"/>
      <c r="FNW47" s="545"/>
      <c r="FNX47" s="545"/>
      <c r="FNY47" s="545"/>
      <c r="FNZ47" s="544"/>
      <c r="FOA47" s="545"/>
      <c r="FOB47" s="545"/>
      <c r="FOC47" s="545"/>
      <c r="FOD47" s="545"/>
      <c r="FOE47" s="545"/>
      <c r="FOF47" s="545"/>
      <c r="FOG47" s="544"/>
      <c r="FOH47" s="545"/>
      <c r="FOI47" s="545"/>
      <c r="FOJ47" s="545"/>
      <c r="FOK47" s="545"/>
      <c r="FOL47" s="545"/>
      <c r="FOM47" s="545"/>
      <c r="FON47" s="544"/>
      <c r="FOO47" s="545"/>
      <c r="FOP47" s="545"/>
      <c r="FOQ47" s="545"/>
      <c r="FOR47" s="545"/>
      <c r="FOS47" s="545"/>
      <c r="FOT47" s="545"/>
      <c r="FOU47" s="544"/>
      <c r="FOV47" s="545"/>
      <c r="FOW47" s="545"/>
      <c r="FOX47" s="545"/>
      <c r="FOY47" s="545"/>
      <c r="FOZ47" s="545"/>
      <c r="FPA47" s="545"/>
      <c r="FPB47" s="544"/>
      <c r="FPC47" s="545"/>
      <c r="FPD47" s="545"/>
      <c r="FPE47" s="545"/>
      <c r="FPF47" s="545"/>
      <c r="FPG47" s="545"/>
      <c r="FPH47" s="545"/>
      <c r="FPI47" s="544"/>
      <c r="FPJ47" s="545"/>
      <c r="FPK47" s="545"/>
      <c r="FPL47" s="545"/>
      <c r="FPM47" s="545"/>
      <c r="FPN47" s="545"/>
      <c r="FPO47" s="545"/>
      <c r="FPP47" s="544"/>
      <c r="FPQ47" s="545"/>
      <c r="FPR47" s="545"/>
      <c r="FPS47" s="545"/>
      <c r="FPT47" s="545"/>
      <c r="FPU47" s="545"/>
      <c r="FPV47" s="545"/>
      <c r="FPW47" s="544"/>
      <c r="FPX47" s="545"/>
      <c r="FPY47" s="545"/>
      <c r="FPZ47" s="545"/>
      <c r="FQA47" s="545"/>
      <c r="FQB47" s="545"/>
      <c r="FQC47" s="545"/>
      <c r="FQD47" s="544"/>
      <c r="FQE47" s="545"/>
      <c r="FQF47" s="545"/>
      <c r="FQG47" s="545"/>
      <c r="FQH47" s="545"/>
      <c r="FQI47" s="545"/>
      <c r="FQJ47" s="545"/>
      <c r="FQK47" s="544"/>
      <c r="FQL47" s="545"/>
      <c r="FQM47" s="545"/>
      <c r="FQN47" s="545"/>
      <c r="FQO47" s="545"/>
      <c r="FQP47" s="545"/>
      <c r="FQQ47" s="545"/>
      <c r="FQR47" s="544"/>
      <c r="FQS47" s="545"/>
      <c r="FQT47" s="545"/>
      <c r="FQU47" s="545"/>
      <c r="FQV47" s="545"/>
      <c r="FQW47" s="545"/>
      <c r="FQX47" s="545"/>
      <c r="FQY47" s="544"/>
      <c r="FQZ47" s="545"/>
      <c r="FRA47" s="545"/>
      <c r="FRB47" s="545"/>
      <c r="FRC47" s="545"/>
      <c r="FRD47" s="545"/>
      <c r="FRE47" s="545"/>
      <c r="FRF47" s="544"/>
      <c r="FRG47" s="545"/>
      <c r="FRH47" s="545"/>
      <c r="FRI47" s="545"/>
      <c r="FRJ47" s="545"/>
      <c r="FRK47" s="545"/>
      <c r="FRL47" s="545"/>
      <c r="FRM47" s="544"/>
      <c r="FRN47" s="545"/>
      <c r="FRO47" s="545"/>
      <c r="FRP47" s="545"/>
      <c r="FRQ47" s="545"/>
      <c r="FRR47" s="545"/>
      <c r="FRS47" s="545"/>
      <c r="FRT47" s="544"/>
      <c r="FRU47" s="545"/>
      <c r="FRV47" s="545"/>
      <c r="FRW47" s="545"/>
      <c r="FRX47" s="545"/>
      <c r="FRY47" s="545"/>
      <c r="FRZ47" s="545"/>
      <c r="FSA47" s="544"/>
      <c r="FSB47" s="545"/>
      <c r="FSC47" s="545"/>
      <c r="FSD47" s="545"/>
      <c r="FSE47" s="545"/>
      <c r="FSF47" s="545"/>
      <c r="FSG47" s="545"/>
      <c r="FSH47" s="544"/>
      <c r="FSI47" s="545"/>
      <c r="FSJ47" s="545"/>
      <c r="FSK47" s="545"/>
      <c r="FSL47" s="545"/>
      <c r="FSM47" s="545"/>
      <c r="FSN47" s="545"/>
      <c r="FSO47" s="544"/>
      <c r="FSP47" s="545"/>
      <c r="FSQ47" s="545"/>
      <c r="FSR47" s="545"/>
      <c r="FSS47" s="545"/>
      <c r="FST47" s="545"/>
      <c r="FSU47" s="545"/>
      <c r="FSV47" s="544"/>
      <c r="FSW47" s="545"/>
      <c r="FSX47" s="545"/>
      <c r="FSY47" s="545"/>
      <c r="FSZ47" s="545"/>
      <c r="FTA47" s="545"/>
      <c r="FTB47" s="545"/>
      <c r="FTC47" s="544"/>
      <c r="FTD47" s="545"/>
      <c r="FTE47" s="545"/>
      <c r="FTF47" s="545"/>
      <c r="FTG47" s="545"/>
      <c r="FTH47" s="545"/>
      <c r="FTI47" s="545"/>
      <c r="FTJ47" s="544"/>
      <c r="FTK47" s="545"/>
      <c r="FTL47" s="545"/>
      <c r="FTM47" s="545"/>
      <c r="FTN47" s="545"/>
      <c r="FTO47" s="545"/>
      <c r="FTP47" s="545"/>
      <c r="FTQ47" s="544"/>
      <c r="FTR47" s="545"/>
      <c r="FTS47" s="545"/>
      <c r="FTT47" s="545"/>
      <c r="FTU47" s="545"/>
      <c r="FTV47" s="545"/>
      <c r="FTW47" s="545"/>
      <c r="FTX47" s="544"/>
      <c r="FTY47" s="545"/>
      <c r="FTZ47" s="545"/>
      <c r="FUA47" s="545"/>
      <c r="FUB47" s="545"/>
      <c r="FUC47" s="545"/>
      <c r="FUD47" s="545"/>
      <c r="FUE47" s="544"/>
      <c r="FUF47" s="545"/>
      <c r="FUG47" s="545"/>
      <c r="FUH47" s="545"/>
      <c r="FUI47" s="545"/>
      <c r="FUJ47" s="545"/>
      <c r="FUK47" s="545"/>
      <c r="FUL47" s="544"/>
      <c r="FUM47" s="545"/>
      <c r="FUN47" s="545"/>
      <c r="FUO47" s="545"/>
      <c r="FUP47" s="545"/>
      <c r="FUQ47" s="545"/>
      <c r="FUR47" s="545"/>
      <c r="FUS47" s="544"/>
      <c r="FUT47" s="545"/>
      <c r="FUU47" s="545"/>
      <c r="FUV47" s="545"/>
      <c r="FUW47" s="545"/>
      <c r="FUX47" s="545"/>
      <c r="FUY47" s="545"/>
      <c r="FUZ47" s="544"/>
      <c r="FVA47" s="545"/>
      <c r="FVB47" s="545"/>
      <c r="FVC47" s="545"/>
      <c r="FVD47" s="545"/>
      <c r="FVE47" s="545"/>
      <c r="FVF47" s="545"/>
      <c r="FVG47" s="544"/>
      <c r="FVH47" s="545"/>
      <c r="FVI47" s="545"/>
      <c r="FVJ47" s="545"/>
      <c r="FVK47" s="545"/>
      <c r="FVL47" s="545"/>
      <c r="FVM47" s="545"/>
      <c r="FVN47" s="544"/>
      <c r="FVO47" s="545"/>
      <c r="FVP47" s="545"/>
      <c r="FVQ47" s="545"/>
      <c r="FVR47" s="545"/>
      <c r="FVS47" s="545"/>
      <c r="FVT47" s="545"/>
      <c r="FVU47" s="544"/>
      <c r="FVV47" s="545"/>
      <c r="FVW47" s="545"/>
      <c r="FVX47" s="545"/>
      <c r="FVY47" s="545"/>
      <c r="FVZ47" s="545"/>
      <c r="FWA47" s="545"/>
      <c r="FWB47" s="544"/>
      <c r="FWC47" s="545"/>
      <c r="FWD47" s="545"/>
      <c r="FWE47" s="545"/>
      <c r="FWF47" s="545"/>
      <c r="FWG47" s="545"/>
      <c r="FWH47" s="545"/>
      <c r="FWI47" s="544"/>
      <c r="FWJ47" s="545"/>
      <c r="FWK47" s="545"/>
      <c r="FWL47" s="545"/>
      <c r="FWM47" s="545"/>
      <c r="FWN47" s="545"/>
      <c r="FWO47" s="545"/>
      <c r="FWP47" s="544"/>
      <c r="FWQ47" s="545"/>
      <c r="FWR47" s="545"/>
      <c r="FWS47" s="545"/>
      <c r="FWT47" s="545"/>
      <c r="FWU47" s="545"/>
      <c r="FWV47" s="545"/>
      <c r="FWW47" s="544"/>
      <c r="FWX47" s="545"/>
      <c r="FWY47" s="545"/>
      <c r="FWZ47" s="545"/>
      <c r="FXA47" s="545"/>
      <c r="FXB47" s="545"/>
      <c r="FXC47" s="545"/>
      <c r="FXD47" s="544"/>
      <c r="FXE47" s="545"/>
      <c r="FXF47" s="545"/>
      <c r="FXG47" s="545"/>
      <c r="FXH47" s="545"/>
      <c r="FXI47" s="545"/>
      <c r="FXJ47" s="545"/>
      <c r="FXK47" s="544"/>
      <c r="FXL47" s="545"/>
      <c r="FXM47" s="545"/>
      <c r="FXN47" s="545"/>
      <c r="FXO47" s="545"/>
      <c r="FXP47" s="545"/>
      <c r="FXQ47" s="545"/>
      <c r="FXR47" s="544"/>
      <c r="FXS47" s="545"/>
      <c r="FXT47" s="545"/>
      <c r="FXU47" s="545"/>
      <c r="FXV47" s="545"/>
      <c r="FXW47" s="545"/>
      <c r="FXX47" s="545"/>
      <c r="FXY47" s="544"/>
      <c r="FXZ47" s="545"/>
      <c r="FYA47" s="545"/>
      <c r="FYB47" s="545"/>
      <c r="FYC47" s="545"/>
      <c r="FYD47" s="545"/>
      <c r="FYE47" s="545"/>
      <c r="FYF47" s="544"/>
      <c r="FYG47" s="545"/>
      <c r="FYH47" s="545"/>
      <c r="FYI47" s="545"/>
      <c r="FYJ47" s="545"/>
      <c r="FYK47" s="545"/>
      <c r="FYL47" s="545"/>
      <c r="FYM47" s="544"/>
      <c r="FYN47" s="545"/>
      <c r="FYO47" s="545"/>
      <c r="FYP47" s="545"/>
      <c r="FYQ47" s="545"/>
      <c r="FYR47" s="545"/>
      <c r="FYS47" s="545"/>
      <c r="FYT47" s="544"/>
      <c r="FYU47" s="545"/>
      <c r="FYV47" s="545"/>
      <c r="FYW47" s="545"/>
      <c r="FYX47" s="545"/>
      <c r="FYY47" s="545"/>
      <c r="FYZ47" s="545"/>
      <c r="FZA47" s="544"/>
      <c r="FZB47" s="545"/>
      <c r="FZC47" s="545"/>
      <c r="FZD47" s="545"/>
      <c r="FZE47" s="545"/>
      <c r="FZF47" s="545"/>
      <c r="FZG47" s="545"/>
      <c r="FZH47" s="544"/>
      <c r="FZI47" s="545"/>
      <c r="FZJ47" s="545"/>
      <c r="FZK47" s="545"/>
      <c r="FZL47" s="545"/>
      <c r="FZM47" s="545"/>
      <c r="FZN47" s="545"/>
      <c r="FZO47" s="544"/>
      <c r="FZP47" s="545"/>
      <c r="FZQ47" s="545"/>
      <c r="FZR47" s="545"/>
      <c r="FZS47" s="545"/>
      <c r="FZT47" s="545"/>
      <c r="FZU47" s="545"/>
      <c r="FZV47" s="544"/>
      <c r="FZW47" s="545"/>
      <c r="FZX47" s="545"/>
      <c r="FZY47" s="545"/>
      <c r="FZZ47" s="545"/>
      <c r="GAA47" s="545"/>
      <c r="GAB47" s="545"/>
      <c r="GAC47" s="544"/>
      <c r="GAD47" s="545"/>
      <c r="GAE47" s="545"/>
      <c r="GAF47" s="545"/>
      <c r="GAG47" s="545"/>
      <c r="GAH47" s="545"/>
      <c r="GAI47" s="545"/>
      <c r="GAJ47" s="544"/>
      <c r="GAK47" s="545"/>
      <c r="GAL47" s="545"/>
      <c r="GAM47" s="545"/>
      <c r="GAN47" s="545"/>
      <c r="GAO47" s="545"/>
      <c r="GAP47" s="545"/>
      <c r="GAQ47" s="544"/>
      <c r="GAR47" s="545"/>
      <c r="GAS47" s="545"/>
      <c r="GAT47" s="545"/>
      <c r="GAU47" s="545"/>
      <c r="GAV47" s="545"/>
      <c r="GAW47" s="545"/>
      <c r="GAX47" s="544"/>
      <c r="GAY47" s="545"/>
      <c r="GAZ47" s="545"/>
      <c r="GBA47" s="545"/>
      <c r="GBB47" s="545"/>
      <c r="GBC47" s="545"/>
      <c r="GBD47" s="545"/>
      <c r="GBE47" s="544"/>
      <c r="GBF47" s="545"/>
      <c r="GBG47" s="545"/>
      <c r="GBH47" s="545"/>
      <c r="GBI47" s="545"/>
      <c r="GBJ47" s="545"/>
      <c r="GBK47" s="545"/>
      <c r="GBL47" s="544"/>
      <c r="GBM47" s="545"/>
      <c r="GBN47" s="545"/>
      <c r="GBO47" s="545"/>
      <c r="GBP47" s="545"/>
      <c r="GBQ47" s="545"/>
      <c r="GBR47" s="545"/>
      <c r="GBS47" s="544"/>
      <c r="GBT47" s="545"/>
      <c r="GBU47" s="545"/>
      <c r="GBV47" s="545"/>
      <c r="GBW47" s="545"/>
      <c r="GBX47" s="545"/>
      <c r="GBY47" s="545"/>
      <c r="GBZ47" s="544"/>
      <c r="GCA47" s="545"/>
      <c r="GCB47" s="545"/>
      <c r="GCC47" s="545"/>
      <c r="GCD47" s="545"/>
      <c r="GCE47" s="545"/>
      <c r="GCF47" s="545"/>
      <c r="GCG47" s="544"/>
      <c r="GCH47" s="545"/>
      <c r="GCI47" s="545"/>
      <c r="GCJ47" s="545"/>
      <c r="GCK47" s="545"/>
      <c r="GCL47" s="545"/>
      <c r="GCM47" s="545"/>
      <c r="GCN47" s="544"/>
      <c r="GCO47" s="545"/>
      <c r="GCP47" s="545"/>
      <c r="GCQ47" s="545"/>
      <c r="GCR47" s="545"/>
      <c r="GCS47" s="545"/>
      <c r="GCT47" s="545"/>
      <c r="GCU47" s="544"/>
      <c r="GCV47" s="545"/>
      <c r="GCW47" s="545"/>
      <c r="GCX47" s="545"/>
      <c r="GCY47" s="545"/>
      <c r="GCZ47" s="545"/>
      <c r="GDA47" s="545"/>
      <c r="GDB47" s="544"/>
      <c r="GDC47" s="545"/>
      <c r="GDD47" s="545"/>
      <c r="GDE47" s="545"/>
      <c r="GDF47" s="545"/>
      <c r="GDG47" s="545"/>
      <c r="GDH47" s="545"/>
      <c r="GDI47" s="544"/>
      <c r="GDJ47" s="545"/>
      <c r="GDK47" s="545"/>
      <c r="GDL47" s="545"/>
      <c r="GDM47" s="545"/>
      <c r="GDN47" s="545"/>
      <c r="GDO47" s="545"/>
      <c r="GDP47" s="544"/>
      <c r="GDQ47" s="545"/>
      <c r="GDR47" s="545"/>
      <c r="GDS47" s="545"/>
      <c r="GDT47" s="545"/>
      <c r="GDU47" s="545"/>
      <c r="GDV47" s="545"/>
      <c r="GDW47" s="544"/>
      <c r="GDX47" s="545"/>
      <c r="GDY47" s="545"/>
      <c r="GDZ47" s="545"/>
      <c r="GEA47" s="545"/>
      <c r="GEB47" s="545"/>
      <c r="GEC47" s="545"/>
      <c r="GED47" s="544"/>
      <c r="GEE47" s="545"/>
      <c r="GEF47" s="545"/>
      <c r="GEG47" s="545"/>
      <c r="GEH47" s="545"/>
      <c r="GEI47" s="545"/>
      <c r="GEJ47" s="545"/>
      <c r="GEK47" s="544"/>
      <c r="GEL47" s="545"/>
      <c r="GEM47" s="545"/>
      <c r="GEN47" s="545"/>
      <c r="GEO47" s="545"/>
      <c r="GEP47" s="545"/>
      <c r="GEQ47" s="545"/>
      <c r="GER47" s="544"/>
      <c r="GES47" s="545"/>
      <c r="GET47" s="545"/>
      <c r="GEU47" s="545"/>
      <c r="GEV47" s="545"/>
      <c r="GEW47" s="545"/>
      <c r="GEX47" s="545"/>
      <c r="GEY47" s="544"/>
      <c r="GEZ47" s="545"/>
      <c r="GFA47" s="545"/>
      <c r="GFB47" s="545"/>
      <c r="GFC47" s="545"/>
      <c r="GFD47" s="545"/>
      <c r="GFE47" s="545"/>
      <c r="GFF47" s="544"/>
      <c r="GFG47" s="545"/>
      <c r="GFH47" s="545"/>
      <c r="GFI47" s="545"/>
      <c r="GFJ47" s="545"/>
      <c r="GFK47" s="545"/>
      <c r="GFL47" s="545"/>
      <c r="GFM47" s="544"/>
      <c r="GFN47" s="545"/>
      <c r="GFO47" s="545"/>
      <c r="GFP47" s="545"/>
      <c r="GFQ47" s="545"/>
      <c r="GFR47" s="545"/>
      <c r="GFS47" s="545"/>
      <c r="GFT47" s="544"/>
      <c r="GFU47" s="545"/>
      <c r="GFV47" s="545"/>
      <c r="GFW47" s="545"/>
      <c r="GFX47" s="545"/>
      <c r="GFY47" s="545"/>
      <c r="GFZ47" s="545"/>
      <c r="GGA47" s="544"/>
      <c r="GGB47" s="545"/>
      <c r="GGC47" s="545"/>
      <c r="GGD47" s="545"/>
      <c r="GGE47" s="545"/>
      <c r="GGF47" s="545"/>
      <c r="GGG47" s="545"/>
      <c r="GGH47" s="544"/>
      <c r="GGI47" s="545"/>
      <c r="GGJ47" s="545"/>
      <c r="GGK47" s="545"/>
      <c r="GGL47" s="545"/>
      <c r="GGM47" s="545"/>
      <c r="GGN47" s="545"/>
      <c r="GGO47" s="544"/>
      <c r="GGP47" s="545"/>
      <c r="GGQ47" s="545"/>
      <c r="GGR47" s="545"/>
      <c r="GGS47" s="545"/>
      <c r="GGT47" s="545"/>
      <c r="GGU47" s="545"/>
      <c r="GGV47" s="544"/>
      <c r="GGW47" s="545"/>
      <c r="GGX47" s="545"/>
      <c r="GGY47" s="545"/>
      <c r="GGZ47" s="545"/>
      <c r="GHA47" s="545"/>
      <c r="GHB47" s="545"/>
      <c r="GHC47" s="544"/>
      <c r="GHD47" s="545"/>
      <c r="GHE47" s="545"/>
      <c r="GHF47" s="545"/>
      <c r="GHG47" s="545"/>
      <c r="GHH47" s="545"/>
      <c r="GHI47" s="545"/>
      <c r="GHJ47" s="544"/>
      <c r="GHK47" s="545"/>
      <c r="GHL47" s="545"/>
      <c r="GHM47" s="545"/>
      <c r="GHN47" s="545"/>
      <c r="GHO47" s="545"/>
      <c r="GHP47" s="545"/>
      <c r="GHQ47" s="544"/>
      <c r="GHR47" s="545"/>
      <c r="GHS47" s="545"/>
      <c r="GHT47" s="545"/>
      <c r="GHU47" s="545"/>
      <c r="GHV47" s="545"/>
      <c r="GHW47" s="545"/>
      <c r="GHX47" s="544"/>
      <c r="GHY47" s="545"/>
      <c r="GHZ47" s="545"/>
      <c r="GIA47" s="545"/>
      <c r="GIB47" s="545"/>
      <c r="GIC47" s="545"/>
      <c r="GID47" s="545"/>
      <c r="GIE47" s="544"/>
      <c r="GIF47" s="545"/>
      <c r="GIG47" s="545"/>
      <c r="GIH47" s="545"/>
      <c r="GII47" s="545"/>
      <c r="GIJ47" s="545"/>
      <c r="GIK47" s="545"/>
      <c r="GIL47" s="544"/>
      <c r="GIM47" s="545"/>
      <c r="GIN47" s="545"/>
      <c r="GIO47" s="545"/>
      <c r="GIP47" s="545"/>
      <c r="GIQ47" s="545"/>
      <c r="GIR47" s="545"/>
      <c r="GIS47" s="544"/>
      <c r="GIT47" s="545"/>
      <c r="GIU47" s="545"/>
      <c r="GIV47" s="545"/>
      <c r="GIW47" s="545"/>
      <c r="GIX47" s="545"/>
      <c r="GIY47" s="545"/>
      <c r="GIZ47" s="544"/>
      <c r="GJA47" s="545"/>
      <c r="GJB47" s="545"/>
      <c r="GJC47" s="545"/>
      <c r="GJD47" s="545"/>
      <c r="GJE47" s="545"/>
      <c r="GJF47" s="545"/>
      <c r="GJG47" s="544"/>
      <c r="GJH47" s="545"/>
      <c r="GJI47" s="545"/>
      <c r="GJJ47" s="545"/>
      <c r="GJK47" s="545"/>
      <c r="GJL47" s="545"/>
      <c r="GJM47" s="545"/>
      <c r="GJN47" s="544"/>
      <c r="GJO47" s="545"/>
      <c r="GJP47" s="545"/>
      <c r="GJQ47" s="545"/>
      <c r="GJR47" s="545"/>
      <c r="GJS47" s="545"/>
      <c r="GJT47" s="545"/>
      <c r="GJU47" s="544"/>
      <c r="GJV47" s="545"/>
      <c r="GJW47" s="545"/>
      <c r="GJX47" s="545"/>
      <c r="GJY47" s="545"/>
      <c r="GJZ47" s="545"/>
      <c r="GKA47" s="545"/>
      <c r="GKB47" s="544"/>
      <c r="GKC47" s="545"/>
      <c r="GKD47" s="545"/>
      <c r="GKE47" s="545"/>
      <c r="GKF47" s="545"/>
      <c r="GKG47" s="545"/>
      <c r="GKH47" s="545"/>
      <c r="GKI47" s="544"/>
      <c r="GKJ47" s="545"/>
      <c r="GKK47" s="545"/>
      <c r="GKL47" s="545"/>
      <c r="GKM47" s="545"/>
      <c r="GKN47" s="545"/>
      <c r="GKO47" s="545"/>
      <c r="GKP47" s="544"/>
      <c r="GKQ47" s="545"/>
      <c r="GKR47" s="545"/>
      <c r="GKS47" s="545"/>
      <c r="GKT47" s="545"/>
      <c r="GKU47" s="545"/>
      <c r="GKV47" s="545"/>
      <c r="GKW47" s="544"/>
      <c r="GKX47" s="545"/>
      <c r="GKY47" s="545"/>
      <c r="GKZ47" s="545"/>
      <c r="GLA47" s="545"/>
      <c r="GLB47" s="545"/>
      <c r="GLC47" s="545"/>
      <c r="GLD47" s="544"/>
      <c r="GLE47" s="545"/>
      <c r="GLF47" s="545"/>
      <c r="GLG47" s="545"/>
      <c r="GLH47" s="545"/>
      <c r="GLI47" s="545"/>
      <c r="GLJ47" s="545"/>
      <c r="GLK47" s="544"/>
      <c r="GLL47" s="545"/>
      <c r="GLM47" s="545"/>
      <c r="GLN47" s="545"/>
      <c r="GLO47" s="545"/>
      <c r="GLP47" s="545"/>
      <c r="GLQ47" s="545"/>
      <c r="GLR47" s="544"/>
      <c r="GLS47" s="545"/>
      <c r="GLT47" s="545"/>
      <c r="GLU47" s="545"/>
      <c r="GLV47" s="545"/>
      <c r="GLW47" s="545"/>
      <c r="GLX47" s="545"/>
      <c r="GLY47" s="544"/>
      <c r="GLZ47" s="545"/>
      <c r="GMA47" s="545"/>
      <c r="GMB47" s="545"/>
      <c r="GMC47" s="545"/>
      <c r="GMD47" s="545"/>
      <c r="GME47" s="545"/>
      <c r="GMF47" s="544"/>
      <c r="GMG47" s="545"/>
      <c r="GMH47" s="545"/>
      <c r="GMI47" s="545"/>
      <c r="GMJ47" s="545"/>
      <c r="GMK47" s="545"/>
      <c r="GML47" s="545"/>
      <c r="GMM47" s="544"/>
      <c r="GMN47" s="545"/>
      <c r="GMO47" s="545"/>
      <c r="GMP47" s="545"/>
      <c r="GMQ47" s="545"/>
      <c r="GMR47" s="545"/>
      <c r="GMS47" s="545"/>
      <c r="GMT47" s="544"/>
      <c r="GMU47" s="545"/>
      <c r="GMV47" s="545"/>
      <c r="GMW47" s="545"/>
      <c r="GMX47" s="545"/>
      <c r="GMY47" s="545"/>
      <c r="GMZ47" s="545"/>
      <c r="GNA47" s="544"/>
      <c r="GNB47" s="545"/>
      <c r="GNC47" s="545"/>
      <c r="GND47" s="545"/>
      <c r="GNE47" s="545"/>
      <c r="GNF47" s="545"/>
      <c r="GNG47" s="545"/>
      <c r="GNH47" s="544"/>
      <c r="GNI47" s="545"/>
      <c r="GNJ47" s="545"/>
      <c r="GNK47" s="545"/>
      <c r="GNL47" s="545"/>
      <c r="GNM47" s="545"/>
      <c r="GNN47" s="545"/>
      <c r="GNO47" s="544"/>
      <c r="GNP47" s="545"/>
      <c r="GNQ47" s="545"/>
      <c r="GNR47" s="545"/>
      <c r="GNS47" s="545"/>
      <c r="GNT47" s="545"/>
      <c r="GNU47" s="545"/>
      <c r="GNV47" s="544"/>
      <c r="GNW47" s="545"/>
      <c r="GNX47" s="545"/>
      <c r="GNY47" s="545"/>
      <c r="GNZ47" s="545"/>
      <c r="GOA47" s="545"/>
      <c r="GOB47" s="545"/>
      <c r="GOC47" s="544"/>
      <c r="GOD47" s="545"/>
      <c r="GOE47" s="545"/>
      <c r="GOF47" s="545"/>
      <c r="GOG47" s="545"/>
      <c r="GOH47" s="545"/>
      <c r="GOI47" s="545"/>
      <c r="GOJ47" s="544"/>
      <c r="GOK47" s="545"/>
      <c r="GOL47" s="545"/>
      <c r="GOM47" s="545"/>
      <c r="GON47" s="545"/>
      <c r="GOO47" s="545"/>
      <c r="GOP47" s="545"/>
      <c r="GOQ47" s="544"/>
      <c r="GOR47" s="545"/>
      <c r="GOS47" s="545"/>
      <c r="GOT47" s="545"/>
      <c r="GOU47" s="545"/>
      <c r="GOV47" s="545"/>
      <c r="GOW47" s="545"/>
      <c r="GOX47" s="544"/>
      <c r="GOY47" s="545"/>
      <c r="GOZ47" s="545"/>
      <c r="GPA47" s="545"/>
      <c r="GPB47" s="545"/>
      <c r="GPC47" s="545"/>
      <c r="GPD47" s="545"/>
      <c r="GPE47" s="544"/>
      <c r="GPF47" s="545"/>
      <c r="GPG47" s="545"/>
      <c r="GPH47" s="545"/>
      <c r="GPI47" s="545"/>
      <c r="GPJ47" s="545"/>
      <c r="GPK47" s="545"/>
      <c r="GPL47" s="544"/>
      <c r="GPM47" s="545"/>
      <c r="GPN47" s="545"/>
      <c r="GPO47" s="545"/>
      <c r="GPP47" s="545"/>
      <c r="GPQ47" s="545"/>
      <c r="GPR47" s="545"/>
      <c r="GPS47" s="544"/>
      <c r="GPT47" s="545"/>
      <c r="GPU47" s="545"/>
      <c r="GPV47" s="545"/>
      <c r="GPW47" s="545"/>
      <c r="GPX47" s="545"/>
      <c r="GPY47" s="545"/>
      <c r="GPZ47" s="544"/>
      <c r="GQA47" s="545"/>
      <c r="GQB47" s="545"/>
      <c r="GQC47" s="545"/>
      <c r="GQD47" s="545"/>
      <c r="GQE47" s="545"/>
      <c r="GQF47" s="545"/>
      <c r="GQG47" s="544"/>
      <c r="GQH47" s="545"/>
      <c r="GQI47" s="545"/>
      <c r="GQJ47" s="545"/>
      <c r="GQK47" s="545"/>
      <c r="GQL47" s="545"/>
      <c r="GQM47" s="545"/>
      <c r="GQN47" s="544"/>
      <c r="GQO47" s="545"/>
      <c r="GQP47" s="545"/>
      <c r="GQQ47" s="545"/>
      <c r="GQR47" s="545"/>
      <c r="GQS47" s="545"/>
      <c r="GQT47" s="545"/>
      <c r="GQU47" s="544"/>
      <c r="GQV47" s="545"/>
      <c r="GQW47" s="545"/>
      <c r="GQX47" s="545"/>
      <c r="GQY47" s="545"/>
      <c r="GQZ47" s="545"/>
      <c r="GRA47" s="545"/>
      <c r="GRB47" s="544"/>
      <c r="GRC47" s="545"/>
      <c r="GRD47" s="545"/>
      <c r="GRE47" s="545"/>
      <c r="GRF47" s="545"/>
      <c r="GRG47" s="545"/>
      <c r="GRH47" s="545"/>
      <c r="GRI47" s="544"/>
      <c r="GRJ47" s="545"/>
      <c r="GRK47" s="545"/>
      <c r="GRL47" s="545"/>
      <c r="GRM47" s="545"/>
      <c r="GRN47" s="545"/>
      <c r="GRO47" s="545"/>
      <c r="GRP47" s="544"/>
      <c r="GRQ47" s="545"/>
      <c r="GRR47" s="545"/>
      <c r="GRS47" s="545"/>
      <c r="GRT47" s="545"/>
      <c r="GRU47" s="545"/>
      <c r="GRV47" s="545"/>
      <c r="GRW47" s="544"/>
      <c r="GRX47" s="545"/>
      <c r="GRY47" s="545"/>
      <c r="GRZ47" s="545"/>
      <c r="GSA47" s="545"/>
      <c r="GSB47" s="545"/>
      <c r="GSC47" s="545"/>
      <c r="GSD47" s="544"/>
      <c r="GSE47" s="545"/>
      <c r="GSF47" s="545"/>
      <c r="GSG47" s="545"/>
      <c r="GSH47" s="545"/>
      <c r="GSI47" s="545"/>
      <c r="GSJ47" s="545"/>
      <c r="GSK47" s="544"/>
      <c r="GSL47" s="545"/>
      <c r="GSM47" s="545"/>
      <c r="GSN47" s="545"/>
      <c r="GSO47" s="545"/>
      <c r="GSP47" s="545"/>
      <c r="GSQ47" s="545"/>
      <c r="GSR47" s="544"/>
      <c r="GSS47" s="545"/>
      <c r="GST47" s="545"/>
      <c r="GSU47" s="545"/>
      <c r="GSV47" s="545"/>
      <c r="GSW47" s="545"/>
      <c r="GSX47" s="545"/>
      <c r="GSY47" s="544"/>
      <c r="GSZ47" s="545"/>
      <c r="GTA47" s="545"/>
      <c r="GTB47" s="545"/>
      <c r="GTC47" s="545"/>
      <c r="GTD47" s="545"/>
      <c r="GTE47" s="545"/>
      <c r="GTF47" s="544"/>
      <c r="GTG47" s="545"/>
      <c r="GTH47" s="545"/>
      <c r="GTI47" s="545"/>
      <c r="GTJ47" s="545"/>
      <c r="GTK47" s="545"/>
      <c r="GTL47" s="545"/>
      <c r="GTM47" s="544"/>
      <c r="GTN47" s="545"/>
      <c r="GTO47" s="545"/>
      <c r="GTP47" s="545"/>
      <c r="GTQ47" s="545"/>
      <c r="GTR47" s="545"/>
      <c r="GTS47" s="545"/>
      <c r="GTT47" s="544"/>
      <c r="GTU47" s="545"/>
      <c r="GTV47" s="545"/>
      <c r="GTW47" s="545"/>
      <c r="GTX47" s="545"/>
      <c r="GTY47" s="545"/>
      <c r="GTZ47" s="545"/>
      <c r="GUA47" s="544"/>
      <c r="GUB47" s="545"/>
      <c r="GUC47" s="545"/>
      <c r="GUD47" s="545"/>
      <c r="GUE47" s="545"/>
      <c r="GUF47" s="545"/>
      <c r="GUG47" s="545"/>
      <c r="GUH47" s="544"/>
      <c r="GUI47" s="545"/>
      <c r="GUJ47" s="545"/>
      <c r="GUK47" s="545"/>
      <c r="GUL47" s="545"/>
      <c r="GUM47" s="545"/>
      <c r="GUN47" s="545"/>
      <c r="GUO47" s="544"/>
      <c r="GUP47" s="545"/>
      <c r="GUQ47" s="545"/>
      <c r="GUR47" s="545"/>
      <c r="GUS47" s="545"/>
      <c r="GUT47" s="545"/>
      <c r="GUU47" s="545"/>
      <c r="GUV47" s="544"/>
      <c r="GUW47" s="545"/>
      <c r="GUX47" s="545"/>
      <c r="GUY47" s="545"/>
      <c r="GUZ47" s="545"/>
      <c r="GVA47" s="545"/>
      <c r="GVB47" s="545"/>
      <c r="GVC47" s="544"/>
      <c r="GVD47" s="545"/>
      <c r="GVE47" s="545"/>
      <c r="GVF47" s="545"/>
      <c r="GVG47" s="545"/>
      <c r="GVH47" s="545"/>
      <c r="GVI47" s="545"/>
      <c r="GVJ47" s="544"/>
      <c r="GVK47" s="545"/>
      <c r="GVL47" s="545"/>
      <c r="GVM47" s="545"/>
      <c r="GVN47" s="545"/>
      <c r="GVO47" s="545"/>
      <c r="GVP47" s="545"/>
      <c r="GVQ47" s="544"/>
      <c r="GVR47" s="545"/>
      <c r="GVS47" s="545"/>
      <c r="GVT47" s="545"/>
      <c r="GVU47" s="545"/>
      <c r="GVV47" s="545"/>
      <c r="GVW47" s="545"/>
      <c r="GVX47" s="544"/>
      <c r="GVY47" s="545"/>
      <c r="GVZ47" s="545"/>
      <c r="GWA47" s="545"/>
      <c r="GWB47" s="545"/>
      <c r="GWC47" s="545"/>
      <c r="GWD47" s="545"/>
      <c r="GWE47" s="544"/>
      <c r="GWF47" s="545"/>
      <c r="GWG47" s="545"/>
      <c r="GWH47" s="545"/>
      <c r="GWI47" s="545"/>
      <c r="GWJ47" s="545"/>
      <c r="GWK47" s="545"/>
      <c r="GWL47" s="544"/>
      <c r="GWM47" s="545"/>
      <c r="GWN47" s="545"/>
      <c r="GWO47" s="545"/>
      <c r="GWP47" s="545"/>
      <c r="GWQ47" s="545"/>
      <c r="GWR47" s="545"/>
      <c r="GWS47" s="544"/>
      <c r="GWT47" s="545"/>
      <c r="GWU47" s="545"/>
      <c r="GWV47" s="545"/>
      <c r="GWW47" s="545"/>
      <c r="GWX47" s="545"/>
      <c r="GWY47" s="545"/>
      <c r="GWZ47" s="544"/>
      <c r="GXA47" s="545"/>
      <c r="GXB47" s="545"/>
      <c r="GXC47" s="545"/>
      <c r="GXD47" s="545"/>
      <c r="GXE47" s="545"/>
      <c r="GXF47" s="545"/>
      <c r="GXG47" s="544"/>
      <c r="GXH47" s="545"/>
      <c r="GXI47" s="545"/>
      <c r="GXJ47" s="545"/>
      <c r="GXK47" s="545"/>
      <c r="GXL47" s="545"/>
      <c r="GXM47" s="545"/>
      <c r="GXN47" s="544"/>
      <c r="GXO47" s="545"/>
      <c r="GXP47" s="545"/>
      <c r="GXQ47" s="545"/>
      <c r="GXR47" s="545"/>
      <c r="GXS47" s="545"/>
      <c r="GXT47" s="545"/>
      <c r="GXU47" s="544"/>
      <c r="GXV47" s="545"/>
      <c r="GXW47" s="545"/>
      <c r="GXX47" s="545"/>
      <c r="GXY47" s="545"/>
      <c r="GXZ47" s="545"/>
      <c r="GYA47" s="545"/>
      <c r="GYB47" s="544"/>
      <c r="GYC47" s="545"/>
      <c r="GYD47" s="545"/>
      <c r="GYE47" s="545"/>
      <c r="GYF47" s="545"/>
      <c r="GYG47" s="545"/>
      <c r="GYH47" s="545"/>
      <c r="GYI47" s="544"/>
      <c r="GYJ47" s="545"/>
      <c r="GYK47" s="545"/>
      <c r="GYL47" s="545"/>
      <c r="GYM47" s="545"/>
      <c r="GYN47" s="545"/>
      <c r="GYO47" s="545"/>
      <c r="GYP47" s="544"/>
      <c r="GYQ47" s="545"/>
      <c r="GYR47" s="545"/>
      <c r="GYS47" s="545"/>
      <c r="GYT47" s="545"/>
      <c r="GYU47" s="545"/>
      <c r="GYV47" s="545"/>
      <c r="GYW47" s="544"/>
      <c r="GYX47" s="545"/>
      <c r="GYY47" s="545"/>
      <c r="GYZ47" s="545"/>
      <c r="GZA47" s="545"/>
      <c r="GZB47" s="545"/>
      <c r="GZC47" s="545"/>
      <c r="GZD47" s="544"/>
      <c r="GZE47" s="545"/>
      <c r="GZF47" s="545"/>
      <c r="GZG47" s="545"/>
      <c r="GZH47" s="545"/>
      <c r="GZI47" s="545"/>
      <c r="GZJ47" s="545"/>
      <c r="GZK47" s="544"/>
      <c r="GZL47" s="545"/>
      <c r="GZM47" s="545"/>
      <c r="GZN47" s="545"/>
      <c r="GZO47" s="545"/>
      <c r="GZP47" s="545"/>
      <c r="GZQ47" s="545"/>
      <c r="GZR47" s="544"/>
      <c r="GZS47" s="545"/>
      <c r="GZT47" s="545"/>
      <c r="GZU47" s="545"/>
      <c r="GZV47" s="545"/>
      <c r="GZW47" s="545"/>
      <c r="GZX47" s="545"/>
      <c r="GZY47" s="544"/>
      <c r="GZZ47" s="545"/>
      <c r="HAA47" s="545"/>
      <c r="HAB47" s="545"/>
      <c r="HAC47" s="545"/>
      <c r="HAD47" s="545"/>
      <c r="HAE47" s="545"/>
      <c r="HAF47" s="544"/>
      <c r="HAG47" s="545"/>
      <c r="HAH47" s="545"/>
      <c r="HAI47" s="545"/>
      <c r="HAJ47" s="545"/>
      <c r="HAK47" s="545"/>
      <c r="HAL47" s="545"/>
      <c r="HAM47" s="544"/>
      <c r="HAN47" s="545"/>
      <c r="HAO47" s="545"/>
      <c r="HAP47" s="545"/>
      <c r="HAQ47" s="545"/>
      <c r="HAR47" s="545"/>
      <c r="HAS47" s="545"/>
      <c r="HAT47" s="544"/>
      <c r="HAU47" s="545"/>
      <c r="HAV47" s="545"/>
      <c r="HAW47" s="545"/>
      <c r="HAX47" s="545"/>
      <c r="HAY47" s="545"/>
      <c r="HAZ47" s="545"/>
      <c r="HBA47" s="544"/>
      <c r="HBB47" s="545"/>
      <c r="HBC47" s="545"/>
      <c r="HBD47" s="545"/>
      <c r="HBE47" s="545"/>
      <c r="HBF47" s="545"/>
      <c r="HBG47" s="545"/>
      <c r="HBH47" s="544"/>
      <c r="HBI47" s="545"/>
      <c r="HBJ47" s="545"/>
      <c r="HBK47" s="545"/>
      <c r="HBL47" s="545"/>
      <c r="HBM47" s="545"/>
      <c r="HBN47" s="545"/>
      <c r="HBO47" s="544"/>
      <c r="HBP47" s="545"/>
      <c r="HBQ47" s="545"/>
      <c r="HBR47" s="545"/>
      <c r="HBS47" s="545"/>
      <c r="HBT47" s="545"/>
      <c r="HBU47" s="545"/>
      <c r="HBV47" s="544"/>
      <c r="HBW47" s="545"/>
      <c r="HBX47" s="545"/>
      <c r="HBY47" s="545"/>
      <c r="HBZ47" s="545"/>
      <c r="HCA47" s="545"/>
      <c r="HCB47" s="545"/>
      <c r="HCC47" s="544"/>
      <c r="HCD47" s="545"/>
      <c r="HCE47" s="545"/>
      <c r="HCF47" s="545"/>
      <c r="HCG47" s="545"/>
      <c r="HCH47" s="545"/>
      <c r="HCI47" s="545"/>
      <c r="HCJ47" s="544"/>
      <c r="HCK47" s="545"/>
      <c r="HCL47" s="545"/>
      <c r="HCM47" s="545"/>
      <c r="HCN47" s="545"/>
      <c r="HCO47" s="545"/>
      <c r="HCP47" s="545"/>
      <c r="HCQ47" s="544"/>
      <c r="HCR47" s="545"/>
      <c r="HCS47" s="545"/>
      <c r="HCT47" s="545"/>
      <c r="HCU47" s="545"/>
      <c r="HCV47" s="545"/>
      <c r="HCW47" s="545"/>
      <c r="HCX47" s="544"/>
      <c r="HCY47" s="545"/>
      <c r="HCZ47" s="545"/>
      <c r="HDA47" s="545"/>
      <c r="HDB47" s="545"/>
      <c r="HDC47" s="545"/>
      <c r="HDD47" s="545"/>
      <c r="HDE47" s="544"/>
      <c r="HDF47" s="545"/>
      <c r="HDG47" s="545"/>
      <c r="HDH47" s="545"/>
      <c r="HDI47" s="545"/>
      <c r="HDJ47" s="545"/>
      <c r="HDK47" s="545"/>
      <c r="HDL47" s="544"/>
      <c r="HDM47" s="545"/>
      <c r="HDN47" s="545"/>
      <c r="HDO47" s="545"/>
      <c r="HDP47" s="545"/>
      <c r="HDQ47" s="545"/>
      <c r="HDR47" s="545"/>
      <c r="HDS47" s="544"/>
      <c r="HDT47" s="545"/>
      <c r="HDU47" s="545"/>
      <c r="HDV47" s="545"/>
      <c r="HDW47" s="545"/>
      <c r="HDX47" s="545"/>
      <c r="HDY47" s="545"/>
      <c r="HDZ47" s="544"/>
      <c r="HEA47" s="545"/>
      <c r="HEB47" s="545"/>
      <c r="HEC47" s="545"/>
      <c r="HED47" s="545"/>
      <c r="HEE47" s="545"/>
      <c r="HEF47" s="545"/>
      <c r="HEG47" s="544"/>
      <c r="HEH47" s="545"/>
      <c r="HEI47" s="545"/>
      <c r="HEJ47" s="545"/>
      <c r="HEK47" s="545"/>
      <c r="HEL47" s="545"/>
      <c r="HEM47" s="545"/>
      <c r="HEN47" s="544"/>
      <c r="HEO47" s="545"/>
      <c r="HEP47" s="545"/>
      <c r="HEQ47" s="545"/>
      <c r="HER47" s="545"/>
      <c r="HES47" s="545"/>
      <c r="HET47" s="545"/>
      <c r="HEU47" s="544"/>
      <c r="HEV47" s="545"/>
      <c r="HEW47" s="545"/>
      <c r="HEX47" s="545"/>
      <c r="HEY47" s="545"/>
      <c r="HEZ47" s="545"/>
      <c r="HFA47" s="545"/>
      <c r="HFB47" s="544"/>
      <c r="HFC47" s="545"/>
      <c r="HFD47" s="545"/>
      <c r="HFE47" s="545"/>
      <c r="HFF47" s="545"/>
      <c r="HFG47" s="545"/>
      <c r="HFH47" s="545"/>
      <c r="HFI47" s="544"/>
      <c r="HFJ47" s="545"/>
      <c r="HFK47" s="545"/>
      <c r="HFL47" s="545"/>
      <c r="HFM47" s="545"/>
      <c r="HFN47" s="545"/>
      <c r="HFO47" s="545"/>
      <c r="HFP47" s="544"/>
      <c r="HFQ47" s="545"/>
      <c r="HFR47" s="545"/>
      <c r="HFS47" s="545"/>
      <c r="HFT47" s="545"/>
      <c r="HFU47" s="545"/>
      <c r="HFV47" s="545"/>
      <c r="HFW47" s="544"/>
      <c r="HFX47" s="545"/>
      <c r="HFY47" s="545"/>
      <c r="HFZ47" s="545"/>
      <c r="HGA47" s="545"/>
      <c r="HGB47" s="545"/>
      <c r="HGC47" s="545"/>
      <c r="HGD47" s="544"/>
      <c r="HGE47" s="545"/>
      <c r="HGF47" s="545"/>
      <c r="HGG47" s="545"/>
      <c r="HGH47" s="545"/>
      <c r="HGI47" s="545"/>
      <c r="HGJ47" s="545"/>
      <c r="HGK47" s="544"/>
      <c r="HGL47" s="545"/>
      <c r="HGM47" s="545"/>
      <c r="HGN47" s="545"/>
      <c r="HGO47" s="545"/>
      <c r="HGP47" s="545"/>
      <c r="HGQ47" s="545"/>
      <c r="HGR47" s="544"/>
      <c r="HGS47" s="545"/>
      <c r="HGT47" s="545"/>
      <c r="HGU47" s="545"/>
      <c r="HGV47" s="545"/>
      <c r="HGW47" s="545"/>
      <c r="HGX47" s="545"/>
      <c r="HGY47" s="544"/>
      <c r="HGZ47" s="545"/>
      <c r="HHA47" s="545"/>
      <c r="HHB47" s="545"/>
      <c r="HHC47" s="545"/>
      <c r="HHD47" s="545"/>
      <c r="HHE47" s="545"/>
      <c r="HHF47" s="544"/>
      <c r="HHG47" s="545"/>
      <c r="HHH47" s="545"/>
      <c r="HHI47" s="545"/>
      <c r="HHJ47" s="545"/>
      <c r="HHK47" s="545"/>
      <c r="HHL47" s="545"/>
      <c r="HHM47" s="544"/>
      <c r="HHN47" s="545"/>
      <c r="HHO47" s="545"/>
      <c r="HHP47" s="545"/>
      <c r="HHQ47" s="545"/>
      <c r="HHR47" s="545"/>
      <c r="HHS47" s="545"/>
      <c r="HHT47" s="544"/>
      <c r="HHU47" s="545"/>
      <c r="HHV47" s="545"/>
      <c r="HHW47" s="545"/>
      <c r="HHX47" s="545"/>
      <c r="HHY47" s="545"/>
      <c r="HHZ47" s="545"/>
      <c r="HIA47" s="544"/>
      <c r="HIB47" s="545"/>
      <c r="HIC47" s="545"/>
      <c r="HID47" s="545"/>
      <c r="HIE47" s="545"/>
      <c r="HIF47" s="545"/>
      <c r="HIG47" s="545"/>
      <c r="HIH47" s="544"/>
      <c r="HII47" s="545"/>
      <c r="HIJ47" s="545"/>
      <c r="HIK47" s="545"/>
      <c r="HIL47" s="545"/>
      <c r="HIM47" s="545"/>
      <c r="HIN47" s="545"/>
      <c r="HIO47" s="544"/>
      <c r="HIP47" s="545"/>
      <c r="HIQ47" s="545"/>
      <c r="HIR47" s="545"/>
      <c r="HIS47" s="545"/>
      <c r="HIT47" s="545"/>
      <c r="HIU47" s="545"/>
      <c r="HIV47" s="544"/>
      <c r="HIW47" s="545"/>
      <c r="HIX47" s="545"/>
      <c r="HIY47" s="545"/>
      <c r="HIZ47" s="545"/>
      <c r="HJA47" s="545"/>
      <c r="HJB47" s="545"/>
      <c r="HJC47" s="544"/>
      <c r="HJD47" s="545"/>
      <c r="HJE47" s="545"/>
      <c r="HJF47" s="545"/>
      <c r="HJG47" s="545"/>
      <c r="HJH47" s="545"/>
      <c r="HJI47" s="545"/>
      <c r="HJJ47" s="544"/>
      <c r="HJK47" s="545"/>
      <c r="HJL47" s="545"/>
      <c r="HJM47" s="545"/>
      <c r="HJN47" s="545"/>
      <c r="HJO47" s="545"/>
      <c r="HJP47" s="545"/>
      <c r="HJQ47" s="544"/>
      <c r="HJR47" s="545"/>
      <c r="HJS47" s="545"/>
      <c r="HJT47" s="545"/>
      <c r="HJU47" s="545"/>
      <c r="HJV47" s="545"/>
      <c r="HJW47" s="545"/>
      <c r="HJX47" s="544"/>
      <c r="HJY47" s="545"/>
      <c r="HJZ47" s="545"/>
      <c r="HKA47" s="545"/>
      <c r="HKB47" s="545"/>
      <c r="HKC47" s="545"/>
      <c r="HKD47" s="545"/>
      <c r="HKE47" s="544"/>
      <c r="HKF47" s="545"/>
      <c r="HKG47" s="545"/>
      <c r="HKH47" s="545"/>
      <c r="HKI47" s="545"/>
      <c r="HKJ47" s="545"/>
      <c r="HKK47" s="545"/>
      <c r="HKL47" s="544"/>
      <c r="HKM47" s="545"/>
      <c r="HKN47" s="545"/>
      <c r="HKO47" s="545"/>
      <c r="HKP47" s="545"/>
      <c r="HKQ47" s="545"/>
      <c r="HKR47" s="545"/>
      <c r="HKS47" s="544"/>
      <c r="HKT47" s="545"/>
      <c r="HKU47" s="545"/>
      <c r="HKV47" s="545"/>
      <c r="HKW47" s="545"/>
      <c r="HKX47" s="545"/>
      <c r="HKY47" s="545"/>
      <c r="HKZ47" s="544"/>
      <c r="HLA47" s="545"/>
      <c r="HLB47" s="545"/>
      <c r="HLC47" s="545"/>
      <c r="HLD47" s="545"/>
      <c r="HLE47" s="545"/>
      <c r="HLF47" s="545"/>
      <c r="HLG47" s="544"/>
      <c r="HLH47" s="545"/>
      <c r="HLI47" s="545"/>
      <c r="HLJ47" s="545"/>
      <c r="HLK47" s="545"/>
      <c r="HLL47" s="545"/>
      <c r="HLM47" s="545"/>
      <c r="HLN47" s="544"/>
      <c r="HLO47" s="545"/>
      <c r="HLP47" s="545"/>
      <c r="HLQ47" s="545"/>
      <c r="HLR47" s="545"/>
      <c r="HLS47" s="545"/>
      <c r="HLT47" s="545"/>
      <c r="HLU47" s="544"/>
      <c r="HLV47" s="545"/>
      <c r="HLW47" s="545"/>
      <c r="HLX47" s="545"/>
      <c r="HLY47" s="545"/>
      <c r="HLZ47" s="545"/>
      <c r="HMA47" s="545"/>
      <c r="HMB47" s="544"/>
      <c r="HMC47" s="545"/>
      <c r="HMD47" s="545"/>
      <c r="HME47" s="545"/>
      <c r="HMF47" s="545"/>
      <c r="HMG47" s="545"/>
      <c r="HMH47" s="545"/>
      <c r="HMI47" s="544"/>
      <c r="HMJ47" s="545"/>
      <c r="HMK47" s="545"/>
      <c r="HML47" s="545"/>
      <c r="HMM47" s="545"/>
      <c r="HMN47" s="545"/>
      <c r="HMO47" s="545"/>
      <c r="HMP47" s="544"/>
      <c r="HMQ47" s="545"/>
      <c r="HMR47" s="545"/>
      <c r="HMS47" s="545"/>
      <c r="HMT47" s="545"/>
      <c r="HMU47" s="545"/>
      <c r="HMV47" s="545"/>
      <c r="HMW47" s="544"/>
      <c r="HMX47" s="545"/>
      <c r="HMY47" s="545"/>
      <c r="HMZ47" s="545"/>
      <c r="HNA47" s="545"/>
      <c r="HNB47" s="545"/>
      <c r="HNC47" s="545"/>
      <c r="HND47" s="544"/>
      <c r="HNE47" s="545"/>
      <c r="HNF47" s="545"/>
      <c r="HNG47" s="545"/>
      <c r="HNH47" s="545"/>
      <c r="HNI47" s="545"/>
      <c r="HNJ47" s="545"/>
      <c r="HNK47" s="544"/>
      <c r="HNL47" s="545"/>
      <c r="HNM47" s="545"/>
      <c r="HNN47" s="545"/>
      <c r="HNO47" s="545"/>
      <c r="HNP47" s="545"/>
      <c r="HNQ47" s="545"/>
      <c r="HNR47" s="544"/>
      <c r="HNS47" s="545"/>
      <c r="HNT47" s="545"/>
      <c r="HNU47" s="545"/>
      <c r="HNV47" s="545"/>
      <c r="HNW47" s="545"/>
      <c r="HNX47" s="545"/>
      <c r="HNY47" s="544"/>
      <c r="HNZ47" s="545"/>
      <c r="HOA47" s="545"/>
      <c r="HOB47" s="545"/>
      <c r="HOC47" s="545"/>
      <c r="HOD47" s="545"/>
      <c r="HOE47" s="545"/>
      <c r="HOF47" s="544"/>
      <c r="HOG47" s="545"/>
      <c r="HOH47" s="545"/>
      <c r="HOI47" s="545"/>
      <c r="HOJ47" s="545"/>
      <c r="HOK47" s="545"/>
      <c r="HOL47" s="545"/>
      <c r="HOM47" s="544"/>
      <c r="HON47" s="545"/>
      <c r="HOO47" s="545"/>
      <c r="HOP47" s="545"/>
      <c r="HOQ47" s="545"/>
      <c r="HOR47" s="545"/>
      <c r="HOS47" s="545"/>
      <c r="HOT47" s="544"/>
      <c r="HOU47" s="545"/>
      <c r="HOV47" s="545"/>
      <c r="HOW47" s="545"/>
      <c r="HOX47" s="545"/>
      <c r="HOY47" s="545"/>
      <c r="HOZ47" s="545"/>
      <c r="HPA47" s="544"/>
      <c r="HPB47" s="545"/>
      <c r="HPC47" s="545"/>
      <c r="HPD47" s="545"/>
      <c r="HPE47" s="545"/>
      <c r="HPF47" s="545"/>
      <c r="HPG47" s="545"/>
      <c r="HPH47" s="544"/>
      <c r="HPI47" s="545"/>
      <c r="HPJ47" s="545"/>
      <c r="HPK47" s="545"/>
      <c r="HPL47" s="545"/>
      <c r="HPM47" s="545"/>
      <c r="HPN47" s="545"/>
      <c r="HPO47" s="544"/>
      <c r="HPP47" s="545"/>
      <c r="HPQ47" s="545"/>
      <c r="HPR47" s="545"/>
      <c r="HPS47" s="545"/>
      <c r="HPT47" s="545"/>
      <c r="HPU47" s="545"/>
      <c r="HPV47" s="544"/>
      <c r="HPW47" s="545"/>
      <c r="HPX47" s="545"/>
      <c r="HPY47" s="545"/>
      <c r="HPZ47" s="545"/>
      <c r="HQA47" s="545"/>
      <c r="HQB47" s="545"/>
      <c r="HQC47" s="544"/>
      <c r="HQD47" s="545"/>
      <c r="HQE47" s="545"/>
      <c r="HQF47" s="545"/>
      <c r="HQG47" s="545"/>
      <c r="HQH47" s="545"/>
      <c r="HQI47" s="545"/>
      <c r="HQJ47" s="544"/>
      <c r="HQK47" s="545"/>
      <c r="HQL47" s="545"/>
      <c r="HQM47" s="545"/>
      <c r="HQN47" s="545"/>
      <c r="HQO47" s="545"/>
      <c r="HQP47" s="545"/>
      <c r="HQQ47" s="544"/>
      <c r="HQR47" s="545"/>
      <c r="HQS47" s="545"/>
      <c r="HQT47" s="545"/>
      <c r="HQU47" s="545"/>
      <c r="HQV47" s="545"/>
      <c r="HQW47" s="545"/>
      <c r="HQX47" s="544"/>
      <c r="HQY47" s="545"/>
      <c r="HQZ47" s="545"/>
      <c r="HRA47" s="545"/>
      <c r="HRB47" s="545"/>
      <c r="HRC47" s="545"/>
      <c r="HRD47" s="545"/>
      <c r="HRE47" s="544"/>
      <c r="HRF47" s="545"/>
      <c r="HRG47" s="545"/>
      <c r="HRH47" s="545"/>
      <c r="HRI47" s="545"/>
      <c r="HRJ47" s="545"/>
      <c r="HRK47" s="545"/>
      <c r="HRL47" s="544"/>
      <c r="HRM47" s="545"/>
      <c r="HRN47" s="545"/>
      <c r="HRO47" s="545"/>
      <c r="HRP47" s="545"/>
      <c r="HRQ47" s="545"/>
      <c r="HRR47" s="545"/>
      <c r="HRS47" s="544"/>
      <c r="HRT47" s="545"/>
      <c r="HRU47" s="545"/>
      <c r="HRV47" s="545"/>
      <c r="HRW47" s="545"/>
      <c r="HRX47" s="545"/>
      <c r="HRY47" s="545"/>
      <c r="HRZ47" s="544"/>
      <c r="HSA47" s="545"/>
      <c r="HSB47" s="545"/>
      <c r="HSC47" s="545"/>
      <c r="HSD47" s="545"/>
      <c r="HSE47" s="545"/>
      <c r="HSF47" s="545"/>
      <c r="HSG47" s="544"/>
      <c r="HSH47" s="545"/>
      <c r="HSI47" s="545"/>
      <c r="HSJ47" s="545"/>
      <c r="HSK47" s="545"/>
      <c r="HSL47" s="545"/>
      <c r="HSM47" s="545"/>
      <c r="HSN47" s="544"/>
      <c r="HSO47" s="545"/>
      <c r="HSP47" s="545"/>
      <c r="HSQ47" s="545"/>
      <c r="HSR47" s="545"/>
      <c r="HSS47" s="545"/>
      <c r="HST47" s="545"/>
      <c r="HSU47" s="544"/>
      <c r="HSV47" s="545"/>
      <c r="HSW47" s="545"/>
      <c r="HSX47" s="545"/>
      <c r="HSY47" s="545"/>
      <c r="HSZ47" s="545"/>
      <c r="HTA47" s="545"/>
      <c r="HTB47" s="544"/>
      <c r="HTC47" s="545"/>
      <c r="HTD47" s="545"/>
      <c r="HTE47" s="545"/>
      <c r="HTF47" s="545"/>
      <c r="HTG47" s="545"/>
      <c r="HTH47" s="545"/>
      <c r="HTI47" s="544"/>
      <c r="HTJ47" s="545"/>
      <c r="HTK47" s="545"/>
      <c r="HTL47" s="545"/>
      <c r="HTM47" s="545"/>
      <c r="HTN47" s="545"/>
      <c r="HTO47" s="545"/>
      <c r="HTP47" s="544"/>
      <c r="HTQ47" s="545"/>
      <c r="HTR47" s="545"/>
      <c r="HTS47" s="545"/>
      <c r="HTT47" s="545"/>
      <c r="HTU47" s="545"/>
      <c r="HTV47" s="545"/>
      <c r="HTW47" s="544"/>
      <c r="HTX47" s="545"/>
      <c r="HTY47" s="545"/>
      <c r="HTZ47" s="545"/>
      <c r="HUA47" s="545"/>
      <c r="HUB47" s="545"/>
      <c r="HUC47" s="545"/>
      <c r="HUD47" s="544"/>
      <c r="HUE47" s="545"/>
      <c r="HUF47" s="545"/>
      <c r="HUG47" s="545"/>
      <c r="HUH47" s="545"/>
      <c r="HUI47" s="545"/>
      <c r="HUJ47" s="545"/>
      <c r="HUK47" s="544"/>
      <c r="HUL47" s="545"/>
      <c r="HUM47" s="545"/>
      <c r="HUN47" s="545"/>
      <c r="HUO47" s="545"/>
      <c r="HUP47" s="545"/>
      <c r="HUQ47" s="545"/>
      <c r="HUR47" s="544"/>
      <c r="HUS47" s="545"/>
      <c r="HUT47" s="545"/>
      <c r="HUU47" s="545"/>
      <c r="HUV47" s="545"/>
      <c r="HUW47" s="545"/>
      <c r="HUX47" s="545"/>
      <c r="HUY47" s="544"/>
      <c r="HUZ47" s="545"/>
      <c r="HVA47" s="545"/>
      <c r="HVB47" s="545"/>
      <c r="HVC47" s="545"/>
      <c r="HVD47" s="545"/>
      <c r="HVE47" s="545"/>
      <c r="HVF47" s="544"/>
      <c r="HVG47" s="545"/>
      <c r="HVH47" s="545"/>
      <c r="HVI47" s="545"/>
      <c r="HVJ47" s="545"/>
      <c r="HVK47" s="545"/>
      <c r="HVL47" s="545"/>
      <c r="HVM47" s="544"/>
      <c r="HVN47" s="545"/>
      <c r="HVO47" s="545"/>
      <c r="HVP47" s="545"/>
      <c r="HVQ47" s="545"/>
      <c r="HVR47" s="545"/>
      <c r="HVS47" s="545"/>
      <c r="HVT47" s="544"/>
      <c r="HVU47" s="545"/>
      <c r="HVV47" s="545"/>
      <c r="HVW47" s="545"/>
      <c r="HVX47" s="545"/>
      <c r="HVY47" s="545"/>
      <c r="HVZ47" s="545"/>
      <c r="HWA47" s="544"/>
      <c r="HWB47" s="545"/>
      <c r="HWC47" s="545"/>
      <c r="HWD47" s="545"/>
      <c r="HWE47" s="545"/>
      <c r="HWF47" s="545"/>
      <c r="HWG47" s="545"/>
      <c r="HWH47" s="544"/>
      <c r="HWI47" s="545"/>
      <c r="HWJ47" s="545"/>
      <c r="HWK47" s="545"/>
      <c r="HWL47" s="545"/>
      <c r="HWM47" s="545"/>
      <c r="HWN47" s="545"/>
      <c r="HWO47" s="544"/>
      <c r="HWP47" s="545"/>
      <c r="HWQ47" s="545"/>
      <c r="HWR47" s="545"/>
      <c r="HWS47" s="545"/>
      <c r="HWT47" s="545"/>
      <c r="HWU47" s="545"/>
      <c r="HWV47" s="544"/>
      <c r="HWW47" s="545"/>
      <c r="HWX47" s="545"/>
      <c r="HWY47" s="545"/>
      <c r="HWZ47" s="545"/>
      <c r="HXA47" s="545"/>
      <c r="HXB47" s="545"/>
      <c r="HXC47" s="544"/>
      <c r="HXD47" s="545"/>
      <c r="HXE47" s="545"/>
      <c r="HXF47" s="545"/>
      <c r="HXG47" s="545"/>
      <c r="HXH47" s="545"/>
      <c r="HXI47" s="545"/>
      <c r="HXJ47" s="544"/>
      <c r="HXK47" s="545"/>
      <c r="HXL47" s="545"/>
      <c r="HXM47" s="545"/>
      <c r="HXN47" s="545"/>
      <c r="HXO47" s="545"/>
      <c r="HXP47" s="545"/>
      <c r="HXQ47" s="544"/>
      <c r="HXR47" s="545"/>
      <c r="HXS47" s="545"/>
      <c r="HXT47" s="545"/>
      <c r="HXU47" s="545"/>
      <c r="HXV47" s="545"/>
      <c r="HXW47" s="545"/>
      <c r="HXX47" s="544"/>
      <c r="HXY47" s="545"/>
      <c r="HXZ47" s="545"/>
      <c r="HYA47" s="545"/>
      <c r="HYB47" s="545"/>
      <c r="HYC47" s="545"/>
      <c r="HYD47" s="545"/>
      <c r="HYE47" s="544"/>
      <c r="HYF47" s="545"/>
      <c r="HYG47" s="545"/>
      <c r="HYH47" s="545"/>
      <c r="HYI47" s="545"/>
      <c r="HYJ47" s="545"/>
      <c r="HYK47" s="545"/>
      <c r="HYL47" s="544"/>
      <c r="HYM47" s="545"/>
      <c r="HYN47" s="545"/>
      <c r="HYO47" s="545"/>
      <c r="HYP47" s="545"/>
      <c r="HYQ47" s="545"/>
      <c r="HYR47" s="545"/>
      <c r="HYS47" s="544"/>
      <c r="HYT47" s="545"/>
      <c r="HYU47" s="545"/>
      <c r="HYV47" s="545"/>
      <c r="HYW47" s="545"/>
      <c r="HYX47" s="545"/>
      <c r="HYY47" s="545"/>
      <c r="HYZ47" s="544"/>
      <c r="HZA47" s="545"/>
      <c r="HZB47" s="545"/>
      <c r="HZC47" s="545"/>
      <c r="HZD47" s="545"/>
      <c r="HZE47" s="545"/>
      <c r="HZF47" s="545"/>
      <c r="HZG47" s="544"/>
      <c r="HZH47" s="545"/>
      <c r="HZI47" s="545"/>
      <c r="HZJ47" s="545"/>
      <c r="HZK47" s="545"/>
      <c r="HZL47" s="545"/>
      <c r="HZM47" s="545"/>
      <c r="HZN47" s="544"/>
      <c r="HZO47" s="545"/>
      <c r="HZP47" s="545"/>
      <c r="HZQ47" s="545"/>
      <c r="HZR47" s="545"/>
      <c r="HZS47" s="545"/>
      <c r="HZT47" s="545"/>
      <c r="HZU47" s="544"/>
      <c r="HZV47" s="545"/>
      <c r="HZW47" s="545"/>
      <c r="HZX47" s="545"/>
      <c r="HZY47" s="545"/>
      <c r="HZZ47" s="545"/>
      <c r="IAA47" s="545"/>
      <c r="IAB47" s="544"/>
      <c r="IAC47" s="545"/>
      <c r="IAD47" s="545"/>
      <c r="IAE47" s="545"/>
      <c r="IAF47" s="545"/>
      <c r="IAG47" s="545"/>
      <c r="IAH47" s="545"/>
      <c r="IAI47" s="544"/>
      <c r="IAJ47" s="545"/>
      <c r="IAK47" s="545"/>
      <c r="IAL47" s="545"/>
      <c r="IAM47" s="545"/>
      <c r="IAN47" s="545"/>
      <c r="IAO47" s="545"/>
      <c r="IAP47" s="544"/>
      <c r="IAQ47" s="545"/>
      <c r="IAR47" s="545"/>
      <c r="IAS47" s="545"/>
      <c r="IAT47" s="545"/>
      <c r="IAU47" s="545"/>
      <c r="IAV47" s="545"/>
      <c r="IAW47" s="544"/>
      <c r="IAX47" s="545"/>
      <c r="IAY47" s="545"/>
      <c r="IAZ47" s="545"/>
      <c r="IBA47" s="545"/>
      <c r="IBB47" s="545"/>
      <c r="IBC47" s="545"/>
      <c r="IBD47" s="544"/>
      <c r="IBE47" s="545"/>
      <c r="IBF47" s="545"/>
      <c r="IBG47" s="545"/>
      <c r="IBH47" s="545"/>
      <c r="IBI47" s="545"/>
      <c r="IBJ47" s="545"/>
      <c r="IBK47" s="544"/>
      <c r="IBL47" s="545"/>
      <c r="IBM47" s="545"/>
      <c r="IBN47" s="545"/>
      <c r="IBO47" s="545"/>
      <c r="IBP47" s="545"/>
      <c r="IBQ47" s="545"/>
      <c r="IBR47" s="544"/>
      <c r="IBS47" s="545"/>
      <c r="IBT47" s="545"/>
      <c r="IBU47" s="545"/>
      <c r="IBV47" s="545"/>
      <c r="IBW47" s="545"/>
      <c r="IBX47" s="545"/>
      <c r="IBY47" s="544"/>
      <c r="IBZ47" s="545"/>
      <c r="ICA47" s="545"/>
      <c r="ICB47" s="545"/>
      <c r="ICC47" s="545"/>
      <c r="ICD47" s="545"/>
      <c r="ICE47" s="545"/>
      <c r="ICF47" s="544"/>
      <c r="ICG47" s="545"/>
      <c r="ICH47" s="545"/>
      <c r="ICI47" s="545"/>
      <c r="ICJ47" s="545"/>
      <c r="ICK47" s="545"/>
      <c r="ICL47" s="545"/>
      <c r="ICM47" s="544"/>
      <c r="ICN47" s="545"/>
      <c r="ICO47" s="545"/>
      <c r="ICP47" s="545"/>
      <c r="ICQ47" s="545"/>
      <c r="ICR47" s="545"/>
      <c r="ICS47" s="545"/>
      <c r="ICT47" s="544"/>
      <c r="ICU47" s="545"/>
      <c r="ICV47" s="545"/>
      <c r="ICW47" s="545"/>
      <c r="ICX47" s="545"/>
      <c r="ICY47" s="545"/>
      <c r="ICZ47" s="545"/>
      <c r="IDA47" s="544"/>
      <c r="IDB47" s="545"/>
      <c r="IDC47" s="545"/>
      <c r="IDD47" s="545"/>
      <c r="IDE47" s="545"/>
      <c r="IDF47" s="545"/>
      <c r="IDG47" s="545"/>
      <c r="IDH47" s="544"/>
      <c r="IDI47" s="545"/>
      <c r="IDJ47" s="545"/>
      <c r="IDK47" s="545"/>
      <c r="IDL47" s="545"/>
      <c r="IDM47" s="545"/>
      <c r="IDN47" s="545"/>
      <c r="IDO47" s="544"/>
      <c r="IDP47" s="545"/>
      <c r="IDQ47" s="545"/>
      <c r="IDR47" s="545"/>
      <c r="IDS47" s="545"/>
      <c r="IDT47" s="545"/>
      <c r="IDU47" s="545"/>
      <c r="IDV47" s="544"/>
      <c r="IDW47" s="545"/>
      <c r="IDX47" s="545"/>
      <c r="IDY47" s="545"/>
      <c r="IDZ47" s="545"/>
      <c r="IEA47" s="545"/>
      <c r="IEB47" s="545"/>
      <c r="IEC47" s="544"/>
      <c r="IED47" s="545"/>
      <c r="IEE47" s="545"/>
      <c r="IEF47" s="545"/>
      <c r="IEG47" s="545"/>
      <c r="IEH47" s="545"/>
      <c r="IEI47" s="545"/>
      <c r="IEJ47" s="544"/>
      <c r="IEK47" s="545"/>
      <c r="IEL47" s="545"/>
      <c r="IEM47" s="545"/>
      <c r="IEN47" s="545"/>
      <c r="IEO47" s="545"/>
      <c r="IEP47" s="545"/>
      <c r="IEQ47" s="544"/>
      <c r="IER47" s="545"/>
      <c r="IES47" s="545"/>
      <c r="IET47" s="545"/>
      <c r="IEU47" s="545"/>
      <c r="IEV47" s="545"/>
      <c r="IEW47" s="545"/>
      <c r="IEX47" s="544"/>
      <c r="IEY47" s="545"/>
      <c r="IEZ47" s="545"/>
      <c r="IFA47" s="545"/>
      <c r="IFB47" s="545"/>
      <c r="IFC47" s="545"/>
      <c r="IFD47" s="545"/>
      <c r="IFE47" s="544"/>
      <c r="IFF47" s="545"/>
      <c r="IFG47" s="545"/>
      <c r="IFH47" s="545"/>
      <c r="IFI47" s="545"/>
      <c r="IFJ47" s="545"/>
      <c r="IFK47" s="545"/>
      <c r="IFL47" s="544"/>
      <c r="IFM47" s="545"/>
      <c r="IFN47" s="545"/>
      <c r="IFO47" s="545"/>
      <c r="IFP47" s="545"/>
      <c r="IFQ47" s="545"/>
      <c r="IFR47" s="545"/>
      <c r="IFS47" s="544"/>
      <c r="IFT47" s="545"/>
      <c r="IFU47" s="545"/>
      <c r="IFV47" s="545"/>
      <c r="IFW47" s="545"/>
      <c r="IFX47" s="545"/>
      <c r="IFY47" s="545"/>
      <c r="IFZ47" s="544"/>
      <c r="IGA47" s="545"/>
      <c r="IGB47" s="545"/>
      <c r="IGC47" s="545"/>
      <c r="IGD47" s="545"/>
      <c r="IGE47" s="545"/>
      <c r="IGF47" s="545"/>
      <c r="IGG47" s="544"/>
      <c r="IGH47" s="545"/>
      <c r="IGI47" s="545"/>
      <c r="IGJ47" s="545"/>
      <c r="IGK47" s="545"/>
      <c r="IGL47" s="545"/>
      <c r="IGM47" s="545"/>
      <c r="IGN47" s="544"/>
      <c r="IGO47" s="545"/>
      <c r="IGP47" s="545"/>
      <c r="IGQ47" s="545"/>
      <c r="IGR47" s="545"/>
      <c r="IGS47" s="545"/>
      <c r="IGT47" s="545"/>
      <c r="IGU47" s="544"/>
      <c r="IGV47" s="545"/>
      <c r="IGW47" s="545"/>
      <c r="IGX47" s="545"/>
      <c r="IGY47" s="545"/>
      <c r="IGZ47" s="545"/>
      <c r="IHA47" s="545"/>
      <c r="IHB47" s="544"/>
      <c r="IHC47" s="545"/>
      <c r="IHD47" s="545"/>
      <c r="IHE47" s="545"/>
      <c r="IHF47" s="545"/>
      <c r="IHG47" s="545"/>
      <c r="IHH47" s="545"/>
      <c r="IHI47" s="544"/>
      <c r="IHJ47" s="545"/>
      <c r="IHK47" s="545"/>
      <c r="IHL47" s="545"/>
      <c r="IHM47" s="545"/>
      <c r="IHN47" s="545"/>
      <c r="IHO47" s="545"/>
      <c r="IHP47" s="544"/>
      <c r="IHQ47" s="545"/>
      <c r="IHR47" s="545"/>
      <c r="IHS47" s="545"/>
      <c r="IHT47" s="545"/>
      <c r="IHU47" s="545"/>
      <c r="IHV47" s="545"/>
      <c r="IHW47" s="544"/>
      <c r="IHX47" s="545"/>
      <c r="IHY47" s="545"/>
      <c r="IHZ47" s="545"/>
      <c r="IIA47" s="545"/>
      <c r="IIB47" s="545"/>
      <c r="IIC47" s="545"/>
      <c r="IID47" s="544"/>
      <c r="IIE47" s="545"/>
      <c r="IIF47" s="545"/>
      <c r="IIG47" s="545"/>
      <c r="IIH47" s="545"/>
      <c r="III47" s="545"/>
      <c r="IIJ47" s="545"/>
      <c r="IIK47" s="544"/>
      <c r="IIL47" s="545"/>
      <c r="IIM47" s="545"/>
      <c r="IIN47" s="545"/>
      <c r="IIO47" s="545"/>
      <c r="IIP47" s="545"/>
      <c r="IIQ47" s="545"/>
      <c r="IIR47" s="544"/>
      <c r="IIS47" s="545"/>
      <c r="IIT47" s="545"/>
      <c r="IIU47" s="545"/>
      <c r="IIV47" s="545"/>
      <c r="IIW47" s="545"/>
      <c r="IIX47" s="545"/>
      <c r="IIY47" s="544"/>
      <c r="IIZ47" s="545"/>
      <c r="IJA47" s="545"/>
      <c r="IJB47" s="545"/>
      <c r="IJC47" s="545"/>
      <c r="IJD47" s="545"/>
      <c r="IJE47" s="545"/>
      <c r="IJF47" s="544"/>
      <c r="IJG47" s="545"/>
      <c r="IJH47" s="545"/>
      <c r="IJI47" s="545"/>
      <c r="IJJ47" s="545"/>
      <c r="IJK47" s="545"/>
      <c r="IJL47" s="545"/>
      <c r="IJM47" s="544"/>
      <c r="IJN47" s="545"/>
      <c r="IJO47" s="545"/>
      <c r="IJP47" s="545"/>
      <c r="IJQ47" s="545"/>
      <c r="IJR47" s="545"/>
      <c r="IJS47" s="545"/>
      <c r="IJT47" s="544"/>
      <c r="IJU47" s="545"/>
      <c r="IJV47" s="545"/>
      <c r="IJW47" s="545"/>
      <c r="IJX47" s="545"/>
      <c r="IJY47" s="545"/>
      <c r="IJZ47" s="545"/>
      <c r="IKA47" s="544"/>
      <c r="IKB47" s="545"/>
      <c r="IKC47" s="545"/>
      <c r="IKD47" s="545"/>
      <c r="IKE47" s="545"/>
      <c r="IKF47" s="545"/>
      <c r="IKG47" s="545"/>
      <c r="IKH47" s="544"/>
      <c r="IKI47" s="545"/>
      <c r="IKJ47" s="545"/>
      <c r="IKK47" s="545"/>
      <c r="IKL47" s="545"/>
      <c r="IKM47" s="545"/>
      <c r="IKN47" s="545"/>
      <c r="IKO47" s="544"/>
      <c r="IKP47" s="545"/>
      <c r="IKQ47" s="545"/>
      <c r="IKR47" s="545"/>
      <c r="IKS47" s="545"/>
      <c r="IKT47" s="545"/>
      <c r="IKU47" s="545"/>
      <c r="IKV47" s="544"/>
      <c r="IKW47" s="545"/>
      <c r="IKX47" s="545"/>
      <c r="IKY47" s="545"/>
      <c r="IKZ47" s="545"/>
      <c r="ILA47" s="545"/>
      <c r="ILB47" s="545"/>
      <c r="ILC47" s="544"/>
      <c r="ILD47" s="545"/>
      <c r="ILE47" s="545"/>
      <c r="ILF47" s="545"/>
      <c r="ILG47" s="545"/>
      <c r="ILH47" s="545"/>
      <c r="ILI47" s="545"/>
      <c r="ILJ47" s="544"/>
      <c r="ILK47" s="545"/>
      <c r="ILL47" s="545"/>
      <c r="ILM47" s="545"/>
      <c r="ILN47" s="545"/>
      <c r="ILO47" s="545"/>
      <c r="ILP47" s="545"/>
      <c r="ILQ47" s="544"/>
      <c r="ILR47" s="545"/>
      <c r="ILS47" s="545"/>
      <c r="ILT47" s="545"/>
      <c r="ILU47" s="545"/>
      <c r="ILV47" s="545"/>
      <c r="ILW47" s="545"/>
      <c r="ILX47" s="544"/>
      <c r="ILY47" s="545"/>
      <c r="ILZ47" s="545"/>
      <c r="IMA47" s="545"/>
      <c r="IMB47" s="545"/>
      <c r="IMC47" s="545"/>
      <c r="IMD47" s="545"/>
      <c r="IME47" s="544"/>
      <c r="IMF47" s="545"/>
      <c r="IMG47" s="545"/>
      <c r="IMH47" s="545"/>
      <c r="IMI47" s="545"/>
      <c r="IMJ47" s="545"/>
      <c r="IMK47" s="545"/>
      <c r="IML47" s="544"/>
      <c r="IMM47" s="545"/>
      <c r="IMN47" s="545"/>
      <c r="IMO47" s="545"/>
      <c r="IMP47" s="545"/>
      <c r="IMQ47" s="545"/>
      <c r="IMR47" s="545"/>
      <c r="IMS47" s="544"/>
      <c r="IMT47" s="545"/>
      <c r="IMU47" s="545"/>
      <c r="IMV47" s="545"/>
      <c r="IMW47" s="545"/>
      <c r="IMX47" s="545"/>
      <c r="IMY47" s="545"/>
      <c r="IMZ47" s="544"/>
      <c r="INA47" s="545"/>
      <c r="INB47" s="545"/>
      <c r="INC47" s="545"/>
      <c r="IND47" s="545"/>
      <c r="INE47" s="545"/>
      <c r="INF47" s="545"/>
      <c r="ING47" s="544"/>
      <c r="INH47" s="545"/>
      <c r="INI47" s="545"/>
      <c r="INJ47" s="545"/>
      <c r="INK47" s="545"/>
      <c r="INL47" s="545"/>
      <c r="INM47" s="545"/>
      <c r="INN47" s="544"/>
      <c r="INO47" s="545"/>
      <c r="INP47" s="545"/>
      <c r="INQ47" s="545"/>
      <c r="INR47" s="545"/>
      <c r="INS47" s="545"/>
      <c r="INT47" s="545"/>
      <c r="INU47" s="544"/>
      <c r="INV47" s="545"/>
      <c r="INW47" s="545"/>
      <c r="INX47" s="545"/>
      <c r="INY47" s="545"/>
      <c r="INZ47" s="545"/>
      <c r="IOA47" s="545"/>
      <c r="IOB47" s="544"/>
      <c r="IOC47" s="545"/>
      <c r="IOD47" s="545"/>
      <c r="IOE47" s="545"/>
      <c r="IOF47" s="545"/>
      <c r="IOG47" s="545"/>
      <c r="IOH47" s="545"/>
      <c r="IOI47" s="544"/>
      <c r="IOJ47" s="545"/>
      <c r="IOK47" s="545"/>
      <c r="IOL47" s="545"/>
      <c r="IOM47" s="545"/>
      <c r="ION47" s="545"/>
      <c r="IOO47" s="545"/>
      <c r="IOP47" s="544"/>
      <c r="IOQ47" s="545"/>
      <c r="IOR47" s="545"/>
      <c r="IOS47" s="545"/>
      <c r="IOT47" s="545"/>
      <c r="IOU47" s="545"/>
      <c r="IOV47" s="545"/>
      <c r="IOW47" s="544"/>
      <c r="IOX47" s="545"/>
      <c r="IOY47" s="545"/>
      <c r="IOZ47" s="545"/>
      <c r="IPA47" s="545"/>
      <c r="IPB47" s="545"/>
      <c r="IPC47" s="545"/>
      <c r="IPD47" s="544"/>
      <c r="IPE47" s="545"/>
      <c r="IPF47" s="545"/>
      <c r="IPG47" s="545"/>
      <c r="IPH47" s="545"/>
      <c r="IPI47" s="545"/>
      <c r="IPJ47" s="545"/>
      <c r="IPK47" s="544"/>
      <c r="IPL47" s="545"/>
      <c r="IPM47" s="545"/>
      <c r="IPN47" s="545"/>
      <c r="IPO47" s="545"/>
      <c r="IPP47" s="545"/>
      <c r="IPQ47" s="545"/>
      <c r="IPR47" s="544"/>
      <c r="IPS47" s="545"/>
      <c r="IPT47" s="545"/>
      <c r="IPU47" s="545"/>
      <c r="IPV47" s="545"/>
      <c r="IPW47" s="545"/>
      <c r="IPX47" s="545"/>
      <c r="IPY47" s="544"/>
      <c r="IPZ47" s="545"/>
      <c r="IQA47" s="545"/>
      <c r="IQB47" s="545"/>
      <c r="IQC47" s="545"/>
      <c r="IQD47" s="545"/>
      <c r="IQE47" s="545"/>
      <c r="IQF47" s="544"/>
      <c r="IQG47" s="545"/>
      <c r="IQH47" s="545"/>
      <c r="IQI47" s="545"/>
      <c r="IQJ47" s="545"/>
      <c r="IQK47" s="545"/>
      <c r="IQL47" s="545"/>
      <c r="IQM47" s="544"/>
      <c r="IQN47" s="545"/>
      <c r="IQO47" s="545"/>
      <c r="IQP47" s="545"/>
      <c r="IQQ47" s="545"/>
      <c r="IQR47" s="545"/>
      <c r="IQS47" s="545"/>
      <c r="IQT47" s="544"/>
      <c r="IQU47" s="545"/>
      <c r="IQV47" s="545"/>
      <c r="IQW47" s="545"/>
      <c r="IQX47" s="545"/>
      <c r="IQY47" s="545"/>
      <c r="IQZ47" s="545"/>
      <c r="IRA47" s="544"/>
      <c r="IRB47" s="545"/>
      <c r="IRC47" s="545"/>
      <c r="IRD47" s="545"/>
      <c r="IRE47" s="545"/>
      <c r="IRF47" s="545"/>
      <c r="IRG47" s="545"/>
      <c r="IRH47" s="544"/>
      <c r="IRI47" s="545"/>
      <c r="IRJ47" s="545"/>
      <c r="IRK47" s="545"/>
      <c r="IRL47" s="545"/>
      <c r="IRM47" s="545"/>
      <c r="IRN47" s="545"/>
      <c r="IRO47" s="544"/>
      <c r="IRP47" s="545"/>
      <c r="IRQ47" s="545"/>
      <c r="IRR47" s="545"/>
      <c r="IRS47" s="545"/>
      <c r="IRT47" s="545"/>
      <c r="IRU47" s="545"/>
      <c r="IRV47" s="544"/>
      <c r="IRW47" s="545"/>
      <c r="IRX47" s="545"/>
      <c r="IRY47" s="545"/>
      <c r="IRZ47" s="545"/>
      <c r="ISA47" s="545"/>
      <c r="ISB47" s="545"/>
      <c r="ISC47" s="544"/>
      <c r="ISD47" s="545"/>
      <c r="ISE47" s="545"/>
      <c r="ISF47" s="545"/>
      <c r="ISG47" s="545"/>
      <c r="ISH47" s="545"/>
      <c r="ISI47" s="545"/>
      <c r="ISJ47" s="544"/>
      <c r="ISK47" s="545"/>
      <c r="ISL47" s="545"/>
      <c r="ISM47" s="545"/>
      <c r="ISN47" s="545"/>
      <c r="ISO47" s="545"/>
      <c r="ISP47" s="545"/>
      <c r="ISQ47" s="544"/>
      <c r="ISR47" s="545"/>
      <c r="ISS47" s="545"/>
      <c r="IST47" s="545"/>
      <c r="ISU47" s="545"/>
      <c r="ISV47" s="545"/>
      <c r="ISW47" s="545"/>
      <c r="ISX47" s="544"/>
      <c r="ISY47" s="545"/>
      <c r="ISZ47" s="545"/>
      <c r="ITA47" s="545"/>
      <c r="ITB47" s="545"/>
      <c r="ITC47" s="545"/>
      <c r="ITD47" s="545"/>
      <c r="ITE47" s="544"/>
      <c r="ITF47" s="545"/>
      <c r="ITG47" s="545"/>
      <c r="ITH47" s="545"/>
      <c r="ITI47" s="545"/>
      <c r="ITJ47" s="545"/>
      <c r="ITK47" s="545"/>
      <c r="ITL47" s="544"/>
      <c r="ITM47" s="545"/>
      <c r="ITN47" s="545"/>
      <c r="ITO47" s="545"/>
      <c r="ITP47" s="545"/>
      <c r="ITQ47" s="545"/>
      <c r="ITR47" s="545"/>
      <c r="ITS47" s="544"/>
      <c r="ITT47" s="545"/>
      <c r="ITU47" s="545"/>
      <c r="ITV47" s="545"/>
      <c r="ITW47" s="545"/>
      <c r="ITX47" s="545"/>
      <c r="ITY47" s="545"/>
      <c r="ITZ47" s="544"/>
      <c r="IUA47" s="545"/>
      <c r="IUB47" s="545"/>
      <c r="IUC47" s="545"/>
      <c r="IUD47" s="545"/>
      <c r="IUE47" s="545"/>
      <c r="IUF47" s="545"/>
      <c r="IUG47" s="544"/>
      <c r="IUH47" s="545"/>
      <c r="IUI47" s="545"/>
      <c r="IUJ47" s="545"/>
      <c r="IUK47" s="545"/>
      <c r="IUL47" s="545"/>
      <c r="IUM47" s="545"/>
      <c r="IUN47" s="544"/>
      <c r="IUO47" s="545"/>
      <c r="IUP47" s="545"/>
      <c r="IUQ47" s="545"/>
      <c r="IUR47" s="545"/>
      <c r="IUS47" s="545"/>
      <c r="IUT47" s="545"/>
      <c r="IUU47" s="544"/>
      <c r="IUV47" s="545"/>
      <c r="IUW47" s="545"/>
      <c r="IUX47" s="545"/>
      <c r="IUY47" s="545"/>
      <c r="IUZ47" s="545"/>
      <c r="IVA47" s="545"/>
      <c r="IVB47" s="544"/>
      <c r="IVC47" s="545"/>
      <c r="IVD47" s="545"/>
      <c r="IVE47" s="545"/>
      <c r="IVF47" s="545"/>
      <c r="IVG47" s="545"/>
      <c r="IVH47" s="545"/>
      <c r="IVI47" s="544"/>
      <c r="IVJ47" s="545"/>
      <c r="IVK47" s="545"/>
      <c r="IVL47" s="545"/>
      <c r="IVM47" s="545"/>
      <c r="IVN47" s="545"/>
      <c r="IVO47" s="545"/>
      <c r="IVP47" s="544"/>
      <c r="IVQ47" s="545"/>
      <c r="IVR47" s="545"/>
      <c r="IVS47" s="545"/>
      <c r="IVT47" s="545"/>
      <c r="IVU47" s="545"/>
      <c r="IVV47" s="545"/>
      <c r="IVW47" s="544"/>
      <c r="IVX47" s="545"/>
      <c r="IVY47" s="545"/>
      <c r="IVZ47" s="545"/>
      <c r="IWA47" s="545"/>
      <c r="IWB47" s="545"/>
      <c r="IWC47" s="545"/>
      <c r="IWD47" s="544"/>
      <c r="IWE47" s="545"/>
      <c r="IWF47" s="545"/>
      <c r="IWG47" s="545"/>
      <c r="IWH47" s="545"/>
      <c r="IWI47" s="545"/>
      <c r="IWJ47" s="545"/>
      <c r="IWK47" s="544"/>
      <c r="IWL47" s="545"/>
      <c r="IWM47" s="545"/>
      <c r="IWN47" s="545"/>
      <c r="IWO47" s="545"/>
      <c r="IWP47" s="545"/>
      <c r="IWQ47" s="545"/>
      <c r="IWR47" s="544"/>
      <c r="IWS47" s="545"/>
      <c r="IWT47" s="545"/>
      <c r="IWU47" s="545"/>
      <c r="IWV47" s="545"/>
      <c r="IWW47" s="545"/>
      <c r="IWX47" s="545"/>
      <c r="IWY47" s="544"/>
      <c r="IWZ47" s="545"/>
      <c r="IXA47" s="545"/>
      <c r="IXB47" s="545"/>
      <c r="IXC47" s="545"/>
      <c r="IXD47" s="545"/>
      <c r="IXE47" s="545"/>
      <c r="IXF47" s="544"/>
      <c r="IXG47" s="545"/>
      <c r="IXH47" s="545"/>
      <c r="IXI47" s="545"/>
      <c r="IXJ47" s="545"/>
      <c r="IXK47" s="545"/>
      <c r="IXL47" s="545"/>
      <c r="IXM47" s="544"/>
      <c r="IXN47" s="545"/>
      <c r="IXO47" s="545"/>
      <c r="IXP47" s="545"/>
      <c r="IXQ47" s="545"/>
      <c r="IXR47" s="545"/>
      <c r="IXS47" s="545"/>
      <c r="IXT47" s="544"/>
      <c r="IXU47" s="545"/>
      <c r="IXV47" s="545"/>
      <c r="IXW47" s="545"/>
      <c r="IXX47" s="545"/>
      <c r="IXY47" s="545"/>
      <c r="IXZ47" s="545"/>
      <c r="IYA47" s="544"/>
      <c r="IYB47" s="545"/>
      <c r="IYC47" s="545"/>
      <c r="IYD47" s="545"/>
      <c r="IYE47" s="545"/>
      <c r="IYF47" s="545"/>
      <c r="IYG47" s="545"/>
      <c r="IYH47" s="544"/>
      <c r="IYI47" s="545"/>
      <c r="IYJ47" s="545"/>
      <c r="IYK47" s="545"/>
      <c r="IYL47" s="545"/>
      <c r="IYM47" s="545"/>
      <c r="IYN47" s="545"/>
      <c r="IYO47" s="544"/>
      <c r="IYP47" s="545"/>
      <c r="IYQ47" s="545"/>
      <c r="IYR47" s="545"/>
      <c r="IYS47" s="545"/>
      <c r="IYT47" s="545"/>
      <c r="IYU47" s="545"/>
      <c r="IYV47" s="544"/>
      <c r="IYW47" s="545"/>
      <c r="IYX47" s="545"/>
      <c r="IYY47" s="545"/>
      <c r="IYZ47" s="545"/>
      <c r="IZA47" s="545"/>
      <c r="IZB47" s="545"/>
      <c r="IZC47" s="544"/>
      <c r="IZD47" s="545"/>
      <c r="IZE47" s="545"/>
      <c r="IZF47" s="545"/>
      <c r="IZG47" s="545"/>
      <c r="IZH47" s="545"/>
      <c r="IZI47" s="545"/>
      <c r="IZJ47" s="544"/>
      <c r="IZK47" s="545"/>
      <c r="IZL47" s="545"/>
      <c r="IZM47" s="545"/>
      <c r="IZN47" s="545"/>
      <c r="IZO47" s="545"/>
      <c r="IZP47" s="545"/>
      <c r="IZQ47" s="544"/>
      <c r="IZR47" s="545"/>
      <c r="IZS47" s="545"/>
      <c r="IZT47" s="545"/>
      <c r="IZU47" s="545"/>
      <c r="IZV47" s="545"/>
      <c r="IZW47" s="545"/>
      <c r="IZX47" s="544"/>
      <c r="IZY47" s="545"/>
      <c r="IZZ47" s="545"/>
      <c r="JAA47" s="545"/>
      <c r="JAB47" s="545"/>
      <c r="JAC47" s="545"/>
      <c r="JAD47" s="545"/>
      <c r="JAE47" s="544"/>
      <c r="JAF47" s="545"/>
      <c r="JAG47" s="545"/>
      <c r="JAH47" s="545"/>
      <c r="JAI47" s="545"/>
      <c r="JAJ47" s="545"/>
      <c r="JAK47" s="545"/>
      <c r="JAL47" s="544"/>
      <c r="JAM47" s="545"/>
      <c r="JAN47" s="545"/>
      <c r="JAO47" s="545"/>
      <c r="JAP47" s="545"/>
      <c r="JAQ47" s="545"/>
      <c r="JAR47" s="545"/>
      <c r="JAS47" s="544"/>
      <c r="JAT47" s="545"/>
      <c r="JAU47" s="545"/>
      <c r="JAV47" s="545"/>
      <c r="JAW47" s="545"/>
      <c r="JAX47" s="545"/>
      <c r="JAY47" s="545"/>
      <c r="JAZ47" s="544"/>
      <c r="JBA47" s="545"/>
      <c r="JBB47" s="545"/>
      <c r="JBC47" s="545"/>
      <c r="JBD47" s="545"/>
      <c r="JBE47" s="545"/>
      <c r="JBF47" s="545"/>
      <c r="JBG47" s="544"/>
      <c r="JBH47" s="545"/>
      <c r="JBI47" s="545"/>
      <c r="JBJ47" s="545"/>
      <c r="JBK47" s="545"/>
      <c r="JBL47" s="545"/>
      <c r="JBM47" s="545"/>
      <c r="JBN47" s="544"/>
      <c r="JBO47" s="545"/>
      <c r="JBP47" s="545"/>
      <c r="JBQ47" s="545"/>
      <c r="JBR47" s="545"/>
      <c r="JBS47" s="545"/>
      <c r="JBT47" s="545"/>
      <c r="JBU47" s="544"/>
      <c r="JBV47" s="545"/>
      <c r="JBW47" s="545"/>
      <c r="JBX47" s="545"/>
      <c r="JBY47" s="545"/>
      <c r="JBZ47" s="545"/>
      <c r="JCA47" s="545"/>
      <c r="JCB47" s="544"/>
      <c r="JCC47" s="545"/>
      <c r="JCD47" s="545"/>
      <c r="JCE47" s="545"/>
      <c r="JCF47" s="545"/>
      <c r="JCG47" s="545"/>
      <c r="JCH47" s="545"/>
      <c r="JCI47" s="544"/>
      <c r="JCJ47" s="545"/>
      <c r="JCK47" s="545"/>
      <c r="JCL47" s="545"/>
      <c r="JCM47" s="545"/>
      <c r="JCN47" s="545"/>
      <c r="JCO47" s="545"/>
      <c r="JCP47" s="544"/>
      <c r="JCQ47" s="545"/>
      <c r="JCR47" s="545"/>
      <c r="JCS47" s="545"/>
      <c r="JCT47" s="545"/>
      <c r="JCU47" s="545"/>
      <c r="JCV47" s="545"/>
      <c r="JCW47" s="544"/>
      <c r="JCX47" s="545"/>
      <c r="JCY47" s="545"/>
      <c r="JCZ47" s="545"/>
      <c r="JDA47" s="545"/>
      <c r="JDB47" s="545"/>
      <c r="JDC47" s="545"/>
      <c r="JDD47" s="544"/>
      <c r="JDE47" s="545"/>
      <c r="JDF47" s="545"/>
      <c r="JDG47" s="545"/>
      <c r="JDH47" s="545"/>
      <c r="JDI47" s="545"/>
      <c r="JDJ47" s="545"/>
      <c r="JDK47" s="544"/>
      <c r="JDL47" s="545"/>
      <c r="JDM47" s="545"/>
      <c r="JDN47" s="545"/>
      <c r="JDO47" s="545"/>
      <c r="JDP47" s="545"/>
      <c r="JDQ47" s="545"/>
      <c r="JDR47" s="544"/>
      <c r="JDS47" s="545"/>
      <c r="JDT47" s="545"/>
      <c r="JDU47" s="545"/>
      <c r="JDV47" s="545"/>
      <c r="JDW47" s="545"/>
      <c r="JDX47" s="545"/>
      <c r="JDY47" s="544"/>
      <c r="JDZ47" s="545"/>
      <c r="JEA47" s="545"/>
      <c r="JEB47" s="545"/>
      <c r="JEC47" s="545"/>
      <c r="JED47" s="545"/>
      <c r="JEE47" s="545"/>
      <c r="JEF47" s="544"/>
      <c r="JEG47" s="545"/>
      <c r="JEH47" s="545"/>
      <c r="JEI47" s="545"/>
      <c r="JEJ47" s="545"/>
      <c r="JEK47" s="545"/>
      <c r="JEL47" s="545"/>
      <c r="JEM47" s="544"/>
      <c r="JEN47" s="545"/>
      <c r="JEO47" s="545"/>
      <c r="JEP47" s="545"/>
      <c r="JEQ47" s="545"/>
      <c r="JER47" s="545"/>
      <c r="JES47" s="545"/>
      <c r="JET47" s="544"/>
      <c r="JEU47" s="545"/>
      <c r="JEV47" s="545"/>
      <c r="JEW47" s="545"/>
      <c r="JEX47" s="545"/>
      <c r="JEY47" s="545"/>
      <c r="JEZ47" s="545"/>
      <c r="JFA47" s="544"/>
      <c r="JFB47" s="545"/>
      <c r="JFC47" s="545"/>
      <c r="JFD47" s="545"/>
      <c r="JFE47" s="545"/>
      <c r="JFF47" s="545"/>
      <c r="JFG47" s="545"/>
      <c r="JFH47" s="544"/>
      <c r="JFI47" s="545"/>
      <c r="JFJ47" s="545"/>
      <c r="JFK47" s="545"/>
      <c r="JFL47" s="545"/>
      <c r="JFM47" s="545"/>
      <c r="JFN47" s="545"/>
      <c r="JFO47" s="544"/>
      <c r="JFP47" s="545"/>
      <c r="JFQ47" s="545"/>
      <c r="JFR47" s="545"/>
      <c r="JFS47" s="545"/>
      <c r="JFT47" s="545"/>
      <c r="JFU47" s="545"/>
      <c r="JFV47" s="544"/>
      <c r="JFW47" s="545"/>
      <c r="JFX47" s="545"/>
      <c r="JFY47" s="545"/>
      <c r="JFZ47" s="545"/>
      <c r="JGA47" s="545"/>
      <c r="JGB47" s="545"/>
      <c r="JGC47" s="544"/>
      <c r="JGD47" s="545"/>
      <c r="JGE47" s="545"/>
      <c r="JGF47" s="545"/>
      <c r="JGG47" s="545"/>
      <c r="JGH47" s="545"/>
      <c r="JGI47" s="545"/>
      <c r="JGJ47" s="544"/>
      <c r="JGK47" s="545"/>
      <c r="JGL47" s="545"/>
      <c r="JGM47" s="545"/>
      <c r="JGN47" s="545"/>
      <c r="JGO47" s="545"/>
      <c r="JGP47" s="545"/>
      <c r="JGQ47" s="544"/>
      <c r="JGR47" s="545"/>
      <c r="JGS47" s="545"/>
      <c r="JGT47" s="545"/>
      <c r="JGU47" s="545"/>
      <c r="JGV47" s="545"/>
      <c r="JGW47" s="545"/>
      <c r="JGX47" s="544"/>
      <c r="JGY47" s="545"/>
      <c r="JGZ47" s="545"/>
      <c r="JHA47" s="545"/>
      <c r="JHB47" s="545"/>
      <c r="JHC47" s="545"/>
      <c r="JHD47" s="545"/>
      <c r="JHE47" s="544"/>
      <c r="JHF47" s="545"/>
      <c r="JHG47" s="545"/>
      <c r="JHH47" s="545"/>
      <c r="JHI47" s="545"/>
      <c r="JHJ47" s="545"/>
      <c r="JHK47" s="545"/>
      <c r="JHL47" s="544"/>
      <c r="JHM47" s="545"/>
      <c r="JHN47" s="545"/>
      <c r="JHO47" s="545"/>
      <c r="JHP47" s="545"/>
      <c r="JHQ47" s="545"/>
      <c r="JHR47" s="545"/>
      <c r="JHS47" s="544"/>
      <c r="JHT47" s="545"/>
      <c r="JHU47" s="545"/>
      <c r="JHV47" s="545"/>
      <c r="JHW47" s="545"/>
      <c r="JHX47" s="545"/>
      <c r="JHY47" s="545"/>
      <c r="JHZ47" s="544"/>
      <c r="JIA47" s="545"/>
      <c r="JIB47" s="545"/>
      <c r="JIC47" s="545"/>
      <c r="JID47" s="545"/>
      <c r="JIE47" s="545"/>
      <c r="JIF47" s="545"/>
      <c r="JIG47" s="544"/>
      <c r="JIH47" s="545"/>
      <c r="JII47" s="545"/>
      <c r="JIJ47" s="545"/>
      <c r="JIK47" s="545"/>
      <c r="JIL47" s="545"/>
      <c r="JIM47" s="545"/>
      <c r="JIN47" s="544"/>
      <c r="JIO47" s="545"/>
      <c r="JIP47" s="545"/>
      <c r="JIQ47" s="545"/>
      <c r="JIR47" s="545"/>
      <c r="JIS47" s="545"/>
      <c r="JIT47" s="545"/>
      <c r="JIU47" s="544"/>
      <c r="JIV47" s="545"/>
      <c r="JIW47" s="545"/>
      <c r="JIX47" s="545"/>
      <c r="JIY47" s="545"/>
      <c r="JIZ47" s="545"/>
      <c r="JJA47" s="545"/>
      <c r="JJB47" s="544"/>
      <c r="JJC47" s="545"/>
      <c r="JJD47" s="545"/>
      <c r="JJE47" s="545"/>
      <c r="JJF47" s="545"/>
      <c r="JJG47" s="545"/>
      <c r="JJH47" s="545"/>
      <c r="JJI47" s="544"/>
      <c r="JJJ47" s="545"/>
      <c r="JJK47" s="545"/>
      <c r="JJL47" s="545"/>
      <c r="JJM47" s="545"/>
      <c r="JJN47" s="545"/>
      <c r="JJO47" s="545"/>
      <c r="JJP47" s="544"/>
      <c r="JJQ47" s="545"/>
      <c r="JJR47" s="545"/>
      <c r="JJS47" s="545"/>
      <c r="JJT47" s="545"/>
      <c r="JJU47" s="545"/>
      <c r="JJV47" s="545"/>
      <c r="JJW47" s="544"/>
      <c r="JJX47" s="545"/>
      <c r="JJY47" s="545"/>
      <c r="JJZ47" s="545"/>
      <c r="JKA47" s="545"/>
      <c r="JKB47" s="545"/>
      <c r="JKC47" s="545"/>
      <c r="JKD47" s="544"/>
      <c r="JKE47" s="545"/>
      <c r="JKF47" s="545"/>
      <c r="JKG47" s="545"/>
      <c r="JKH47" s="545"/>
      <c r="JKI47" s="545"/>
      <c r="JKJ47" s="545"/>
      <c r="JKK47" s="544"/>
      <c r="JKL47" s="545"/>
      <c r="JKM47" s="545"/>
      <c r="JKN47" s="545"/>
      <c r="JKO47" s="545"/>
      <c r="JKP47" s="545"/>
      <c r="JKQ47" s="545"/>
      <c r="JKR47" s="544"/>
      <c r="JKS47" s="545"/>
      <c r="JKT47" s="545"/>
      <c r="JKU47" s="545"/>
      <c r="JKV47" s="545"/>
      <c r="JKW47" s="545"/>
      <c r="JKX47" s="545"/>
      <c r="JKY47" s="544"/>
      <c r="JKZ47" s="545"/>
      <c r="JLA47" s="545"/>
      <c r="JLB47" s="545"/>
      <c r="JLC47" s="545"/>
      <c r="JLD47" s="545"/>
      <c r="JLE47" s="545"/>
      <c r="JLF47" s="544"/>
      <c r="JLG47" s="545"/>
      <c r="JLH47" s="545"/>
      <c r="JLI47" s="545"/>
      <c r="JLJ47" s="545"/>
      <c r="JLK47" s="545"/>
      <c r="JLL47" s="545"/>
      <c r="JLM47" s="544"/>
      <c r="JLN47" s="545"/>
      <c r="JLO47" s="545"/>
      <c r="JLP47" s="545"/>
      <c r="JLQ47" s="545"/>
      <c r="JLR47" s="545"/>
      <c r="JLS47" s="545"/>
      <c r="JLT47" s="544"/>
      <c r="JLU47" s="545"/>
      <c r="JLV47" s="545"/>
      <c r="JLW47" s="545"/>
      <c r="JLX47" s="545"/>
      <c r="JLY47" s="545"/>
      <c r="JLZ47" s="545"/>
      <c r="JMA47" s="544"/>
      <c r="JMB47" s="545"/>
      <c r="JMC47" s="545"/>
      <c r="JMD47" s="545"/>
      <c r="JME47" s="545"/>
      <c r="JMF47" s="545"/>
      <c r="JMG47" s="545"/>
      <c r="JMH47" s="544"/>
      <c r="JMI47" s="545"/>
      <c r="JMJ47" s="545"/>
      <c r="JMK47" s="545"/>
      <c r="JML47" s="545"/>
      <c r="JMM47" s="545"/>
      <c r="JMN47" s="545"/>
      <c r="JMO47" s="544"/>
      <c r="JMP47" s="545"/>
      <c r="JMQ47" s="545"/>
      <c r="JMR47" s="545"/>
      <c r="JMS47" s="545"/>
      <c r="JMT47" s="545"/>
      <c r="JMU47" s="545"/>
      <c r="JMV47" s="544"/>
      <c r="JMW47" s="545"/>
      <c r="JMX47" s="545"/>
      <c r="JMY47" s="545"/>
      <c r="JMZ47" s="545"/>
      <c r="JNA47" s="545"/>
      <c r="JNB47" s="545"/>
      <c r="JNC47" s="544"/>
      <c r="JND47" s="545"/>
      <c r="JNE47" s="545"/>
      <c r="JNF47" s="545"/>
      <c r="JNG47" s="545"/>
      <c r="JNH47" s="545"/>
      <c r="JNI47" s="545"/>
      <c r="JNJ47" s="544"/>
      <c r="JNK47" s="545"/>
      <c r="JNL47" s="545"/>
      <c r="JNM47" s="545"/>
      <c r="JNN47" s="545"/>
      <c r="JNO47" s="545"/>
      <c r="JNP47" s="545"/>
      <c r="JNQ47" s="544"/>
      <c r="JNR47" s="545"/>
      <c r="JNS47" s="545"/>
      <c r="JNT47" s="545"/>
      <c r="JNU47" s="545"/>
      <c r="JNV47" s="545"/>
      <c r="JNW47" s="545"/>
      <c r="JNX47" s="544"/>
      <c r="JNY47" s="545"/>
      <c r="JNZ47" s="545"/>
      <c r="JOA47" s="545"/>
      <c r="JOB47" s="545"/>
      <c r="JOC47" s="545"/>
      <c r="JOD47" s="545"/>
      <c r="JOE47" s="544"/>
      <c r="JOF47" s="545"/>
      <c r="JOG47" s="545"/>
      <c r="JOH47" s="545"/>
      <c r="JOI47" s="545"/>
      <c r="JOJ47" s="545"/>
      <c r="JOK47" s="545"/>
      <c r="JOL47" s="544"/>
      <c r="JOM47" s="545"/>
      <c r="JON47" s="545"/>
      <c r="JOO47" s="545"/>
      <c r="JOP47" s="545"/>
      <c r="JOQ47" s="545"/>
      <c r="JOR47" s="545"/>
      <c r="JOS47" s="544"/>
      <c r="JOT47" s="545"/>
      <c r="JOU47" s="545"/>
      <c r="JOV47" s="545"/>
      <c r="JOW47" s="545"/>
      <c r="JOX47" s="545"/>
      <c r="JOY47" s="545"/>
      <c r="JOZ47" s="544"/>
      <c r="JPA47" s="545"/>
      <c r="JPB47" s="545"/>
      <c r="JPC47" s="545"/>
      <c r="JPD47" s="545"/>
      <c r="JPE47" s="545"/>
      <c r="JPF47" s="545"/>
      <c r="JPG47" s="544"/>
      <c r="JPH47" s="545"/>
      <c r="JPI47" s="545"/>
      <c r="JPJ47" s="545"/>
      <c r="JPK47" s="545"/>
      <c r="JPL47" s="545"/>
      <c r="JPM47" s="545"/>
      <c r="JPN47" s="544"/>
      <c r="JPO47" s="545"/>
      <c r="JPP47" s="545"/>
      <c r="JPQ47" s="545"/>
      <c r="JPR47" s="545"/>
      <c r="JPS47" s="545"/>
      <c r="JPT47" s="545"/>
      <c r="JPU47" s="544"/>
      <c r="JPV47" s="545"/>
      <c r="JPW47" s="545"/>
      <c r="JPX47" s="545"/>
      <c r="JPY47" s="545"/>
      <c r="JPZ47" s="545"/>
      <c r="JQA47" s="545"/>
      <c r="JQB47" s="544"/>
      <c r="JQC47" s="545"/>
      <c r="JQD47" s="545"/>
      <c r="JQE47" s="545"/>
      <c r="JQF47" s="545"/>
      <c r="JQG47" s="545"/>
      <c r="JQH47" s="545"/>
      <c r="JQI47" s="544"/>
      <c r="JQJ47" s="545"/>
      <c r="JQK47" s="545"/>
      <c r="JQL47" s="545"/>
      <c r="JQM47" s="545"/>
      <c r="JQN47" s="545"/>
      <c r="JQO47" s="545"/>
      <c r="JQP47" s="544"/>
      <c r="JQQ47" s="545"/>
      <c r="JQR47" s="545"/>
      <c r="JQS47" s="545"/>
      <c r="JQT47" s="545"/>
      <c r="JQU47" s="545"/>
      <c r="JQV47" s="545"/>
      <c r="JQW47" s="544"/>
      <c r="JQX47" s="545"/>
      <c r="JQY47" s="545"/>
      <c r="JQZ47" s="545"/>
      <c r="JRA47" s="545"/>
      <c r="JRB47" s="545"/>
      <c r="JRC47" s="545"/>
      <c r="JRD47" s="544"/>
      <c r="JRE47" s="545"/>
      <c r="JRF47" s="545"/>
      <c r="JRG47" s="545"/>
      <c r="JRH47" s="545"/>
      <c r="JRI47" s="545"/>
      <c r="JRJ47" s="545"/>
      <c r="JRK47" s="544"/>
      <c r="JRL47" s="545"/>
      <c r="JRM47" s="545"/>
      <c r="JRN47" s="545"/>
      <c r="JRO47" s="545"/>
      <c r="JRP47" s="545"/>
      <c r="JRQ47" s="545"/>
      <c r="JRR47" s="544"/>
      <c r="JRS47" s="545"/>
      <c r="JRT47" s="545"/>
      <c r="JRU47" s="545"/>
      <c r="JRV47" s="545"/>
      <c r="JRW47" s="545"/>
      <c r="JRX47" s="545"/>
      <c r="JRY47" s="544"/>
      <c r="JRZ47" s="545"/>
      <c r="JSA47" s="545"/>
      <c r="JSB47" s="545"/>
      <c r="JSC47" s="545"/>
      <c r="JSD47" s="545"/>
      <c r="JSE47" s="545"/>
      <c r="JSF47" s="544"/>
      <c r="JSG47" s="545"/>
      <c r="JSH47" s="545"/>
      <c r="JSI47" s="545"/>
      <c r="JSJ47" s="545"/>
      <c r="JSK47" s="545"/>
      <c r="JSL47" s="545"/>
      <c r="JSM47" s="544"/>
      <c r="JSN47" s="545"/>
      <c r="JSO47" s="545"/>
      <c r="JSP47" s="545"/>
      <c r="JSQ47" s="545"/>
      <c r="JSR47" s="545"/>
      <c r="JSS47" s="545"/>
      <c r="JST47" s="544"/>
      <c r="JSU47" s="545"/>
      <c r="JSV47" s="545"/>
      <c r="JSW47" s="545"/>
      <c r="JSX47" s="545"/>
      <c r="JSY47" s="545"/>
      <c r="JSZ47" s="545"/>
      <c r="JTA47" s="544"/>
      <c r="JTB47" s="545"/>
      <c r="JTC47" s="545"/>
      <c r="JTD47" s="545"/>
      <c r="JTE47" s="545"/>
      <c r="JTF47" s="545"/>
      <c r="JTG47" s="545"/>
      <c r="JTH47" s="544"/>
      <c r="JTI47" s="545"/>
      <c r="JTJ47" s="545"/>
      <c r="JTK47" s="545"/>
      <c r="JTL47" s="545"/>
      <c r="JTM47" s="545"/>
      <c r="JTN47" s="545"/>
      <c r="JTO47" s="544"/>
      <c r="JTP47" s="545"/>
      <c r="JTQ47" s="545"/>
      <c r="JTR47" s="545"/>
      <c r="JTS47" s="545"/>
      <c r="JTT47" s="545"/>
      <c r="JTU47" s="545"/>
      <c r="JTV47" s="544"/>
      <c r="JTW47" s="545"/>
      <c r="JTX47" s="545"/>
      <c r="JTY47" s="545"/>
      <c r="JTZ47" s="545"/>
      <c r="JUA47" s="545"/>
      <c r="JUB47" s="545"/>
      <c r="JUC47" s="544"/>
      <c r="JUD47" s="545"/>
      <c r="JUE47" s="545"/>
      <c r="JUF47" s="545"/>
      <c r="JUG47" s="545"/>
      <c r="JUH47" s="545"/>
      <c r="JUI47" s="545"/>
      <c r="JUJ47" s="544"/>
      <c r="JUK47" s="545"/>
      <c r="JUL47" s="545"/>
      <c r="JUM47" s="545"/>
      <c r="JUN47" s="545"/>
      <c r="JUO47" s="545"/>
      <c r="JUP47" s="545"/>
      <c r="JUQ47" s="544"/>
      <c r="JUR47" s="545"/>
      <c r="JUS47" s="545"/>
      <c r="JUT47" s="545"/>
      <c r="JUU47" s="545"/>
      <c r="JUV47" s="545"/>
      <c r="JUW47" s="545"/>
      <c r="JUX47" s="544"/>
      <c r="JUY47" s="545"/>
      <c r="JUZ47" s="545"/>
      <c r="JVA47" s="545"/>
      <c r="JVB47" s="545"/>
      <c r="JVC47" s="545"/>
      <c r="JVD47" s="545"/>
      <c r="JVE47" s="544"/>
      <c r="JVF47" s="545"/>
      <c r="JVG47" s="545"/>
      <c r="JVH47" s="545"/>
      <c r="JVI47" s="545"/>
      <c r="JVJ47" s="545"/>
      <c r="JVK47" s="545"/>
      <c r="JVL47" s="544"/>
      <c r="JVM47" s="545"/>
      <c r="JVN47" s="545"/>
      <c r="JVO47" s="545"/>
      <c r="JVP47" s="545"/>
      <c r="JVQ47" s="545"/>
      <c r="JVR47" s="545"/>
      <c r="JVS47" s="544"/>
      <c r="JVT47" s="545"/>
      <c r="JVU47" s="545"/>
      <c r="JVV47" s="545"/>
      <c r="JVW47" s="545"/>
      <c r="JVX47" s="545"/>
      <c r="JVY47" s="545"/>
      <c r="JVZ47" s="544"/>
      <c r="JWA47" s="545"/>
      <c r="JWB47" s="545"/>
      <c r="JWC47" s="545"/>
      <c r="JWD47" s="545"/>
      <c r="JWE47" s="545"/>
      <c r="JWF47" s="545"/>
      <c r="JWG47" s="544"/>
      <c r="JWH47" s="545"/>
      <c r="JWI47" s="545"/>
      <c r="JWJ47" s="545"/>
      <c r="JWK47" s="545"/>
      <c r="JWL47" s="545"/>
      <c r="JWM47" s="545"/>
      <c r="JWN47" s="544"/>
      <c r="JWO47" s="545"/>
      <c r="JWP47" s="545"/>
      <c r="JWQ47" s="545"/>
      <c r="JWR47" s="545"/>
      <c r="JWS47" s="545"/>
      <c r="JWT47" s="545"/>
      <c r="JWU47" s="544"/>
      <c r="JWV47" s="545"/>
      <c r="JWW47" s="545"/>
      <c r="JWX47" s="545"/>
      <c r="JWY47" s="545"/>
      <c r="JWZ47" s="545"/>
      <c r="JXA47" s="545"/>
      <c r="JXB47" s="544"/>
      <c r="JXC47" s="545"/>
      <c r="JXD47" s="545"/>
      <c r="JXE47" s="545"/>
      <c r="JXF47" s="545"/>
      <c r="JXG47" s="545"/>
      <c r="JXH47" s="545"/>
      <c r="JXI47" s="544"/>
      <c r="JXJ47" s="545"/>
      <c r="JXK47" s="545"/>
      <c r="JXL47" s="545"/>
      <c r="JXM47" s="545"/>
      <c r="JXN47" s="545"/>
      <c r="JXO47" s="545"/>
      <c r="JXP47" s="544"/>
      <c r="JXQ47" s="545"/>
      <c r="JXR47" s="545"/>
      <c r="JXS47" s="545"/>
      <c r="JXT47" s="545"/>
      <c r="JXU47" s="545"/>
      <c r="JXV47" s="545"/>
      <c r="JXW47" s="544"/>
      <c r="JXX47" s="545"/>
      <c r="JXY47" s="545"/>
      <c r="JXZ47" s="545"/>
      <c r="JYA47" s="545"/>
      <c r="JYB47" s="545"/>
      <c r="JYC47" s="545"/>
      <c r="JYD47" s="544"/>
      <c r="JYE47" s="545"/>
      <c r="JYF47" s="545"/>
      <c r="JYG47" s="545"/>
      <c r="JYH47" s="545"/>
      <c r="JYI47" s="545"/>
      <c r="JYJ47" s="545"/>
      <c r="JYK47" s="544"/>
      <c r="JYL47" s="545"/>
      <c r="JYM47" s="545"/>
      <c r="JYN47" s="545"/>
      <c r="JYO47" s="545"/>
      <c r="JYP47" s="545"/>
      <c r="JYQ47" s="545"/>
      <c r="JYR47" s="544"/>
      <c r="JYS47" s="545"/>
      <c r="JYT47" s="545"/>
      <c r="JYU47" s="545"/>
      <c r="JYV47" s="545"/>
      <c r="JYW47" s="545"/>
      <c r="JYX47" s="545"/>
      <c r="JYY47" s="544"/>
      <c r="JYZ47" s="545"/>
      <c r="JZA47" s="545"/>
      <c r="JZB47" s="545"/>
      <c r="JZC47" s="545"/>
      <c r="JZD47" s="545"/>
      <c r="JZE47" s="545"/>
      <c r="JZF47" s="544"/>
      <c r="JZG47" s="545"/>
      <c r="JZH47" s="545"/>
      <c r="JZI47" s="545"/>
      <c r="JZJ47" s="545"/>
      <c r="JZK47" s="545"/>
      <c r="JZL47" s="545"/>
      <c r="JZM47" s="544"/>
      <c r="JZN47" s="545"/>
      <c r="JZO47" s="545"/>
      <c r="JZP47" s="545"/>
      <c r="JZQ47" s="545"/>
      <c r="JZR47" s="545"/>
      <c r="JZS47" s="545"/>
      <c r="JZT47" s="544"/>
      <c r="JZU47" s="545"/>
      <c r="JZV47" s="545"/>
      <c r="JZW47" s="545"/>
      <c r="JZX47" s="545"/>
      <c r="JZY47" s="545"/>
      <c r="JZZ47" s="545"/>
      <c r="KAA47" s="544"/>
      <c r="KAB47" s="545"/>
      <c r="KAC47" s="545"/>
      <c r="KAD47" s="545"/>
      <c r="KAE47" s="545"/>
      <c r="KAF47" s="545"/>
      <c r="KAG47" s="545"/>
      <c r="KAH47" s="544"/>
      <c r="KAI47" s="545"/>
      <c r="KAJ47" s="545"/>
      <c r="KAK47" s="545"/>
      <c r="KAL47" s="545"/>
      <c r="KAM47" s="545"/>
      <c r="KAN47" s="545"/>
      <c r="KAO47" s="544"/>
      <c r="KAP47" s="545"/>
      <c r="KAQ47" s="545"/>
      <c r="KAR47" s="545"/>
      <c r="KAS47" s="545"/>
      <c r="KAT47" s="545"/>
      <c r="KAU47" s="545"/>
      <c r="KAV47" s="544"/>
      <c r="KAW47" s="545"/>
      <c r="KAX47" s="545"/>
      <c r="KAY47" s="545"/>
      <c r="KAZ47" s="545"/>
      <c r="KBA47" s="545"/>
      <c r="KBB47" s="545"/>
      <c r="KBC47" s="544"/>
      <c r="KBD47" s="545"/>
      <c r="KBE47" s="545"/>
      <c r="KBF47" s="545"/>
      <c r="KBG47" s="545"/>
      <c r="KBH47" s="545"/>
      <c r="KBI47" s="545"/>
      <c r="KBJ47" s="544"/>
      <c r="KBK47" s="545"/>
      <c r="KBL47" s="545"/>
      <c r="KBM47" s="545"/>
      <c r="KBN47" s="545"/>
      <c r="KBO47" s="545"/>
      <c r="KBP47" s="545"/>
      <c r="KBQ47" s="544"/>
      <c r="KBR47" s="545"/>
      <c r="KBS47" s="545"/>
      <c r="KBT47" s="545"/>
      <c r="KBU47" s="545"/>
      <c r="KBV47" s="545"/>
      <c r="KBW47" s="545"/>
      <c r="KBX47" s="544"/>
      <c r="KBY47" s="545"/>
      <c r="KBZ47" s="545"/>
      <c r="KCA47" s="545"/>
      <c r="KCB47" s="545"/>
      <c r="KCC47" s="545"/>
      <c r="KCD47" s="545"/>
      <c r="KCE47" s="544"/>
      <c r="KCF47" s="545"/>
      <c r="KCG47" s="545"/>
      <c r="KCH47" s="545"/>
      <c r="KCI47" s="545"/>
      <c r="KCJ47" s="545"/>
      <c r="KCK47" s="545"/>
      <c r="KCL47" s="544"/>
      <c r="KCM47" s="545"/>
      <c r="KCN47" s="545"/>
      <c r="KCO47" s="545"/>
      <c r="KCP47" s="545"/>
      <c r="KCQ47" s="545"/>
      <c r="KCR47" s="545"/>
      <c r="KCS47" s="544"/>
      <c r="KCT47" s="545"/>
      <c r="KCU47" s="545"/>
      <c r="KCV47" s="545"/>
      <c r="KCW47" s="545"/>
      <c r="KCX47" s="545"/>
      <c r="KCY47" s="545"/>
      <c r="KCZ47" s="544"/>
      <c r="KDA47" s="545"/>
      <c r="KDB47" s="545"/>
      <c r="KDC47" s="545"/>
      <c r="KDD47" s="545"/>
      <c r="KDE47" s="545"/>
      <c r="KDF47" s="545"/>
      <c r="KDG47" s="544"/>
      <c r="KDH47" s="545"/>
      <c r="KDI47" s="545"/>
      <c r="KDJ47" s="545"/>
      <c r="KDK47" s="545"/>
      <c r="KDL47" s="545"/>
      <c r="KDM47" s="545"/>
      <c r="KDN47" s="544"/>
      <c r="KDO47" s="545"/>
      <c r="KDP47" s="545"/>
      <c r="KDQ47" s="545"/>
      <c r="KDR47" s="545"/>
      <c r="KDS47" s="545"/>
      <c r="KDT47" s="545"/>
      <c r="KDU47" s="544"/>
      <c r="KDV47" s="545"/>
      <c r="KDW47" s="545"/>
      <c r="KDX47" s="545"/>
      <c r="KDY47" s="545"/>
      <c r="KDZ47" s="545"/>
      <c r="KEA47" s="545"/>
      <c r="KEB47" s="544"/>
      <c r="KEC47" s="545"/>
      <c r="KED47" s="545"/>
      <c r="KEE47" s="545"/>
      <c r="KEF47" s="545"/>
      <c r="KEG47" s="545"/>
      <c r="KEH47" s="545"/>
      <c r="KEI47" s="544"/>
      <c r="KEJ47" s="545"/>
      <c r="KEK47" s="545"/>
      <c r="KEL47" s="545"/>
      <c r="KEM47" s="545"/>
      <c r="KEN47" s="545"/>
      <c r="KEO47" s="545"/>
      <c r="KEP47" s="544"/>
      <c r="KEQ47" s="545"/>
      <c r="KER47" s="545"/>
      <c r="KES47" s="545"/>
      <c r="KET47" s="545"/>
      <c r="KEU47" s="545"/>
      <c r="KEV47" s="545"/>
      <c r="KEW47" s="544"/>
      <c r="KEX47" s="545"/>
      <c r="KEY47" s="545"/>
      <c r="KEZ47" s="545"/>
      <c r="KFA47" s="545"/>
      <c r="KFB47" s="545"/>
      <c r="KFC47" s="545"/>
      <c r="KFD47" s="544"/>
      <c r="KFE47" s="545"/>
      <c r="KFF47" s="545"/>
      <c r="KFG47" s="545"/>
      <c r="KFH47" s="545"/>
      <c r="KFI47" s="545"/>
      <c r="KFJ47" s="545"/>
      <c r="KFK47" s="544"/>
      <c r="KFL47" s="545"/>
      <c r="KFM47" s="545"/>
      <c r="KFN47" s="545"/>
      <c r="KFO47" s="545"/>
      <c r="KFP47" s="545"/>
      <c r="KFQ47" s="545"/>
      <c r="KFR47" s="544"/>
      <c r="KFS47" s="545"/>
      <c r="KFT47" s="545"/>
      <c r="KFU47" s="545"/>
      <c r="KFV47" s="545"/>
      <c r="KFW47" s="545"/>
      <c r="KFX47" s="545"/>
      <c r="KFY47" s="544"/>
      <c r="KFZ47" s="545"/>
      <c r="KGA47" s="545"/>
      <c r="KGB47" s="545"/>
      <c r="KGC47" s="545"/>
      <c r="KGD47" s="545"/>
      <c r="KGE47" s="545"/>
      <c r="KGF47" s="544"/>
      <c r="KGG47" s="545"/>
      <c r="KGH47" s="545"/>
      <c r="KGI47" s="545"/>
      <c r="KGJ47" s="545"/>
      <c r="KGK47" s="545"/>
      <c r="KGL47" s="545"/>
      <c r="KGM47" s="544"/>
      <c r="KGN47" s="545"/>
      <c r="KGO47" s="545"/>
      <c r="KGP47" s="545"/>
      <c r="KGQ47" s="545"/>
      <c r="KGR47" s="545"/>
      <c r="KGS47" s="545"/>
      <c r="KGT47" s="544"/>
      <c r="KGU47" s="545"/>
      <c r="KGV47" s="545"/>
      <c r="KGW47" s="545"/>
      <c r="KGX47" s="545"/>
      <c r="KGY47" s="545"/>
      <c r="KGZ47" s="545"/>
      <c r="KHA47" s="544"/>
      <c r="KHB47" s="545"/>
      <c r="KHC47" s="545"/>
      <c r="KHD47" s="545"/>
      <c r="KHE47" s="545"/>
      <c r="KHF47" s="545"/>
      <c r="KHG47" s="545"/>
      <c r="KHH47" s="544"/>
      <c r="KHI47" s="545"/>
      <c r="KHJ47" s="545"/>
      <c r="KHK47" s="545"/>
      <c r="KHL47" s="545"/>
      <c r="KHM47" s="545"/>
      <c r="KHN47" s="545"/>
      <c r="KHO47" s="544"/>
      <c r="KHP47" s="545"/>
      <c r="KHQ47" s="545"/>
      <c r="KHR47" s="545"/>
      <c r="KHS47" s="545"/>
      <c r="KHT47" s="545"/>
      <c r="KHU47" s="545"/>
      <c r="KHV47" s="544"/>
      <c r="KHW47" s="545"/>
      <c r="KHX47" s="545"/>
      <c r="KHY47" s="545"/>
      <c r="KHZ47" s="545"/>
      <c r="KIA47" s="545"/>
      <c r="KIB47" s="545"/>
      <c r="KIC47" s="544"/>
      <c r="KID47" s="545"/>
      <c r="KIE47" s="545"/>
      <c r="KIF47" s="545"/>
      <c r="KIG47" s="545"/>
      <c r="KIH47" s="545"/>
      <c r="KII47" s="545"/>
      <c r="KIJ47" s="544"/>
      <c r="KIK47" s="545"/>
      <c r="KIL47" s="545"/>
      <c r="KIM47" s="545"/>
      <c r="KIN47" s="545"/>
      <c r="KIO47" s="545"/>
      <c r="KIP47" s="545"/>
      <c r="KIQ47" s="544"/>
      <c r="KIR47" s="545"/>
      <c r="KIS47" s="545"/>
      <c r="KIT47" s="545"/>
      <c r="KIU47" s="545"/>
      <c r="KIV47" s="545"/>
      <c r="KIW47" s="545"/>
      <c r="KIX47" s="544"/>
      <c r="KIY47" s="545"/>
      <c r="KIZ47" s="545"/>
      <c r="KJA47" s="545"/>
      <c r="KJB47" s="545"/>
      <c r="KJC47" s="545"/>
      <c r="KJD47" s="545"/>
      <c r="KJE47" s="544"/>
      <c r="KJF47" s="545"/>
      <c r="KJG47" s="545"/>
      <c r="KJH47" s="545"/>
      <c r="KJI47" s="545"/>
      <c r="KJJ47" s="545"/>
      <c r="KJK47" s="545"/>
      <c r="KJL47" s="544"/>
      <c r="KJM47" s="545"/>
      <c r="KJN47" s="545"/>
      <c r="KJO47" s="545"/>
      <c r="KJP47" s="545"/>
      <c r="KJQ47" s="545"/>
      <c r="KJR47" s="545"/>
      <c r="KJS47" s="544"/>
      <c r="KJT47" s="545"/>
      <c r="KJU47" s="545"/>
      <c r="KJV47" s="545"/>
      <c r="KJW47" s="545"/>
      <c r="KJX47" s="545"/>
      <c r="KJY47" s="545"/>
      <c r="KJZ47" s="544"/>
      <c r="KKA47" s="545"/>
      <c r="KKB47" s="545"/>
      <c r="KKC47" s="545"/>
      <c r="KKD47" s="545"/>
      <c r="KKE47" s="545"/>
      <c r="KKF47" s="545"/>
      <c r="KKG47" s="544"/>
      <c r="KKH47" s="545"/>
      <c r="KKI47" s="545"/>
      <c r="KKJ47" s="545"/>
      <c r="KKK47" s="545"/>
      <c r="KKL47" s="545"/>
      <c r="KKM47" s="545"/>
      <c r="KKN47" s="544"/>
      <c r="KKO47" s="545"/>
      <c r="KKP47" s="545"/>
      <c r="KKQ47" s="545"/>
      <c r="KKR47" s="545"/>
      <c r="KKS47" s="545"/>
      <c r="KKT47" s="545"/>
      <c r="KKU47" s="544"/>
      <c r="KKV47" s="545"/>
      <c r="KKW47" s="545"/>
      <c r="KKX47" s="545"/>
      <c r="KKY47" s="545"/>
      <c r="KKZ47" s="545"/>
      <c r="KLA47" s="545"/>
      <c r="KLB47" s="544"/>
      <c r="KLC47" s="545"/>
      <c r="KLD47" s="545"/>
      <c r="KLE47" s="545"/>
      <c r="KLF47" s="545"/>
      <c r="KLG47" s="545"/>
      <c r="KLH47" s="545"/>
      <c r="KLI47" s="544"/>
      <c r="KLJ47" s="545"/>
      <c r="KLK47" s="545"/>
      <c r="KLL47" s="545"/>
      <c r="KLM47" s="545"/>
      <c r="KLN47" s="545"/>
      <c r="KLO47" s="545"/>
      <c r="KLP47" s="544"/>
      <c r="KLQ47" s="545"/>
      <c r="KLR47" s="545"/>
      <c r="KLS47" s="545"/>
      <c r="KLT47" s="545"/>
      <c r="KLU47" s="545"/>
      <c r="KLV47" s="545"/>
      <c r="KLW47" s="544"/>
      <c r="KLX47" s="545"/>
      <c r="KLY47" s="545"/>
      <c r="KLZ47" s="545"/>
      <c r="KMA47" s="545"/>
      <c r="KMB47" s="545"/>
      <c r="KMC47" s="545"/>
      <c r="KMD47" s="544"/>
      <c r="KME47" s="545"/>
      <c r="KMF47" s="545"/>
      <c r="KMG47" s="545"/>
      <c r="KMH47" s="545"/>
      <c r="KMI47" s="545"/>
      <c r="KMJ47" s="545"/>
      <c r="KMK47" s="544"/>
      <c r="KML47" s="545"/>
      <c r="KMM47" s="545"/>
      <c r="KMN47" s="545"/>
      <c r="KMO47" s="545"/>
      <c r="KMP47" s="545"/>
      <c r="KMQ47" s="545"/>
      <c r="KMR47" s="544"/>
      <c r="KMS47" s="545"/>
      <c r="KMT47" s="545"/>
      <c r="KMU47" s="545"/>
      <c r="KMV47" s="545"/>
      <c r="KMW47" s="545"/>
      <c r="KMX47" s="545"/>
      <c r="KMY47" s="544"/>
      <c r="KMZ47" s="545"/>
      <c r="KNA47" s="545"/>
      <c r="KNB47" s="545"/>
      <c r="KNC47" s="545"/>
      <c r="KND47" s="545"/>
      <c r="KNE47" s="545"/>
      <c r="KNF47" s="544"/>
      <c r="KNG47" s="545"/>
      <c r="KNH47" s="545"/>
      <c r="KNI47" s="545"/>
      <c r="KNJ47" s="545"/>
      <c r="KNK47" s="545"/>
      <c r="KNL47" s="545"/>
      <c r="KNM47" s="544"/>
      <c r="KNN47" s="545"/>
      <c r="KNO47" s="545"/>
      <c r="KNP47" s="545"/>
      <c r="KNQ47" s="545"/>
      <c r="KNR47" s="545"/>
      <c r="KNS47" s="545"/>
      <c r="KNT47" s="544"/>
      <c r="KNU47" s="545"/>
      <c r="KNV47" s="545"/>
      <c r="KNW47" s="545"/>
      <c r="KNX47" s="545"/>
      <c r="KNY47" s="545"/>
      <c r="KNZ47" s="545"/>
      <c r="KOA47" s="544"/>
      <c r="KOB47" s="545"/>
      <c r="KOC47" s="545"/>
      <c r="KOD47" s="545"/>
      <c r="KOE47" s="545"/>
      <c r="KOF47" s="545"/>
      <c r="KOG47" s="545"/>
      <c r="KOH47" s="544"/>
      <c r="KOI47" s="545"/>
      <c r="KOJ47" s="545"/>
      <c r="KOK47" s="545"/>
      <c r="KOL47" s="545"/>
      <c r="KOM47" s="545"/>
      <c r="KON47" s="545"/>
      <c r="KOO47" s="544"/>
      <c r="KOP47" s="545"/>
      <c r="KOQ47" s="545"/>
      <c r="KOR47" s="545"/>
      <c r="KOS47" s="545"/>
      <c r="KOT47" s="545"/>
      <c r="KOU47" s="545"/>
      <c r="KOV47" s="544"/>
      <c r="KOW47" s="545"/>
      <c r="KOX47" s="545"/>
      <c r="KOY47" s="545"/>
      <c r="KOZ47" s="545"/>
      <c r="KPA47" s="545"/>
      <c r="KPB47" s="545"/>
      <c r="KPC47" s="544"/>
      <c r="KPD47" s="545"/>
      <c r="KPE47" s="545"/>
      <c r="KPF47" s="545"/>
      <c r="KPG47" s="545"/>
      <c r="KPH47" s="545"/>
      <c r="KPI47" s="545"/>
      <c r="KPJ47" s="544"/>
      <c r="KPK47" s="545"/>
      <c r="KPL47" s="545"/>
      <c r="KPM47" s="545"/>
      <c r="KPN47" s="545"/>
      <c r="KPO47" s="545"/>
      <c r="KPP47" s="545"/>
      <c r="KPQ47" s="544"/>
      <c r="KPR47" s="545"/>
      <c r="KPS47" s="545"/>
      <c r="KPT47" s="545"/>
      <c r="KPU47" s="545"/>
      <c r="KPV47" s="545"/>
      <c r="KPW47" s="545"/>
      <c r="KPX47" s="544"/>
      <c r="KPY47" s="545"/>
      <c r="KPZ47" s="545"/>
      <c r="KQA47" s="545"/>
      <c r="KQB47" s="545"/>
      <c r="KQC47" s="545"/>
      <c r="KQD47" s="545"/>
      <c r="KQE47" s="544"/>
      <c r="KQF47" s="545"/>
      <c r="KQG47" s="545"/>
      <c r="KQH47" s="545"/>
      <c r="KQI47" s="545"/>
      <c r="KQJ47" s="545"/>
      <c r="KQK47" s="545"/>
      <c r="KQL47" s="544"/>
      <c r="KQM47" s="545"/>
      <c r="KQN47" s="545"/>
      <c r="KQO47" s="545"/>
      <c r="KQP47" s="545"/>
      <c r="KQQ47" s="545"/>
      <c r="KQR47" s="545"/>
      <c r="KQS47" s="544"/>
      <c r="KQT47" s="545"/>
      <c r="KQU47" s="545"/>
      <c r="KQV47" s="545"/>
      <c r="KQW47" s="545"/>
      <c r="KQX47" s="545"/>
      <c r="KQY47" s="545"/>
      <c r="KQZ47" s="544"/>
      <c r="KRA47" s="545"/>
      <c r="KRB47" s="545"/>
      <c r="KRC47" s="545"/>
      <c r="KRD47" s="545"/>
      <c r="KRE47" s="545"/>
      <c r="KRF47" s="545"/>
      <c r="KRG47" s="544"/>
      <c r="KRH47" s="545"/>
      <c r="KRI47" s="545"/>
      <c r="KRJ47" s="545"/>
      <c r="KRK47" s="545"/>
      <c r="KRL47" s="545"/>
      <c r="KRM47" s="545"/>
      <c r="KRN47" s="544"/>
      <c r="KRO47" s="545"/>
      <c r="KRP47" s="545"/>
      <c r="KRQ47" s="545"/>
      <c r="KRR47" s="545"/>
      <c r="KRS47" s="545"/>
      <c r="KRT47" s="545"/>
      <c r="KRU47" s="544"/>
      <c r="KRV47" s="545"/>
      <c r="KRW47" s="545"/>
      <c r="KRX47" s="545"/>
      <c r="KRY47" s="545"/>
      <c r="KRZ47" s="545"/>
      <c r="KSA47" s="545"/>
      <c r="KSB47" s="544"/>
      <c r="KSC47" s="545"/>
      <c r="KSD47" s="545"/>
      <c r="KSE47" s="545"/>
      <c r="KSF47" s="545"/>
      <c r="KSG47" s="545"/>
      <c r="KSH47" s="545"/>
      <c r="KSI47" s="544"/>
      <c r="KSJ47" s="545"/>
      <c r="KSK47" s="545"/>
      <c r="KSL47" s="545"/>
      <c r="KSM47" s="545"/>
      <c r="KSN47" s="545"/>
      <c r="KSO47" s="545"/>
      <c r="KSP47" s="544"/>
      <c r="KSQ47" s="545"/>
      <c r="KSR47" s="545"/>
      <c r="KSS47" s="545"/>
      <c r="KST47" s="545"/>
      <c r="KSU47" s="545"/>
      <c r="KSV47" s="545"/>
      <c r="KSW47" s="544"/>
      <c r="KSX47" s="545"/>
      <c r="KSY47" s="545"/>
      <c r="KSZ47" s="545"/>
      <c r="KTA47" s="545"/>
      <c r="KTB47" s="545"/>
      <c r="KTC47" s="545"/>
      <c r="KTD47" s="544"/>
      <c r="KTE47" s="545"/>
      <c r="KTF47" s="545"/>
      <c r="KTG47" s="545"/>
      <c r="KTH47" s="545"/>
      <c r="KTI47" s="545"/>
      <c r="KTJ47" s="545"/>
      <c r="KTK47" s="544"/>
      <c r="KTL47" s="545"/>
      <c r="KTM47" s="545"/>
      <c r="KTN47" s="545"/>
      <c r="KTO47" s="545"/>
      <c r="KTP47" s="545"/>
      <c r="KTQ47" s="545"/>
      <c r="KTR47" s="544"/>
      <c r="KTS47" s="545"/>
      <c r="KTT47" s="545"/>
      <c r="KTU47" s="545"/>
      <c r="KTV47" s="545"/>
      <c r="KTW47" s="545"/>
      <c r="KTX47" s="545"/>
      <c r="KTY47" s="544"/>
      <c r="KTZ47" s="545"/>
      <c r="KUA47" s="545"/>
      <c r="KUB47" s="545"/>
      <c r="KUC47" s="545"/>
      <c r="KUD47" s="545"/>
      <c r="KUE47" s="545"/>
      <c r="KUF47" s="544"/>
      <c r="KUG47" s="545"/>
      <c r="KUH47" s="545"/>
      <c r="KUI47" s="545"/>
      <c r="KUJ47" s="545"/>
      <c r="KUK47" s="545"/>
      <c r="KUL47" s="545"/>
      <c r="KUM47" s="544"/>
      <c r="KUN47" s="545"/>
      <c r="KUO47" s="545"/>
      <c r="KUP47" s="545"/>
      <c r="KUQ47" s="545"/>
      <c r="KUR47" s="545"/>
      <c r="KUS47" s="545"/>
      <c r="KUT47" s="544"/>
      <c r="KUU47" s="545"/>
      <c r="KUV47" s="545"/>
      <c r="KUW47" s="545"/>
      <c r="KUX47" s="545"/>
      <c r="KUY47" s="545"/>
      <c r="KUZ47" s="545"/>
      <c r="KVA47" s="544"/>
      <c r="KVB47" s="545"/>
      <c r="KVC47" s="545"/>
      <c r="KVD47" s="545"/>
      <c r="KVE47" s="545"/>
      <c r="KVF47" s="545"/>
      <c r="KVG47" s="545"/>
      <c r="KVH47" s="544"/>
      <c r="KVI47" s="545"/>
      <c r="KVJ47" s="545"/>
      <c r="KVK47" s="545"/>
      <c r="KVL47" s="545"/>
      <c r="KVM47" s="545"/>
      <c r="KVN47" s="545"/>
      <c r="KVO47" s="544"/>
      <c r="KVP47" s="545"/>
      <c r="KVQ47" s="545"/>
      <c r="KVR47" s="545"/>
      <c r="KVS47" s="545"/>
      <c r="KVT47" s="545"/>
      <c r="KVU47" s="545"/>
      <c r="KVV47" s="544"/>
      <c r="KVW47" s="545"/>
      <c r="KVX47" s="545"/>
      <c r="KVY47" s="545"/>
      <c r="KVZ47" s="545"/>
      <c r="KWA47" s="545"/>
      <c r="KWB47" s="545"/>
      <c r="KWC47" s="544"/>
      <c r="KWD47" s="545"/>
      <c r="KWE47" s="545"/>
      <c r="KWF47" s="545"/>
      <c r="KWG47" s="545"/>
      <c r="KWH47" s="545"/>
      <c r="KWI47" s="545"/>
      <c r="KWJ47" s="544"/>
      <c r="KWK47" s="545"/>
      <c r="KWL47" s="545"/>
      <c r="KWM47" s="545"/>
      <c r="KWN47" s="545"/>
      <c r="KWO47" s="545"/>
      <c r="KWP47" s="545"/>
      <c r="KWQ47" s="544"/>
      <c r="KWR47" s="545"/>
      <c r="KWS47" s="545"/>
      <c r="KWT47" s="545"/>
      <c r="KWU47" s="545"/>
      <c r="KWV47" s="545"/>
      <c r="KWW47" s="545"/>
      <c r="KWX47" s="544"/>
      <c r="KWY47" s="545"/>
      <c r="KWZ47" s="545"/>
      <c r="KXA47" s="545"/>
      <c r="KXB47" s="545"/>
      <c r="KXC47" s="545"/>
      <c r="KXD47" s="545"/>
      <c r="KXE47" s="544"/>
      <c r="KXF47" s="545"/>
      <c r="KXG47" s="545"/>
      <c r="KXH47" s="545"/>
      <c r="KXI47" s="545"/>
      <c r="KXJ47" s="545"/>
      <c r="KXK47" s="545"/>
      <c r="KXL47" s="544"/>
      <c r="KXM47" s="545"/>
      <c r="KXN47" s="545"/>
      <c r="KXO47" s="545"/>
      <c r="KXP47" s="545"/>
      <c r="KXQ47" s="545"/>
      <c r="KXR47" s="545"/>
      <c r="KXS47" s="544"/>
      <c r="KXT47" s="545"/>
      <c r="KXU47" s="545"/>
      <c r="KXV47" s="545"/>
      <c r="KXW47" s="545"/>
      <c r="KXX47" s="545"/>
      <c r="KXY47" s="545"/>
      <c r="KXZ47" s="544"/>
      <c r="KYA47" s="545"/>
      <c r="KYB47" s="545"/>
      <c r="KYC47" s="545"/>
      <c r="KYD47" s="545"/>
      <c r="KYE47" s="545"/>
      <c r="KYF47" s="545"/>
      <c r="KYG47" s="544"/>
      <c r="KYH47" s="545"/>
      <c r="KYI47" s="545"/>
      <c r="KYJ47" s="545"/>
      <c r="KYK47" s="545"/>
      <c r="KYL47" s="545"/>
      <c r="KYM47" s="545"/>
      <c r="KYN47" s="544"/>
      <c r="KYO47" s="545"/>
      <c r="KYP47" s="545"/>
      <c r="KYQ47" s="545"/>
      <c r="KYR47" s="545"/>
      <c r="KYS47" s="545"/>
      <c r="KYT47" s="545"/>
      <c r="KYU47" s="544"/>
      <c r="KYV47" s="545"/>
      <c r="KYW47" s="545"/>
      <c r="KYX47" s="545"/>
      <c r="KYY47" s="545"/>
      <c r="KYZ47" s="545"/>
      <c r="KZA47" s="545"/>
      <c r="KZB47" s="544"/>
      <c r="KZC47" s="545"/>
      <c r="KZD47" s="545"/>
      <c r="KZE47" s="545"/>
      <c r="KZF47" s="545"/>
      <c r="KZG47" s="545"/>
      <c r="KZH47" s="545"/>
      <c r="KZI47" s="544"/>
      <c r="KZJ47" s="545"/>
      <c r="KZK47" s="545"/>
      <c r="KZL47" s="545"/>
      <c r="KZM47" s="545"/>
      <c r="KZN47" s="545"/>
      <c r="KZO47" s="545"/>
      <c r="KZP47" s="544"/>
      <c r="KZQ47" s="545"/>
      <c r="KZR47" s="545"/>
      <c r="KZS47" s="545"/>
      <c r="KZT47" s="545"/>
      <c r="KZU47" s="545"/>
      <c r="KZV47" s="545"/>
      <c r="KZW47" s="544"/>
      <c r="KZX47" s="545"/>
      <c r="KZY47" s="545"/>
      <c r="KZZ47" s="545"/>
      <c r="LAA47" s="545"/>
      <c r="LAB47" s="545"/>
      <c r="LAC47" s="545"/>
      <c r="LAD47" s="544"/>
      <c r="LAE47" s="545"/>
      <c r="LAF47" s="545"/>
      <c r="LAG47" s="545"/>
      <c r="LAH47" s="545"/>
      <c r="LAI47" s="545"/>
      <c r="LAJ47" s="545"/>
      <c r="LAK47" s="544"/>
      <c r="LAL47" s="545"/>
      <c r="LAM47" s="545"/>
      <c r="LAN47" s="545"/>
      <c r="LAO47" s="545"/>
      <c r="LAP47" s="545"/>
      <c r="LAQ47" s="545"/>
      <c r="LAR47" s="544"/>
      <c r="LAS47" s="545"/>
      <c r="LAT47" s="545"/>
      <c r="LAU47" s="545"/>
      <c r="LAV47" s="545"/>
      <c r="LAW47" s="545"/>
      <c r="LAX47" s="545"/>
      <c r="LAY47" s="544"/>
      <c r="LAZ47" s="545"/>
      <c r="LBA47" s="545"/>
      <c r="LBB47" s="545"/>
      <c r="LBC47" s="545"/>
      <c r="LBD47" s="545"/>
      <c r="LBE47" s="545"/>
      <c r="LBF47" s="544"/>
      <c r="LBG47" s="545"/>
      <c r="LBH47" s="545"/>
      <c r="LBI47" s="545"/>
      <c r="LBJ47" s="545"/>
      <c r="LBK47" s="545"/>
      <c r="LBL47" s="545"/>
      <c r="LBM47" s="544"/>
      <c r="LBN47" s="545"/>
      <c r="LBO47" s="545"/>
      <c r="LBP47" s="545"/>
      <c r="LBQ47" s="545"/>
      <c r="LBR47" s="545"/>
      <c r="LBS47" s="545"/>
      <c r="LBT47" s="544"/>
      <c r="LBU47" s="545"/>
      <c r="LBV47" s="545"/>
      <c r="LBW47" s="545"/>
      <c r="LBX47" s="545"/>
      <c r="LBY47" s="545"/>
      <c r="LBZ47" s="545"/>
      <c r="LCA47" s="544"/>
      <c r="LCB47" s="545"/>
      <c r="LCC47" s="545"/>
      <c r="LCD47" s="545"/>
      <c r="LCE47" s="545"/>
      <c r="LCF47" s="545"/>
      <c r="LCG47" s="545"/>
      <c r="LCH47" s="544"/>
      <c r="LCI47" s="545"/>
      <c r="LCJ47" s="545"/>
      <c r="LCK47" s="545"/>
      <c r="LCL47" s="545"/>
      <c r="LCM47" s="545"/>
      <c r="LCN47" s="545"/>
      <c r="LCO47" s="544"/>
      <c r="LCP47" s="545"/>
      <c r="LCQ47" s="545"/>
      <c r="LCR47" s="545"/>
      <c r="LCS47" s="545"/>
      <c r="LCT47" s="545"/>
      <c r="LCU47" s="545"/>
      <c r="LCV47" s="544"/>
      <c r="LCW47" s="545"/>
      <c r="LCX47" s="545"/>
      <c r="LCY47" s="545"/>
      <c r="LCZ47" s="545"/>
      <c r="LDA47" s="545"/>
      <c r="LDB47" s="545"/>
      <c r="LDC47" s="544"/>
      <c r="LDD47" s="545"/>
      <c r="LDE47" s="545"/>
      <c r="LDF47" s="545"/>
      <c r="LDG47" s="545"/>
      <c r="LDH47" s="545"/>
      <c r="LDI47" s="545"/>
      <c r="LDJ47" s="544"/>
      <c r="LDK47" s="545"/>
      <c r="LDL47" s="545"/>
      <c r="LDM47" s="545"/>
      <c r="LDN47" s="545"/>
      <c r="LDO47" s="545"/>
      <c r="LDP47" s="545"/>
      <c r="LDQ47" s="544"/>
      <c r="LDR47" s="545"/>
      <c r="LDS47" s="545"/>
      <c r="LDT47" s="545"/>
      <c r="LDU47" s="545"/>
      <c r="LDV47" s="545"/>
      <c r="LDW47" s="545"/>
      <c r="LDX47" s="544"/>
      <c r="LDY47" s="545"/>
      <c r="LDZ47" s="545"/>
      <c r="LEA47" s="545"/>
      <c r="LEB47" s="545"/>
      <c r="LEC47" s="545"/>
      <c r="LED47" s="545"/>
      <c r="LEE47" s="544"/>
      <c r="LEF47" s="545"/>
      <c r="LEG47" s="545"/>
      <c r="LEH47" s="545"/>
      <c r="LEI47" s="545"/>
      <c r="LEJ47" s="545"/>
      <c r="LEK47" s="545"/>
      <c r="LEL47" s="544"/>
      <c r="LEM47" s="545"/>
      <c r="LEN47" s="545"/>
      <c r="LEO47" s="545"/>
      <c r="LEP47" s="545"/>
      <c r="LEQ47" s="545"/>
      <c r="LER47" s="545"/>
      <c r="LES47" s="544"/>
      <c r="LET47" s="545"/>
      <c r="LEU47" s="545"/>
      <c r="LEV47" s="545"/>
      <c r="LEW47" s="545"/>
      <c r="LEX47" s="545"/>
      <c r="LEY47" s="545"/>
      <c r="LEZ47" s="544"/>
      <c r="LFA47" s="545"/>
      <c r="LFB47" s="545"/>
      <c r="LFC47" s="545"/>
      <c r="LFD47" s="545"/>
      <c r="LFE47" s="545"/>
      <c r="LFF47" s="545"/>
      <c r="LFG47" s="544"/>
      <c r="LFH47" s="545"/>
      <c r="LFI47" s="545"/>
      <c r="LFJ47" s="545"/>
      <c r="LFK47" s="545"/>
      <c r="LFL47" s="545"/>
      <c r="LFM47" s="545"/>
      <c r="LFN47" s="544"/>
      <c r="LFO47" s="545"/>
      <c r="LFP47" s="545"/>
      <c r="LFQ47" s="545"/>
      <c r="LFR47" s="545"/>
      <c r="LFS47" s="545"/>
      <c r="LFT47" s="545"/>
      <c r="LFU47" s="544"/>
      <c r="LFV47" s="545"/>
      <c r="LFW47" s="545"/>
      <c r="LFX47" s="545"/>
      <c r="LFY47" s="545"/>
      <c r="LFZ47" s="545"/>
      <c r="LGA47" s="545"/>
      <c r="LGB47" s="544"/>
      <c r="LGC47" s="545"/>
      <c r="LGD47" s="545"/>
      <c r="LGE47" s="545"/>
      <c r="LGF47" s="545"/>
      <c r="LGG47" s="545"/>
      <c r="LGH47" s="545"/>
      <c r="LGI47" s="544"/>
      <c r="LGJ47" s="545"/>
      <c r="LGK47" s="545"/>
      <c r="LGL47" s="545"/>
      <c r="LGM47" s="545"/>
      <c r="LGN47" s="545"/>
      <c r="LGO47" s="545"/>
      <c r="LGP47" s="544"/>
      <c r="LGQ47" s="545"/>
      <c r="LGR47" s="545"/>
      <c r="LGS47" s="545"/>
      <c r="LGT47" s="545"/>
      <c r="LGU47" s="545"/>
      <c r="LGV47" s="545"/>
      <c r="LGW47" s="544"/>
      <c r="LGX47" s="545"/>
      <c r="LGY47" s="545"/>
      <c r="LGZ47" s="545"/>
      <c r="LHA47" s="545"/>
      <c r="LHB47" s="545"/>
      <c r="LHC47" s="545"/>
      <c r="LHD47" s="544"/>
      <c r="LHE47" s="545"/>
      <c r="LHF47" s="545"/>
      <c r="LHG47" s="545"/>
      <c r="LHH47" s="545"/>
      <c r="LHI47" s="545"/>
      <c r="LHJ47" s="545"/>
      <c r="LHK47" s="544"/>
      <c r="LHL47" s="545"/>
      <c r="LHM47" s="545"/>
      <c r="LHN47" s="545"/>
      <c r="LHO47" s="545"/>
      <c r="LHP47" s="545"/>
      <c r="LHQ47" s="545"/>
      <c r="LHR47" s="544"/>
      <c r="LHS47" s="545"/>
      <c r="LHT47" s="545"/>
      <c r="LHU47" s="545"/>
      <c r="LHV47" s="545"/>
      <c r="LHW47" s="545"/>
      <c r="LHX47" s="545"/>
      <c r="LHY47" s="544"/>
      <c r="LHZ47" s="545"/>
      <c r="LIA47" s="545"/>
      <c r="LIB47" s="545"/>
      <c r="LIC47" s="545"/>
      <c r="LID47" s="545"/>
      <c r="LIE47" s="545"/>
      <c r="LIF47" s="544"/>
      <c r="LIG47" s="545"/>
      <c r="LIH47" s="545"/>
      <c r="LII47" s="545"/>
      <c r="LIJ47" s="545"/>
      <c r="LIK47" s="545"/>
      <c r="LIL47" s="545"/>
      <c r="LIM47" s="544"/>
      <c r="LIN47" s="545"/>
      <c r="LIO47" s="545"/>
      <c r="LIP47" s="545"/>
      <c r="LIQ47" s="545"/>
      <c r="LIR47" s="545"/>
      <c r="LIS47" s="545"/>
      <c r="LIT47" s="544"/>
      <c r="LIU47" s="545"/>
      <c r="LIV47" s="545"/>
      <c r="LIW47" s="545"/>
      <c r="LIX47" s="545"/>
      <c r="LIY47" s="545"/>
      <c r="LIZ47" s="545"/>
      <c r="LJA47" s="544"/>
      <c r="LJB47" s="545"/>
      <c r="LJC47" s="545"/>
      <c r="LJD47" s="545"/>
      <c r="LJE47" s="545"/>
      <c r="LJF47" s="545"/>
      <c r="LJG47" s="545"/>
      <c r="LJH47" s="544"/>
      <c r="LJI47" s="545"/>
      <c r="LJJ47" s="545"/>
      <c r="LJK47" s="545"/>
      <c r="LJL47" s="545"/>
      <c r="LJM47" s="545"/>
      <c r="LJN47" s="545"/>
      <c r="LJO47" s="544"/>
      <c r="LJP47" s="545"/>
      <c r="LJQ47" s="545"/>
      <c r="LJR47" s="545"/>
      <c r="LJS47" s="545"/>
      <c r="LJT47" s="545"/>
      <c r="LJU47" s="545"/>
      <c r="LJV47" s="544"/>
      <c r="LJW47" s="545"/>
      <c r="LJX47" s="545"/>
      <c r="LJY47" s="545"/>
      <c r="LJZ47" s="545"/>
      <c r="LKA47" s="545"/>
      <c r="LKB47" s="545"/>
      <c r="LKC47" s="544"/>
      <c r="LKD47" s="545"/>
      <c r="LKE47" s="545"/>
      <c r="LKF47" s="545"/>
      <c r="LKG47" s="545"/>
      <c r="LKH47" s="545"/>
      <c r="LKI47" s="545"/>
      <c r="LKJ47" s="544"/>
      <c r="LKK47" s="545"/>
      <c r="LKL47" s="545"/>
      <c r="LKM47" s="545"/>
      <c r="LKN47" s="545"/>
      <c r="LKO47" s="545"/>
      <c r="LKP47" s="545"/>
      <c r="LKQ47" s="544"/>
      <c r="LKR47" s="545"/>
      <c r="LKS47" s="545"/>
      <c r="LKT47" s="545"/>
      <c r="LKU47" s="545"/>
      <c r="LKV47" s="545"/>
      <c r="LKW47" s="545"/>
      <c r="LKX47" s="544"/>
      <c r="LKY47" s="545"/>
      <c r="LKZ47" s="545"/>
      <c r="LLA47" s="545"/>
      <c r="LLB47" s="545"/>
      <c r="LLC47" s="545"/>
      <c r="LLD47" s="545"/>
      <c r="LLE47" s="544"/>
      <c r="LLF47" s="545"/>
      <c r="LLG47" s="545"/>
      <c r="LLH47" s="545"/>
      <c r="LLI47" s="545"/>
      <c r="LLJ47" s="545"/>
      <c r="LLK47" s="545"/>
      <c r="LLL47" s="544"/>
      <c r="LLM47" s="545"/>
      <c r="LLN47" s="545"/>
      <c r="LLO47" s="545"/>
      <c r="LLP47" s="545"/>
      <c r="LLQ47" s="545"/>
      <c r="LLR47" s="545"/>
      <c r="LLS47" s="544"/>
      <c r="LLT47" s="545"/>
      <c r="LLU47" s="545"/>
      <c r="LLV47" s="545"/>
      <c r="LLW47" s="545"/>
      <c r="LLX47" s="545"/>
      <c r="LLY47" s="545"/>
      <c r="LLZ47" s="544"/>
      <c r="LMA47" s="545"/>
      <c r="LMB47" s="545"/>
      <c r="LMC47" s="545"/>
      <c r="LMD47" s="545"/>
      <c r="LME47" s="545"/>
      <c r="LMF47" s="545"/>
      <c r="LMG47" s="544"/>
      <c r="LMH47" s="545"/>
      <c r="LMI47" s="545"/>
      <c r="LMJ47" s="545"/>
      <c r="LMK47" s="545"/>
      <c r="LML47" s="545"/>
      <c r="LMM47" s="545"/>
      <c r="LMN47" s="544"/>
      <c r="LMO47" s="545"/>
      <c r="LMP47" s="545"/>
      <c r="LMQ47" s="545"/>
      <c r="LMR47" s="545"/>
      <c r="LMS47" s="545"/>
      <c r="LMT47" s="545"/>
      <c r="LMU47" s="544"/>
      <c r="LMV47" s="545"/>
      <c r="LMW47" s="545"/>
      <c r="LMX47" s="545"/>
      <c r="LMY47" s="545"/>
      <c r="LMZ47" s="545"/>
      <c r="LNA47" s="545"/>
      <c r="LNB47" s="544"/>
      <c r="LNC47" s="545"/>
      <c r="LND47" s="545"/>
      <c r="LNE47" s="545"/>
      <c r="LNF47" s="545"/>
      <c r="LNG47" s="545"/>
      <c r="LNH47" s="545"/>
      <c r="LNI47" s="544"/>
      <c r="LNJ47" s="545"/>
      <c r="LNK47" s="545"/>
      <c r="LNL47" s="545"/>
      <c r="LNM47" s="545"/>
      <c r="LNN47" s="545"/>
      <c r="LNO47" s="545"/>
      <c r="LNP47" s="544"/>
      <c r="LNQ47" s="545"/>
      <c r="LNR47" s="545"/>
      <c r="LNS47" s="545"/>
      <c r="LNT47" s="545"/>
      <c r="LNU47" s="545"/>
      <c r="LNV47" s="545"/>
      <c r="LNW47" s="544"/>
      <c r="LNX47" s="545"/>
      <c r="LNY47" s="545"/>
      <c r="LNZ47" s="545"/>
      <c r="LOA47" s="545"/>
      <c r="LOB47" s="545"/>
      <c r="LOC47" s="545"/>
      <c r="LOD47" s="544"/>
      <c r="LOE47" s="545"/>
      <c r="LOF47" s="545"/>
      <c r="LOG47" s="545"/>
      <c r="LOH47" s="545"/>
      <c r="LOI47" s="545"/>
      <c r="LOJ47" s="545"/>
      <c r="LOK47" s="544"/>
      <c r="LOL47" s="545"/>
      <c r="LOM47" s="545"/>
      <c r="LON47" s="545"/>
      <c r="LOO47" s="545"/>
      <c r="LOP47" s="545"/>
      <c r="LOQ47" s="545"/>
      <c r="LOR47" s="544"/>
      <c r="LOS47" s="545"/>
      <c r="LOT47" s="545"/>
      <c r="LOU47" s="545"/>
      <c r="LOV47" s="545"/>
      <c r="LOW47" s="545"/>
      <c r="LOX47" s="545"/>
      <c r="LOY47" s="544"/>
      <c r="LOZ47" s="545"/>
      <c r="LPA47" s="545"/>
      <c r="LPB47" s="545"/>
      <c r="LPC47" s="545"/>
      <c r="LPD47" s="545"/>
      <c r="LPE47" s="545"/>
      <c r="LPF47" s="544"/>
      <c r="LPG47" s="545"/>
      <c r="LPH47" s="545"/>
      <c r="LPI47" s="545"/>
      <c r="LPJ47" s="545"/>
      <c r="LPK47" s="545"/>
      <c r="LPL47" s="545"/>
      <c r="LPM47" s="544"/>
      <c r="LPN47" s="545"/>
      <c r="LPO47" s="545"/>
      <c r="LPP47" s="545"/>
      <c r="LPQ47" s="545"/>
      <c r="LPR47" s="545"/>
      <c r="LPS47" s="545"/>
      <c r="LPT47" s="544"/>
      <c r="LPU47" s="545"/>
      <c r="LPV47" s="545"/>
      <c r="LPW47" s="545"/>
      <c r="LPX47" s="545"/>
      <c r="LPY47" s="545"/>
      <c r="LPZ47" s="545"/>
      <c r="LQA47" s="544"/>
      <c r="LQB47" s="545"/>
      <c r="LQC47" s="545"/>
      <c r="LQD47" s="545"/>
      <c r="LQE47" s="545"/>
      <c r="LQF47" s="545"/>
      <c r="LQG47" s="545"/>
      <c r="LQH47" s="544"/>
      <c r="LQI47" s="545"/>
      <c r="LQJ47" s="545"/>
      <c r="LQK47" s="545"/>
      <c r="LQL47" s="545"/>
      <c r="LQM47" s="545"/>
      <c r="LQN47" s="545"/>
      <c r="LQO47" s="544"/>
      <c r="LQP47" s="545"/>
      <c r="LQQ47" s="545"/>
      <c r="LQR47" s="545"/>
      <c r="LQS47" s="545"/>
      <c r="LQT47" s="545"/>
      <c r="LQU47" s="545"/>
      <c r="LQV47" s="544"/>
      <c r="LQW47" s="545"/>
      <c r="LQX47" s="545"/>
      <c r="LQY47" s="545"/>
      <c r="LQZ47" s="545"/>
      <c r="LRA47" s="545"/>
      <c r="LRB47" s="545"/>
      <c r="LRC47" s="544"/>
      <c r="LRD47" s="545"/>
      <c r="LRE47" s="545"/>
      <c r="LRF47" s="545"/>
      <c r="LRG47" s="545"/>
      <c r="LRH47" s="545"/>
      <c r="LRI47" s="545"/>
      <c r="LRJ47" s="544"/>
      <c r="LRK47" s="545"/>
      <c r="LRL47" s="545"/>
      <c r="LRM47" s="545"/>
      <c r="LRN47" s="545"/>
      <c r="LRO47" s="545"/>
      <c r="LRP47" s="545"/>
      <c r="LRQ47" s="544"/>
      <c r="LRR47" s="545"/>
      <c r="LRS47" s="545"/>
      <c r="LRT47" s="545"/>
      <c r="LRU47" s="545"/>
      <c r="LRV47" s="545"/>
      <c r="LRW47" s="545"/>
      <c r="LRX47" s="544"/>
      <c r="LRY47" s="545"/>
      <c r="LRZ47" s="545"/>
      <c r="LSA47" s="545"/>
      <c r="LSB47" s="545"/>
      <c r="LSC47" s="545"/>
      <c r="LSD47" s="545"/>
      <c r="LSE47" s="544"/>
      <c r="LSF47" s="545"/>
      <c r="LSG47" s="545"/>
      <c r="LSH47" s="545"/>
      <c r="LSI47" s="545"/>
      <c r="LSJ47" s="545"/>
      <c r="LSK47" s="545"/>
      <c r="LSL47" s="544"/>
      <c r="LSM47" s="545"/>
      <c r="LSN47" s="545"/>
      <c r="LSO47" s="545"/>
      <c r="LSP47" s="545"/>
      <c r="LSQ47" s="545"/>
      <c r="LSR47" s="545"/>
      <c r="LSS47" s="544"/>
      <c r="LST47" s="545"/>
      <c r="LSU47" s="545"/>
      <c r="LSV47" s="545"/>
      <c r="LSW47" s="545"/>
      <c r="LSX47" s="545"/>
      <c r="LSY47" s="545"/>
      <c r="LSZ47" s="544"/>
      <c r="LTA47" s="545"/>
      <c r="LTB47" s="545"/>
      <c r="LTC47" s="545"/>
      <c r="LTD47" s="545"/>
      <c r="LTE47" s="545"/>
      <c r="LTF47" s="545"/>
      <c r="LTG47" s="544"/>
      <c r="LTH47" s="545"/>
      <c r="LTI47" s="545"/>
      <c r="LTJ47" s="545"/>
      <c r="LTK47" s="545"/>
      <c r="LTL47" s="545"/>
      <c r="LTM47" s="545"/>
      <c r="LTN47" s="544"/>
      <c r="LTO47" s="545"/>
      <c r="LTP47" s="545"/>
      <c r="LTQ47" s="545"/>
      <c r="LTR47" s="545"/>
      <c r="LTS47" s="545"/>
      <c r="LTT47" s="545"/>
      <c r="LTU47" s="544"/>
      <c r="LTV47" s="545"/>
      <c r="LTW47" s="545"/>
      <c r="LTX47" s="545"/>
      <c r="LTY47" s="545"/>
      <c r="LTZ47" s="545"/>
      <c r="LUA47" s="545"/>
      <c r="LUB47" s="544"/>
      <c r="LUC47" s="545"/>
      <c r="LUD47" s="545"/>
      <c r="LUE47" s="545"/>
      <c r="LUF47" s="545"/>
      <c r="LUG47" s="545"/>
      <c r="LUH47" s="545"/>
      <c r="LUI47" s="544"/>
      <c r="LUJ47" s="545"/>
      <c r="LUK47" s="545"/>
      <c r="LUL47" s="545"/>
      <c r="LUM47" s="545"/>
      <c r="LUN47" s="545"/>
      <c r="LUO47" s="545"/>
      <c r="LUP47" s="544"/>
      <c r="LUQ47" s="545"/>
      <c r="LUR47" s="545"/>
      <c r="LUS47" s="545"/>
      <c r="LUT47" s="545"/>
      <c r="LUU47" s="545"/>
      <c r="LUV47" s="545"/>
      <c r="LUW47" s="544"/>
      <c r="LUX47" s="545"/>
      <c r="LUY47" s="545"/>
      <c r="LUZ47" s="545"/>
      <c r="LVA47" s="545"/>
      <c r="LVB47" s="545"/>
      <c r="LVC47" s="545"/>
      <c r="LVD47" s="544"/>
      <c r="LVE47" s="545"/>
      <c r="LVF47" s="545"/>
      <c r="LVG47" s="545"/>
      <c r="LVH47" s="545"/>
      <c r="LVI47" s="545"/>
      <c r="LVJ47" s="545"/>
      <c r="LVK47" s="544"/>
      <c r="LVL47" s="545"/>
      <c r="LVM47" s="545"/>
      <c r="LVN47" s="545"/>
      <c r="LVO47" s="545"/>
      <c r="LVP47" s="545"/>
      <c r="LVQ47" s="545"/>
      <c r="LVR47" s="544"/>
      <c r="LVS47" s="545"/>
      <c r="LVT47" s="545"/>
      <c r="LVU47" s="545"/>
      <c r="LVV47" s="545"/>
      <c r="LVW47" s="545"/>
      <c r="LVX47" s="545"/>
      <c r="LVY47" s="544"/>
      <c r="LVZ47" s="545"/>
      <c r="LWA47" s="545"/>
      <c r="LWB47" s="545"/>
      <c r="LWC47" s="545"/>
      <c r="LWD47" s="545"/>
      <c r="LWE47" s="545"/>
      <c r="LWF47" s="544"/>
      <c r="LWG47" s="545"/>
      <c r="LWH47" s="545"/>
      <c r="LWI47" s="545"/>
      <c r="LWJ47" s="545"/>
      <c r="LWK47" s="545"/>
      <c r="LWL47" s="545"/>
      <c r="LWM47" s="544"/>
      <c r="LWN47" s="545"/>
      <c r="LWO47" s="545"/>
      <c r="LWP47" s="545"/>
      <c r="LWQ47" s="545"/>
      <c r="LWR47" s="545"/>
      <c r="LWS47" s="545"/>
      <c r="LWT47" s="544"/>
      <c r="LWU47" s="545"/>
      <c r="LWV47" s="545"/>
      <c r="LWW47" s="545"/>
      <c r="LWX47" s="545"/>
      <c r="LWY47" s="545"/>
      <c r="LWZ47" s="545"/>
      <c r="LXA47" s="544"/>
      <c r="LXB47" s="545"/>
      <c r="LXC47" s="545"/>
      <c r="LXD47" s="545"/>
      <c r="LXE47" s="545"/>
      <c r="LXF47" s="545"/>
      <c r="LXG47" s="545"/>
      <c r="LXH47" s="544"/>
      <c r="LXI47" s="545"/>
      <c r="LXJ47" s="545"/>
      <c r="LXK47" s="545"/>
      <c r="LXL47" s="545"/>
      <c r="LXM47" s="545"/>
      <c r="LXN47" s="545"/>
      <c r="LXO47" s="544"/>
      <c r="LXP47" s="545"/>
      <c r="LXQ47" s="545"/>
      <c r="LXR47" s="545"/>
      <c r="LXS47" s="545"/>
      <c r="LXT47" s="545"/>
      <c r="LXU47" s="545"/>
      <c r="LXV47" s="544"/>
      <c r="LXW47" s="545"/>
      <c r="LXX47" s="545"/>
      <c r="LXY47" s="545"/>
      <c r="LXZ47" s="545"/>
      <c r="LYA47" s="545"/>
      <c r="LYB47" s="545"/>
      <c r="LYC47" s="544"/>
      <c r="LYD47" s="545"/>
      <c r="LYE47" s="545"/>
      <c r="LYF47" s="545"/>
      <c r="LYG47" s="545"/>
      <c r="LYH47" s="545"/>
      <c r="LYI47" s="545"/>
      <c r="LYJ47" s="544"/>
      <c r="LYK47" s="545"/>
      <c r="LYL47" s="545"/>
      <c r="LYM47" s="545"/>
      <c r="LYN47" s="545"/>
      <c r="LYO47" s="545"/>
      <c r="LYP47" s="545"/>
      <c r="LYQ47" s="544"/>
      <c r="LYR47" s="545"/>
      <c r="LYS47" s="545"/>
      <c r="LYT47" s="545"/>
      <c r="LYU47" s="545"/>
      <c r="LYV47" s="545"/>
      <c r="LYW47" s="545"/>
      <c r="LYX47" s="544"/>
      <c r="LYY47" s="545"/>
      <c r="LYZ47" s="545"/>
      <c r="LZA47" s="545"/>
      <c r="LZB47" s="545"/>
      <c r="LZC47" s="545"/>
      <c r="LZD47" s="545"/>
      <c r="LZE47" s="544"/>
      <c r="LZF47" s="545"/>
      <c r="LZG47" s="545"/>
      <c r="LZH47" s="545"/>
      <c r="LZI47" s="545"/>
      <c r="LZJ47" s="545"/>
      <c r="LZK47" s="545"/>
      <c r="LZL47" s="544"/>
      <c r="LZM47" s="545"/>
      <c r="LZN47" s="545"/>
      <c r="LZO47" s="545"/>
      <c r="LZP47" s="545"/>
      <c r="LZQ47" s="545"/>
      <c r="LZR47" s="545"/>
      <c r="LZS47" s="544"/>
      <c r="LZT47" s="545"/>
      <c r="LZU47" s="545"/>
      <c r="LZV47" s="545"/>
      <c r="LZW47" s="545"/>
      <c r="LZX47" s="545"/>
      <c r="LZY47" s="545"/>
      <c r="LZZ47" s="544"/>
      <c r="MAA47" s="545"/>
      <c r="MAB47" s="545"/>
      <c r="MAC47" s="545"/>
      <c r="MAD47" s="545"/>
      <c r="MAE47" s="545"/>
      <c r="MAF47" s="545"/>
      <c r="MAG47" s="544"/>
      <c r="MAH47" s="545"/>
      <c r="MAI47" s="545"/>
      <c r="MAJ47" s="545"/>
      <c r="MAK47" s="545"/>
      <c r="MAL47" s="545"/>
      <c r="MAM47" s="545"/>
      <c r="MAN47" s="544"/>
      <c r="MAO47" s="545"/>
      <c r="MAP47" s="545"/>
      <c r="MAQ47" s="545"/>
      <c r="MAR47" s="545"/>
      <c r="MAS47" s="545"/>
      <c r="MAT47" s="545"/>
      <c r="MAU47" s="544"/>
      <c r="MAV47" s="545"/>
      <c r="MAW47" s="545"/>
      <c r="MAX47" s="545"/>
      <c r="MAY47" s="545"/>
      <c r="MAZ47" s="545"/>
      <c r="MBA47" s="545"/>
      <c r="MBB47" s="544"/>
      <c r="MBC47" s="545"/>
      <c r="MBD47" s="545"/>
      <c r="MBE47" s="545"/>
      <c r="MBF47" s="545"/>
      <c r="MBG47" s="545"/>
      <c r="MBH47" s="545"/>
      <c r="MBI47" s="544"/>
      <c r="MBJ47" s="545"/>
      <c r="MBK47" s="545"/>
      <c r="MBL47" s="545"/>
      <c r="MBM47" s="545"/>
      <c r="MBN47" s="545"/>
      <c r="MBO47" s="545"/>
      <c r="MBP47" s="544"/>
      <c r="MBQ47" s="545"/>
      <c r="MBR47" s="545"/>
      <c r="MBS47" s="545"/>
      <c r="MBT47" s="545"/>
      <c r="MBU47" s="545"/>
      <c r="MBV47" s="545"/>
      <c r="MBW47" s="544"/>
      <c r="MBX47" s="545"/>
      <c r="MBY47" s="545"/>
      <c r="MBZ47" s="545"/>
      <c r="MCA47" s="545"/>
      <c r="MCB47" s="545"/>
      <c r="MCC47" s="545"/>
      <c r="MCD47" s="544"/>
      <c r="MCE47" s="545"/>
      <c r="MCF47" s="545"/>
      <c r="MCG47" s="545"/>
      <c r="MCH47" s="545"/>
      <c r="MCI47" s="545"/>
      <c r="MCJ47" s="545"/>
      <c r="MCK47" s="544"/>
      <c r="MCL47" s="545"/>
      <c r="MCM47" s="545"/>
      <c r="MCN47" s="545"/>
      <c r="MCO47" s="545"/>
      <c r="MCP47" s="545"/>
      <c r="MCQ47" s="545"/>
      <c r="MCR47" s="544"/>
      <c r="MCS47" s="545"/>
      <c r="MCT47" s="545"/>
      <c r="MCU47" s="545"/>
      <c r="MCV47" s="545"/>
      <c r="MCW47" s="545"/>
      <c r="MCX47" s="545"/>
      <c r="MCY47" s="544"/>
      <c r="MCZ47" s="545"/>
      <c r="MDA47" s="545"/>
      <c r="MDB47" s="545"/>
      <c r="MDC47" s="545"/>
      <c r="MDD47" s="545"/>
      <c r="MDE47" s="545"/>
      <c r="MDF47" s="544"/>
      <c r="MDG47" s="545"/>
      <c r="MDH47" s="545"/>
      <c r="MDI47" s="545"/>
      <c r="MDJ47" s="545"/>
      <c r="MDK47" s="545"/>
      <c r="MDL47" s="545"/>
      <c r="MDM47" s="544"/>
      <c r="MDN47" s="545"/>
      <c r="MDO47" s="545"/>
      <c r="MDP47" s="545"/>
      <c r="MDQ47" s="545"/>
      <c r="MDR47" s="545"/>
      <c r="MDS47" s="545"/>
      <c r="MDT47" s="544"/>
      <c r="MDU47" s="545"/>
      <c r="MDV47" s="545"/>
      <c r="MDW47" s="545"/>
      <c r="MDX47" s="545"/>
      <c r="MDY47" s="545"/>
      <c r="MDZ47" s="545"/>
      <c r="MEA47" s="544"/>
      <c r="MEB47" s="545"/>
      <c r="MEC47" s="545"/>
      <c r="MED47" s="545"/>
      <c r="MEE47" s="545"/>
      <c r="MEF47" s="545"/>
      <c r="MEG47" s="545"/>
      <c r="MEH47" s="544"/>
      <c r="MEI47" s="545"/>
      <c r="MEJ47" s="545"/>
      <c r="MEK47" s="545"/>
      <c r="MEL47" s="545"/>
      <c r="MEM47" s="545"/>
      <c r="MEN47" s="545"/>
      <c r="MEO47" s="544"/>
      <c r="MEP47" s="545"/>
      <c r="MEQ47" s="545"/>
      <c r="MER47" s="545"/>
      <c r="MES47" s="545"/>
      <c r="MET47" s="545"/>
      <c r="MEU47" s="545"/>
      <c r="MEV47" s="544"/>
      <c r="MEW47" s="545"/>
      <c r="MEX47" s="545"/>
      <c r="MEY47" s="545"/>
      <c r="MEZ47" s="545"/>
      <c r="MFA47" s="545"/>
      <c r="MFB47" s="545"/>
      <c r="MFC47" s="544"/>
      <c r="MFD47" s="545"/>
      <c r="MFE47" s="545"/>
      <c r="MFF47" s="545"/>
      <c r="MFG47" s="545"/>
      <c r="MFH47" s="545"/>
      <c r="MFI47" s="545"/>
      <c r="MFJ47" s="544"/>
      <c r="MFK47" s="545"/>
      <c r="MFL47" s="545"/>
      <c r="MFM47" s="545"/>
      <c r="MFN47" s="545"/>
      <c r="MFO47" s="545"/>
      <c r="MFP47" s="545"/>
      <c r="MFQ47" s="544"/>
      <c r="MFR47" s="545"/>
      <c r="MFS47" s="545"/>
      <c r="MFT47" s="545"/>
      <c r="MFU47" s="545"/>
      <c r="MFV47" s="545"/>
      <c r="MFW47" s="545"/>
      <c r="MFX47" s="544"/>
      <c r="MFY47" s="545"/>
      <c r="MFZ47" s="545"/>
      <c r="MGA47" s="545"/>
      <c r="MGB47" s="545"/>
      <c r="MGC47" s="545"/>
      <c r="MGD47" s="545"/>
      <c r="MGE47" s="544"/>
      <c r="MGF47" s="545"/>
      <c r="MGG47" s="545"/>
      <c r="MGH47" s="545"/>
      <c r="MGI47" s="545"/>
      <c r="MGJ47" s="545"/>
      <c r="MGK47" s="545"/>
      <c r="MGL47" s="544"/>
      <c r="MGM47" s="545"/>
      <c r="MGN47" s="545"/>
      <c r="MGO47" s="545"/>
      <c r="MGP47" s="545"/>
      <c r="MGQ47" s="545"/>
      <c r="MGR47" s="545"/>
      <c r="MGS47" s="544"/>
      <c r="MGT47" s="545"/>
      <c r="MGU47" s="545"/>
      <c r="MGV47" s="545"/>
      <c r="MGW47" s="545"/>
      <c r="MGX47" s="545"/>
      <c r="MGY47" s="545"/>
      <c r="MGZ47" s="544"/>
      <c r="MHA47" s="545"/>
      <c r="MHB47" s="545"/>
      <c r="MHC47" s="545"/>
      <c r="MHD47" s="545"/>
      <c r="MHE47" s="545"/>
      <c r="MHF47" s="545"/>
      <c r="MHG47" s="544"/>
      <c r="MHH47" s="545"/>
      <c r="MHI47" s="545"/>
      <c r="MHJ47" s="545"/>
      <c r="MHK47" s="545"/>
      <c r="MHL47" s="545"/>
      <c r="MHM47" s="545"/>
      <c r="MHN47" s="544"/>
      <c r="MHO47" s="545"/>
      <c r="MHP47" s="545"/>
      <c r="MHQ47" s="545"/>
      <c r="MHR47" s="545"/>
      <c r="MHS47" s="545"/>
      <c r="MHT47" s="545"/>
      <c r="MHU47" s="544"/>
      <c r="MHV47" s="545"/>
      <c r="MHW47" s="545"/>
      <c r="MHX47" s="545"/>
      <c r="MHY47" s="545"/>
      <c r="MHZ47" s="545"/>
      <c r="MIA47" s="545"/>
      <c r="MIB47" s="544"/>
      <c r="MIC47" s="545"/>
      <c r="MID47" s="545"/>
      <c r="MIE47" s="545"/>
      <c r="MIF47" s="545"/>
      <c r="MIG47" s="545"/>
      <c r="MIH47" s="545"/>
      <c r="MII47" s="544"/>
      <c r="MIJ47" s="545"/>
      <c r="MIK47" s="545"/>
      <c r="MIL47" s="545"/>
      <c r="MIM47" s="545"/>
      <c r="MIN47" s="545"/>
      <c r="MIO47" s="545"/>
      <c r="MIP47" s="544"/>
      <c r="MIQ47" s="545"/>
      <c r="MIR47" s="545"/>
      <c r="MIS47" s="545"/>
      <c r="MIT47" s="545"/>
      <c r="MIU47" s="545"/>
      <c r="MIV47" s="545"/>
      <c r="MIW47" s="544"/>
      <c r="MIX47" s="545"/>
      <c r="MIY47" s="545"/>
      <c r="MIZ47" s="545"/>
      <c r="MJA47" s="545"/>
      <c r="MJB47" s="545"/>
      <c r="MJC47" s="545"/>
      <c r="MJD47" s="544"/>
      <c r="MJE47" s="545"/>
      <c r="MJF47" s="545"/>
      <c r="MJG47" s="545"/>
      <c r="MJH47" s="545"/>
      <c r="MJI47" s="545"/>
      <c r="MJJ47" s="545"/>
      <c r="MJK47" s="544"/>
      <c r="MJL47" s="545"/>
      <c r="MJM47" s="545"/>
      <c r="MJN47" s="545"/>
      <c r="MJO47" s="545"/>
      <c r="MJP47" s="545"/>
      <c r="MJQ47" s="545"/>
      <c r="MJR47" s="544"/>
      <c r="MJS47" s="545"/>
      <c r="MJT47" s="545"/>
      <c r="MJU47" s="545"/>
      <c r="MJV47" s="545"/>
      <c r="MJW47" s="545"/>
      <c r="MJX47" s="545"/>
      <c r="MJY47" s="544"/>
      <c r="MJZ47" s="545"/>
      <c r="MKA47" s="545"/>
      <c r="MKB47" s="545"/>
      <c r="MKC47" s="545"/>
      <c r="MKD47" s="545"/>
      <c r="MKE47" s="545"/>
      <c r="MKF47" s="544"/>
      <c r="MKG47" s="545"/>
      <c r="MKH47" s="545"/>
      <c r="MKI47" s="545"/>
      <c r="MKJ47" s="545"/>
      <c r="MKK47" s="545"/>
      <c r="MKL47" s="545"/>
      <c r="MKM47" s="544"/>
      <c r="MKN47" s="545"/>
      <c r="MKO47" s="545"/>
      <c r="MKP47" s="545"/>
      <c r="MKQ47" s="545"/>
      <c r="MKR47" s="545"/>
      <c r="MKS47" s="545"/>
      <c r="MKT47" s="544"/>
      <c r="MKU47" s="545"/>
      <c r="MKV47" s="545"/>
      <c r="MKW47" s="545"/>
      <c r="MKX47" s="545"/>
      <c r="MKY47" s="545"/>
      <c r="MKZ47" s="545"/>
      <c r="MLA47" s="544"/>
      <c r="MLB47" s="545"/>
      <c r="MLC47" s="545"/>
      <c r="MLD47" s="545"/>
      <c r="MLE47" s="545"/>
      <c r="MLF47" s="545"/>
      <c r="MLG47" s="545"/>
      <c r="MLH47" s="544"/>
      <c r="MLI47" s="545"/>
      <c r="MLJ47" s="545"/>
      <c r="MLK47" s="545"/>
      <c r="MLL47" s="545"/>
      <c r="MLM47" s="545"/>
      <c r="MLN47" s="545"/>
      <c r="MLO47" s="544"/>
      <c r="MLP47" s="545"/>
      <c r="MLQ47" s="545"/>
      <c r="MLR47" s="545"/>
      <c r="MLS47" s="545"/>
      <c r="MLT47" s="545"/>
      <c r="MLU47" s="545"/>
      <c r="MLV47" s="544"/>
      <c r="MLW47" s="545"/>
      <c r="MLX47" s="545"/>
      <c r="MLY47" s="545"/>
      <c r="MLZ47" s="545"/>
      <c r="MMA47" s="545"/>
      <c r="MMB47" s="545"/>
      <c r="MMC47" s="544"/>
      <c r="MMD47" s="545"/>
      <c r="MME47" s="545"/>
      <c r="MMF47" s="545"/>
      <c r="MMG47" s="545"/>
      <c r="MMH47" s="545"/>
      <c r="MMI47" s="545"/>
      <c r="MMJ47" s="544"/>
      <c r="MMK47" s="545"/>
      <c r="MML47" s="545"/>
      <c r="MMM47" s="545"/>
      <c r="MMN47" s="545"/>
      <c r="MMO47" s="545"/>
      <c r="MMP47" s="545"/>
      <c r="MMQ47" s="544"/>
      <c r="MMR47" s="545"/>
      <c r="MMS47" s="545"/>
      <c r="MMT47" s="545"/>
      <c r="MMU47" s="545"/>
      <c r="MMV47" s="545"/>
      <c r="MMW47" s="545"/>
      <c r="MMX47" s="544"/>
      <c r="MMY47" s="545"/>
      <c r="MMZ47" s="545"/>
      <c r="MNA47" s="545"/>
      <c r="MNB47" s="545"/>
      <c r="MNC47" s="545"/>
      <c r="MND47" s="545"/>
      <c r="MNE47" s="544"/>
      <c r="MNF47" s="545"/>
      <c r="MNG47" s="545"/>
      <c r="MNH47" s="545"/>
      <c r="MNI47" s="545"/>
      <c r="MNJ47" s="545"/>
      <c r="MNK47" s="545"/>
      <c r="MNL47" s="544"/>
      <c r="MNM47" s="545"/>
      <c r="MNN47" s="545"/>
      <c r="MNO47" s="545"/>
      <c r="MNP47" s="545"/>
      <c r="MNQ47" s="545"/>
      <c r="MNR47" s="545"/>
      <c r="MNS47" s="544"/>
      <c r="MNT47" s="545"/>
      <c r="MNU47" s="545"/>
      <c r="MNV47" s="545"/>
      <c r="MNW47" s="545"/>
      <c r="MNX47" s="545"/>
      <c r="MNY47" s="545"/>
      <c r="MNZ47" s="544"/>
      <c r="MOA47" s="545"/>
      <c r="MOB47" s="545"/>
      <c r="MOC47" s="545"/>
      <c r="MOD47" s="545"/>
      <c r="MOE47" s="545"/>
      <c r="MOF47" s="545"/>
      <c r="MOG47" s="544"/>
      <c r="MOH47" s="545"/>
      <c r="MOI47" s="545"/>
      <c r="MOJ47" s="545"/>
      <c r="MOK47" s="545"/>
      <c r="MOL47" s="545"/>
      <c r="MOM47" s="545"/>
      <c r="MON47" s="544"/>
      <c r="MOO47" s="545"/>
      <c r="MOP47" s="545"/>
      <c r="MOQ47" s="545"/>
      <c r="MOR47" s="545"/>
      <c r="MOS47" s="545"/>
      <c r="MOT47" s="545"/>
      <c r="MOU47" s="544"/>
      <c r="MOV47" s="545"/>
      <c r="MOW47" s="545"/>
      <c r="MOX47" s="545"/>
      <c r="MOY47" s="545"/>
      <c r="MOZ47" s="545"/>
      <c r="MPA47" s="545"/>
      <c r="MPB47" s="544"/>
      <c r="MPC47" s="545"/>
      <c r="MPD47" s="545"/>
      <c r="MPE47" s="545"/>
      <c r="MPF47" s="545"/>
      <c r="MPG47" s="545"/>
      <c r="MPH47" s="545"/>
      <c r="MPI47" s="544"/>
      <c r="MPJ47" s="545"/>
      <c r="MPK47" s="545"/>
      <c r="MPL47" s="545"/>
      <c r="MPM47" s="545"/>
      <c r="MPN47" s="545"/>
      <c r="MPO47" s="545"/>
      <c r="MPP47" s="544"/>
      <c r="MPQ47" s="545"/>
      <c r="MPR47" s="545"/>
      <c r="MPS47" s="545"/>
      <c r="MPT47" s="545"/>
      <c r="MPU47" s="545"/>
      <c r="MPV47" s="545"/>
      <c r="MPW47" s="544"/>
      <c r="MPX47" s="545"/>
      <c r="MPY47" s="545"/>
      <c r="MPZ47" s="545"/>
      <c r="MQA47" s="545"/>
      <c r="MQB47" s="545"/>
      <c r="MQC47" s="545"/>
      <c r="MQD47" s="544"/>
      <c r="MQE47" s="545"/>
      <c r="MQF47" s="545"/>
      <c r="MQG47" s="545"/>
      <c r="MQH47" s="545"/>
      <c r="MQI47" s="545"/>
      <c r="MQJ47" s="545"/>
      <c r="MQK47" s="544"/>
      <c r="MQL47" s="545"/>
      <c r="MQM47" s="545"/>
      <c r="MQN47" s="545"/>
      <c r="MQO47" s="545"/>
      <c r="MQP47" s="545"/>
      <c r="MQQ47" s="545"/>
      <c r="MQR47" s="544"/>
      <c r="MQS47" s="545"/>
      <c r="MQT47" s="545"/>
      <c r="MQU47" s="545"/>
      <c r="MQV47" s="545"/>
      <c r="MQW47" s="545"/>
      <c r="MQX47" s="545"/>
      <c r="MQY47" s="544"/>
      <c r="MQZ47" s="545"/>
      <c r="MRA47" s="545"/>
      <c r="MRB47" s="545"/>
      <c r="MRC47" s="545"/>
      <c r="MRD47" s="545"/>
      <c r="MRE47" s="545"/>
      <c r="MRF47" s="544"/>
      <c r="MRG47" s="545"/>
      <c r="MRH47" s="545"/>
      <c r="MRI47" s="545"/>
      <c r="MRJ47" s="545"/>
      <c r="MRK47" s="545"/>
      <c r="MRL47" s="545"/>
      <c r="MRM47" s="544"/>
      <c r="MRN47" s="545"/>
      <c r="MRO47" s="545"/>
      <c r="MRP47" s="545"/>
      <c r="MRQ47" s="545"/>
      <c r="MRR47" s="545"/>
      <c r="MRS47" s="545"/>
      <c r="MRT47" s="544"/>
      <c r="MRU47" s="545"/>
      <c r="MRV47" s="545"/>
      <c r="MRW47" s="545"/>
      <c r="MRX47" s="545"/>
      <c r="MRY47" s="545"/>
      <c r="MRZ47" s="545"/>
      <c r="MSA47" s="544"/>
      <c r="MSB47" s="545"/>
      <c r="MSC47" s="545"/>
      <c r="MSD47" s="545"/>
      <c r="MSE47" s="545"/>
      <c r="MSF47" s="545"/>
      <c r="MSG47" s="545"/>
      <c r="MSH47" s="544"/>
      <c r="MSI47" s="545"/>
      <c r="MSJ47" s="545"/>
      <c r="MSK47" s="545"/>
      <c r="MSL47" s="545"/>
      <c r="MSM47" s="545"/>
      <c r="MSN47" s="545"/>
      <c r="MSO47" s="544"/>
      <c r="MSP47" s="545"/>
      <c r="MSQ47" s="545"/>
      <c r="MSR47" s="545"/>
      <c r="MSS47" s="545"/>
      <c r="MST47" s="545"/>
      <c r="MSU47" s="545"/>
      <c r="MSV47" s="544"/>
      <c r="MSW47" s="545"/>
      <c r="MSX47" s="545"/>
      <c r="MSY47" s="545"/>
      <c r="MSZ47" s="545"/>
      <c r="MTA47" s="545"/>
      <c r="MTB47" s="545"/>
      <c r="MTC47" s="544"/>
      <c r="MTD47" s="545"/>
      <c r="MTE47" s="545"/>
      <c r="MTF47" s="545"/>
      <c r="MTG47" s="545"/>
      <c r="MTH47" s="545"/>
      <c r="MTI47" s="545"/>
      <c r="MTJ47" s="544"/>
      <c r="MTK47" s="545"/>
      <c r="MTL47" s="545"/>
      <c r="MTM47" s="545"/>
      <c r="MTN47" s="545"/>
      <c r="MTO47" s="545"/>
      <c r="MTP47" s="545"/>
      <c r="MTQ47" s="544"/>
      <c r="MTR47" s="545"/>
      <c r="MTS47" s="545"/>
      <c r="MTT47" s="545"/>
      <c r="MTU47" s="545"/>
      <c r="MTV47" s="545"/>
      <c r="MTW47" s="545"/>
      <c r="MTX47" s="544"/>
      <c r="MTY47" s="545"/>
      <c r="MTZ47" s="545"/>
      <c r="MUA47" s="545"/>
      <c r="MUB47" s="545"/>
      <c r="MUC47" s="545"/>
      <c r="MUD47" s="545"/>
      <c r="MUE47" s="544"/>
      <c r="MUF47" s="545"/>
      <c r="MUG47" s="545"/>
      <c r="MUH47" s="545"/>
      <c r="MUI47" s="545"/>
      <c r="MUJ47" s="545"/>
      <c r="MUK47" s="545"/>
      <c r="MUL47" s="544"/>
      <c r="MUM47" s="545"/>
      <c r="MUN47" s="545"/>
      <c r="MUO47" s="545"/>
      <c r="MUP47" s="545"/>
      <c r="MUQ47" s="545"/>
      <c r="MUR47" s="545"/>
      <c r="MUS47" s="544"/>
      <c r="MUT47" s="545"/>
      <c r="MUU47" s="545"/>
      <c r="MUV47" s="545"/>
      <c r="MUW47" s="545"/>
      <c r="MUX47" s="545"/>
      <c r="MUY47" s="545"/>
      <c r="MUZ47" s="544"/>
      <c r="MVA47" s="545"/>
      <c r="MVB47" s="545"/>
      <c r="MVC47" s="545"/>
      <c r="MVD47" s="545"/>
      <c r="MVE47" s="545"/>
      <c r="MVF47" s="545"/>
      <c r="MVG47" s="544"/>
      <c r="MVH47" s="545"/>
      <c r="MVI47" s="545"/>
      <c r="MVJ47" s="545"/>
      <c r="MVK47" s="545"/>
      <c r="MVL47" s="545"/>
      <c r="MVM47" s="545"/>
      <c r="MVN47" s="544"/>
      <c r="MVO47" s="545"/>
      <c r="MVP47" s="545"/>
      <c r="MVQ47" s="545"/>
      <c r="MVR47" s="545"/>
      <c r="MVS47" s="545"/>
      <c r="MVT47" s="545"/>
      <c r="MVU47" s="544"/>
      <c r="MVV47" s="545"/>
      <c r="MVW47" s="545"/>
      <c r="MVX47" s="545"/>
      <c r="MVY47" s="545"/>
      <c r="MVZ47" s="545"/>
      <c r="MWA47" s="545"/>
      <c r="MWB47" s="544"/>
      <c r="MWC47" s="545"/>
      <c r="MWD47" s="545"/>
      <c r="MWE47" s="545"/>
      <c r="MWF47" s="545"/>
      <c r="MWG47" s="545"/>
      <c r="MWH47" s="545"/>
      <c r="MWI47" s="544"/>
      <c r="MWJ47" s="545"/>
      <c r="MWK47" s="545"/>
      <c r="MWL47" s="545"/>
      <c r="MWM47" s="545"/>
      <c r="MWN47" s="545"/>
      <c r="MWO47" s="545"/>
      <c r="MWP47" s="544"/>
      <c r="MWQ47" s="545"/>
      <c r="MWR47" s="545"/>
      <c r="MWS47" s="545"/>
      <c r="MWT47" s="545"/>
      <c r="MWU47" s="545"/>
      <c r="MWV47" s="545"/>
      <c r="MWW47" s="544"/>
      <c r="MWX47" s="545"/>
      <c r="MWY47" s="545"/>
      <c r="MWZ47" s="545"/>
      <c r="MXA47" s="545"/>
      <c r="MXB47" s="545"/>
      <c r="MXC47" s="545"/>
      <c r="MXD47" s="544"/>
      <c r="MXE47" s="545"/>
      <c r="MXF47" s="545"/>
      <c r="MXG47" s="545"/>
      <c r="MXH47" s="545"/>
      <c r="MXI47" s="545"/>
      <c r="MXJ47" s="545"/>
      <c r="MXK47" s="544"/>
      <c r="MXL47" s="545"/>
      <c r="MXM47" s="545"/>
      <c r="MXN47" s="545"/>
      <c r="MXO47" s="545"/>
      <c r="MXP47" s="545"/>
      <c r="MXQ47" s="545"/>
      <c r="MXR47" s="544"/>
      <c r="MXS47" s="545"/>
      <c r="MXT47" s="545"/>
      <c r="MXU47" s="545"/>
      <c r="MXV47" s="545"/>
      <c r="MXW47" s="545"/>
      <c r="MXX47" s="545"/>
      <c r="MXY47" s="544"/>
      <c r="MXZ47" s="545"/>
      <c r="MYA47" s="545"/>
      <c r="MYB47" s="545"/>
      <c r="MYC47" s="545"/>
      <c r="MYD47" s="545"/>
      <c r="MYE47" s="545"/>
      <c r="MYF47" s="544"/>
      <c r="MYG47" s="545"/>
      <c r="MYH47" s="545"/>
      <c r="MYI47" s="545"/>
      <c r="MYJ47" s="545"/>
      <c r="MYK47" s="545"/>
      <c r="MYL47" s="545"/>
      <c r="MYM47" s="544"/>
      <c r="MYN47" s="545"/>
      <c r="MYO47" s="545"/>
      <c r="MYP47" s="545"/>
      <c r="MYQ47" s="545"/>
      <c r="MYR47" s="545"/>
      <c r="MYS47" s="545"/>
      <c r="MYT47" s="544"/>
      <c r="MYU47" s="545"/>
      <c r="MYV47" s="545"/>
      <c r="MYW47" s="545"/>
      <c r="MYX47" s="545"/>
      <c r="MYY47" s="545"/>
      <c r="MYZ47" s="545"/>
      <c r="MZA47" s="544"/>
      <c r="MZB47" s="545"/>
      <c r="MZC47" s="545"/>
      <c r="MZD47" s="545"/>
      <c r="MZE47" s="545"/>
      <c r="MZF47" s="545"/>
      <c r="MZG47" s="545"/>
      <c r="MZH47" s="544"/>
      <c r="MZI47" s="545"/>
      <c r="MZJ47" s="545"/>
      <c r="MZK47" s="545"/>
      <c r="MZL47" s="545"/>
      <c r="MZM47" s="545"/>
      <c r="MZN47" s="545"/>
      <c r="MZO47" s="544"/>
      <c r="MZP47" s="545"/>
      <c r="MZQ47" s="545"/>
      <c r="MZR47" s="545"/>
      <c r="MZS47" s="545"/>
      <c r="MZT47" s="545"/>
      <c r="MZU47" s="545"/>
      <c r="MZV47" s="544"/>
      <c r="MZW47" s="545"/>
      <c r="MZX47" s="545"/>
      <c r="MZY47" s="545"/>
      <c r="MZZ47" s="545"/>
      <c r="NAA47" s="545"/>
      <c r="NAB47" s="545"/>
      <c r="NAC47" s="544"/>
      <c r="NAD47" s="545"/>
      <c r="NAE47" s="545"/>
      <c r="NAF47" s="545"/>
      <c r="NAG47" s="545"/>
      <c r="NAH47" s="545"/>
      <c r="NAI47" s="545"/>
      <c r="NAJ47" s="544"/>
      <c r="NAK47" s="545"/>
      <c r="NAL47" s="545"/>
      <c r="NAM47" s="545"/>
      <c r="NAN47" s="545"/>
      <c r="NAO47" s="545"/>
      <c r="NAP47" s="545"/>
      <c r="NAQ47" s="544"/>
      <c r="NAR47" s="545"/>
      <c r="NAS47" s="545"/>
      <c r="NAT47" s="545"/>
      <c r="NAU47" s="545"/>
      <c r="NAV47" s="545"/>
      <c r="NAW47" s="545"/>
      <c r="NAX47" s="544"/>
      <c r="NAY47" s="545"/>
      <c r="NAZ47" s="545"/>
      <c r="NBA47" s="545"/>
      <c r="NBB47" s="545"/>
      <c r="NBC47" s="545"/>
      <c r="NBD47" s="545"/>
      <c r="NBE47" s="544"/>
      <c r="NBF47" s="545"/>
      <c r="NBG47" s="545"/>
      <c r="NBH47" s="545"/>
      <c r="NBI47" s="545"/>
      <c r="NBJ47" s="545"/>
      <c r="NBK47" s="545"/>
      <c r="NBL47" s="544"/>
      <c r="NBM47" s="545"/>
      <c r="NBN47" s="545"/>
      <c r="NBO47" s="545"/>
      <c r="NBP47" s="545"/>
      <c r="NBQ47" s="545"/>
      <c r="NBR47" s="545"/>
      <c r="NBS47" s="544"/>
      <c r="NBT47" s="545"/>
      <c r="NBU47" s="545"/>
      <c r="NBV47" s="545"/>
      <c r="NBW47" s="545"/>
      <c r="NBX47" s="545"/>
      <c r="NBY47" s="545"/>
      <c r="NBZ47" s="544"/>
      <c r="NCA47" s="545"/>
      <c r="NCB47" s="545"/>
      <c r="NCC47" s="545"/>
      <c r="NCD47" s="545"/>
      <c r="NCE47" s="545"/>
      <c r="NCF47" s="545"/>
      <c r="NCG47" s="544"/>
      <c r="NCH47" s="545"/>
      <c r="NCI47" s="545"/>
      <c r="NCJ47" s="545"/>
      <c r="NCK47" s="545"/>
      <c r="NCL47" s="545"/>
      <c r="NCM47" s="545"/>
      <c r="NCN47" s="544"/>
      <c r="NCO47" s="545"/>
      <c r="NCP47" s="545"/>
      <c r="NCQ47" s="545"/>
      <c r="NCR47" s="545"/>
      <c r="NCS47" s="545"/>
      <c r="NCT47" s="545"/>
      <c r="NCU47" s="544"/>
      <c r="NCV47" s="545"/>
      <c r="NCW47" s="545"/>
      <c r="NCX47" s="545"/>
      <c r="NCY47" s="545"/>
      <c r="NCZ47" s="545"/>
      <c r="NDA47" s="545"/>
      <c r="NDB47" s="544"/>
      <c r="NDC47" s="545"/>
      <c r="NDD47" s="545"/>
      <c r="NDE47" s="545"/>
      <c r="NDF47" s="545"/>
      <c r="NDG47" s="545"/>
      <c r="NDH47" s="545"/>
      <c r="NDI47" s="544"/>
      <c r="NDJ47" s="545"/>
      <c r="NDK47" s="545"/>
      <c r="NDL47" s="545"/>
      <c r="NDM47" s="545"/>
      <c r="NDN47" s="545"/>
      <c r="NDO47" s="545"/>
      <c r="NDP47" s="544"/>
      <c r="NDQ47" s="545"/>
      <c r="NDR47" s="545"/>
      <c r="NDS47" s="545"/>
      <c r="NDT47" s="545"/>
      <c r="NDU47" s="545"/>
      <c r="NDV47" s="545"/>
      <c r="NDW47" s="544"/>
      <c r="NDX47" s="545"/>
      <c r="NDY47" s="545"/>
      <c r="NDZ47" s="545"/>
      <c r="NEA47" s="545"/>
      <c r="NEB47" s="545"/>
      <c r="NEC47" s="545"/>
      <c r="NED47" s="544"/>
      <c r="NEE47" s="545"/>
      <c r="NEF47" s="545"/>
      <c r="NEG47" s="545"/>
      <c r="NEH47" s="545"/>
      <c r="NEI47" s="545"/>
      <c r="NEJ47" s="545"/>
      <c r="NEK47" s="544"/>
      <c r="NEL47" s="545"/>
      <c r="NEM47" s="545"/>
      <c r="NEN47" s="545"/>
      <c r="NEO47" s="545"/>
      <c r="NEP47" s="545"/>
      <c r="NEQ47" s="545"/>
      <c r="NER47" s="544"/>
      <c r="NES47" s="545"/>
      <c r="NET47" s="545"/>
      <c r="NEU47" s="545"/>
      <c r="NEV47" s="545"/>
      <c r="NEW47" s="545"/>
      <c r="NEX47" s="545"/>
      <c r="NEY47" s="544"/>
      <c r="NEZ47" s="545"/>
      <c r="NFA47" s="545"/>
      <c r="NFB47" s="545"/>
      <c r="NFC47" s="545"/>
      <c r="NFD47" s="545"/>
      <c r="NFE47" s="545"/>
      <c r="NFF47" s="544"/>
      <c r="NFG47" s="545"/>
      <c r="NFH47" s="545"/>
      <c r="NFI47" s="545"/>
      <c r="NFJ47" s="545"/>
      <c r="NFK47" s="545"/>
      <c r="NFL47" s="545"/>
      <c r="NFM47" s="544"/>
      <c r="NFN47" s="545"/>
      <c r="NFO47" s="545"/>
      <c r="NFP47" s="545"/>
      <c r="NFQ47" s="545"/>
      <c r="NFR47" s="545"/>
      <c r="NFS47" s="545"/>
      <c r="NFT47" s="544"/>
      <c r="NFU47" s="545"/>
      <c r="NFV47" s="545"/>
      <c r="NFW47" s="545"/>
      <c r="NFX47" s="545"/>
      <c r="NFY47" s="545"/>
      <c r="NFZ47" s="545"/>
      <c r="NGA47" s="544"/>
      <c r="NGB47" s="545"/>
      <c r="NGC47" s="545"/>
      <c r="NGD47" s="545"/>
      <c r="NGE47" s="545"/>
      <c r="NGF47" s="545"/>
      <c r="NGG47" s="545"/>
      <c r="NGH47" s="544"/>
      <c r="NGI47" s="545"/>
      <c r="NGJ47" s="545"/>
      <c r="NGK47" s="545"/>
      <c r="NGL47" s="545"/>
      <c r="NGM47" s="545"/>
      <c r="NGN47" s="545"/>
      <c r="NGO47" s="544"/>
      <c r="NGP47" s="545"/>
      <c r="NGQ47" s="545"/>
      <c r="NGR47" s="545"/>
      <c r="NGS47" s="545"/>
      <c r="NGT47" s="545"/>
      <c r="NGU47" s="545"/>
      <c r="NGV47" s="544"/>
      <c r="NGW47" s="545"/>
      <c r="NGX47" s="545"/>
      <c r="NGY47" s="545"/>
      <c r="NGZ47" s="545"/>
      <c r="NHA47" s="545"/>
      <c r="NHB47" s="545"/>
      <c r="NHC47" s="544"/>
      <c r="NHD47" s="545"/>
      <c r="NHE47" s="545"/>
      <c r="NHF47" s="545"/>
      <c r="NHG47" s="545"/>
      <c r="NHH47" s="545"/>
      <c r="NHI47" s="545"/>
      <c r="NHJ47" s="544"/>
      <c r="NHK47" s="545"/>
      <c r="NHL47" s="545"/>
      <c r="NHM47" s="545"/>
      <c r="NHN47" s="545"/>
      <c r="NHO47" s="545"/>
      <c r="NHP47" s="545"/>
      <c r="NHQ47" s="544"/>
      <c r="NHR47" s="545"/>
      <c r="NHS47" s="545"/>
      <c r="NHT47" s="545"/>
      <c r="NHU47" s="545"/>
      <c r="NHV47" s="545"/>
      <c r="NHW47" s="545"/>
      <c r="NHX47" s="544"/>
      <c r="NHY47" s="545"/>
      <c r="NHZ47" s="545"/>
      <c r="NIA47" s="545"/>
      <c r="NIB47" s="545"/>
      <c r="NIC47" s="545"/>
      <c r="NID47" s="545"/>
      <c r="NIE47" s="544"/>
      <c r="NIF47" s="545"/>
      <c r="NIG47" s="545"/>
      <c r="NIH47" s="545"/>
      <c r="NII47" s="545"/>
      <c r="NIJ47" s="545"/>
      <c r="NIK47" s="545"/>
      <c r="NIL47" s="544"/>
      <c r="NIM47" s="545"/>
      <c r="NIN47" s="545"/>
      <c r="NIO47" s="545"/>
      <c r="NIP47" s="545"/>
      <c r="NIQ47" s="545"/>
      <c r="NIR47" s="545"/>
      <c r="NIS47" s="544"/>
      <c r="NIT47" s="545"/>
      <c r="NIU47" s="545"/>
      <c r="NIV47" s="545"/>
      <c r="NIW47" s="545"/>
      <c r="NIX47" s="545"/>
      <c r="NIY47" s="545"/>
      <c r="NIZ47" s="544"/>
      <c r="NJA47" s="545"/>
      <c r="NJB47" s="545"/>
      <c r="NJC47" s="545"/>
      <c r="NJD47" s="545"/>
      <c r="NJE47" s="545"/>
      <c r="NJF47" s="545"/>
      <c r="NJG47" s="544"/>
      <c r="NJH47" s="545"/>
      <c r="NJI47" s="545"/>
      <c r="NJJ47" s="545"/>
      <c r="NJK47" s="545"/>
      <c r="NJL47" s="545"/>
      <c r="NJM47" s="545"/>
      <c r="NJN47" s="544"/>
      <c r="NJO47" s="545"/>
      <c r="NJP47" s="545"/>
      <c r="NJQ47" s="545"/>
      <c r="NJR47" s="545"/>
      <c r="NJS47" s="545"/>
      <c r="NJT47" s="545"/>
      <c r="NJU47" s="544"/>
      <c r="NJV47" s="545"/>
      <c r="NJW47" s="545"/>
      <c r="NJX47" s="545"/>
      <c r="NJY47" s="545"/>
      <c r="NJZ47" s="545"/>
      <c r="NKA47" s="545"/>
      <c r="NKB47" s="544"/>
      <c r="NKC47" s="545"/>
      <c r="NKD47" s="545"/>
      <c r="NKE47" s="545"/>
      <c r="NKF47" s="545"/>
      <c r="NKG47" s="545"/>
      <c r="NKH47" s="545"/>
      <c r="NKI47" s="544"/>
      <c r="NKJ47" s="545"/>
      <c r="NKK47" s="545"/>
      <c r="NKL47" s="545"/>
      <c r="NKM47" s="545"/>
      <c r="NKN47" s="545"/>
      <c r="NKO47" s="545"/>
      <c r="NKP47" s="544"/>
      <c r="NKQ47" s="545"/>
      <c r="NKR47" s="545"/>
      <c r="NKS47" s="545"/>
      <c r="NKT47" s="545"/>
      <c r="NKU47" s="545"/>
      <c r="NKV47" s="545"/>
      <c r="NKW47" s="544"/>
      <c r="NKX47" s="545"/>
      <c r="NKY47" s="545"/>
      <c r="NKZ47" s="545"/>
      <c r="NLA47" s="545"/>
      <c r="NLB47" s="545"/>
      <c r="NLC47" s="545"/>
      <c r="NLD47" s="544"/>
      <c r="NLE47" s="545"/>
      <c r="NLF47" s="545"/>
      <c r="NLG47" s="545"/>
      <c r="NLH47" s="545"/>
      <c r="NLI47" s="545"/>
      <c r="NLJ47" s="545"/>
      <c r="NLK47" s="544"/>
      <c r="NLL47" s="545"/>
      <c r="NLM47" s="545"/>
      <c r="NLN47" s="545"/>
      <c r="NLO47" s="545"/>
      <c r="NLP47" s="545"/>
      <c r="NLQ47" s="545"/>
      <c r="NLR47" s="544"/>
      <c r="NLS47" s="545"/>
      <c r="NLT47" s="545"/>
      <c r="NLU47" s="545"/>
      <c r="NLV47" s="545"/>
      <c r="NLW47" s="545"/>
      <c r="NLX47" s="545"/>
      <c r="NLY47" s="544"/>
      <c r="NLZ47" s="545"/>
      <c r="NMA47" s="545"/>
      <c r="NMB47" s="545"/>
      <c r="NMC47" s="545"/>
      <c r="NMD47" s="545"/>
      <c r="NME47" s="545"/>
      <c r="NMF47" s="544"/>
      <c r="NMG47" s="545"/>
      <c r="NMH47" s="545"/>
      <c r="NMI47" s="545"/>
      <c r="NMJ47" s="545"/>
      <c r="NMK47" s="545"/>
      <c r="NML47" s="545"/>
      <c r="NMM47" s="544"/>
      <c r="NMN47" s="545"/>
      <c r="NMO47" s="545"/>
      <c r="NMP47" s="545"/>
      <c r="NMQ47" s="545"/>
      <c r="NMR47" s="545"/>
      <c r="NMS47" s="545"/>
      <c r="NMT47" s="544"/>
      <c r="NMU47" s="545"/>
      <c r="NMV47" s="545"/>
      <c r="NMW47" s="545"/>
      <c r="NMX47" s="545"/>
      <c r="NMY47" s="545"/>
      <c r="NMZ47" s="545"/>
      <c r="NNA47" s="544"/>
      <c r="NNB47" s="545"/>
      <c r="NNC47" s="545"/>
      <c r="NND47" s="545"/>
      <c r="NNE47" s="545"/>
      <c r="NNF47" s="545"/>
      <c r="NNG47" s="545"/>
      <c r="NNH47" s="544"/>
      <c r="NNI47" s="545"/>
      <c r="NNJ47" s="545"/>
      <c r="NNK47" s="545"/>
      <c r="NNL47" s="545"/>
      <c r="NNM47" s="545"/>
      <c r="NNN47" s="545"/>
      <c r="NNO47" s="544"/>
      <c r="NNP47" s="545"/>
      <c r="NNQ47" s="545"/>
      <c r="NNR47" s="545"/>
      <c r="NNS47" s="545"/>
      <c r="NNT47" s="545"/>
      <c r="NNU47" s="545"/>
      <c r="NNV47" s="544"/>
      <c r="NNW47" s="545"/>
      <c r="NNX47" s="545"/>
      <c r="NNY47" s="545"/>
      <c r="NNZ47" s="545"/>
      <c r="NOA47" s="545"/>
      <c r="NOB47" s="545"/>
      <c r="NOC47" s="544"/>
      <c r="NOD47" s="545"/>
      <c r="NOE47" s="545"/>
      <c r="NOF47" s="545"/>
      <c r="NOG47" s="545"/>
      <c r="NOH47" s="545"/>
      <c r="NOI47" s="545"/>
      <c r="NOJ47" s="544"/>
      <c r="NOK47" s="545"/>
      <c r="NOL47" s="545"/>
      <c r="NOM47" s="545"/>
      <c r="NON47" s="545"/>
      <c r="NOO47" s="545"/>
      <c r="NOP47" s="545"/>
      <c r="NOQ47" s="544"/>
      <c r="NOR47" s="545"/>
      <c r="NOS47" s="545"/>
      <c r="NOT47" s="545"/>
      <c r="NOU47" s="545"/>
      <c r="NOV47" s="545"/>
      <c r="NOW47" s="545"/>
      <c r="NOX47" s="544"/>
      <c r="NOY47" s="545"/>
      <c r="NOZ47" s="545"/>
      <c r="NPA47" s="545"/>
      <c r="NPB47" s="545"/>
      <c r="NPC47" s="545"/>
      <c r="NPD47" s="545"/>
      <c r="NPE47" s="544"/>
      <c r="NPF47" s="545"/>
      <c r="NPG47" s="545"/>
      <c r="NPH47" s="545"/>
      <c r="NPI47" s="545"/>
      <c r="NPJ47" s="545"/>
      <c r="NPK47" s="545"/>
      <c r="NPL47" s="544"/>
      <c r="NPM47" s="545"/>
      <c r="NPN47" s="545"/>
      <c r="NPO47" s="545"/>
      <c r="NPP47" s="545"/>
      <c r="NPQ47" s="545"/>
      <c r="NPR47" s="545"/>
      <c r="NPS47" s="544"/>
      <c r="NPT47" s="545"/>
      <c r="NPU47" s="545"/>
      <c r="NPV47" s="545"/>
      <c r="NPW47" s="545"/>
      <c r="NPX47" s="545"/>
      <c r="NPY47" s="545"/>
      <c r="NPZ47" s="544"/>
      <c r="NQA47" s="545"/>
      <c r="NQB47" s="545"/>
      <c r="NQC47" s="545"/>
      <c r="NQD47" s="545"/>
      <c r="NQE47" s="545"/>
      <c r="NQF47" s="545"/>
      <c r="NQG47" s="544"/>
      <c r="NQH47" s="545"/>
      <c r="NQI47" s="545"/>
      <c r="NQJ47" s="545"/>
      <c r="NQK47" s="545"/>
      <c r="NQL47" s="545"/>
      <c r="NQM47" s="545"/>
      <c r="NQN47" s="544"/>
      <c r="NQO47" s="545"/>
      <c r="NQP47" s="545"/>
      <c r="NQQ47" s="545"/>
      <c r="NQR47" s="545"/>
      <c r="NQS47" s="545"/>
      <c r="NQT47" s="545"/>
      <c r="NQU47" s="544"/>
      <c r="NQV47" s="545"/>
      <c r="NQW47" s="545"/>
      <c r="NQX47" s="545"/>
      <c r="NQY47" s="545"/>
      <c r="NQZ47" s="545"/>
      <c r="NRA47" s="545"/>
      <c r="NRB47" s="544"/>
      <c r="NRC47" s="545"/>
      <c r="NRD47" s="545"/>
      <c r="NRE47" s="545"/>
      <c r="NRF47" s="545"/>
      <c r="NRG47" s="545"/>
      <c r="NRH47" s="545"/>
      <c r="NRI47" s="544"/>
      <c r="NRJ47" s="545"/>
      <c r="NRK47" s="545"/>
      <c r="NRL47" s="545"/>
      <c r="NRM47" s="545"/>
      <c r="NRN47" s="545"/>
      <c r="NRO47" s="545"/>
      <c r="NRP47" s="544"/>
      <c r="NRQ47" s="545"/>
      <c r="NRR47" s="545"/>
      <c r="NRS47" s="545"/>
      <c r="NRT47" s="545"/>
      <c r="NRU47" s="545"/>
      <c r="NRV47" s="545"/>
      <c r="NRW47" s="544"/>
      <c r="NRX47" s="545"/>
      <c r="NRY47" s="545"/>
      <c r="NRZ47" s="545"/>
      <c r="NSA47" s="545"/>
      <c r="NSB47" s="545"/>
      <c r="NSC47" s="545"/>
      <c r="NSD47" s="544"/>
      <c r="NSE47" s="545"/>
      <c r="NSF47" s="545"/>
      <c r="NSG47" s="545"/>
      <c r="NSH47" s="545"/>
      <c r="NSI47" s="545"/>
      <c r="NSJ47" s="545"/>
      <c r="NSK47" s="544"/>
      <c r="NSL47" s="545"/>
      <c r="NSM47" s="545"/>
      <c r="NSN47" s="545"/>
      <c r="NSO47" s="545"/>
      <c r="NSP47" s="545"/>
      <c r="NSQ47" s="545"/>
      <c r="NSR47" s="544"/>
      <c r="NSS47" s="545"/>
      <c r="NST47" s="545"/>
      <c r="NSU47" s="545"/>
      <c r="NSV47" s="545"/>
      <c r="NSW47" s="545"/>
      <c r="NSX47" s="545"/>
      <c r="NSY47" s="544"/>
      <c r="NSZ47" s="545"/>
      <c r="NTA47" s="545"/>
      <c r="NTB47" s="545"/>
      <c r="NTC47" s="545"/>
      <c r="NTD47" s="545"/>
      <c r="NTE47" s="545"/>
      <c r="NTF47" s="544"/>
      <c r="NTG47" s="545"/>
      <c r="NTH47" s="545"/>
      <c r="NTI47" s="545"/>
      <c r="NTJ47" s="545"/>
      <c r="NTK47" s="545"/>
      <c r="NTL47" s="545"/>
      <c r="NTM47" s="544"/>
      <c r="NTN47" s="545"/>
      <c r="NTO47" s="545"/>
      <c r="NTP47" s="545"/>
      <c r="NTQ47" s="545"/>
      <c r="NTR47" s="545"/>
      <c r="NTS47" s="545"/>
      <c r="NTT47" s="544"/>
      <c r="NTU47" s="545"/>
      <c r="NTV47" s="545"/>
      <c r="NTW47" s="545"/>
      <c r="NTX47" s="545"/>
      <c r="NTY47" s="545"/>
      <c r="NTZ47" s="545"/>
      <c r="NUA47" s="544"/>
      <c r="NUB47" s="545"/>
      <c r="NUC47" s="545"/>
      <c r="NUD47" s="545"/>
      <c r="NUE47" s="545"/>
      <c r="NUF47" s="545"/>
      <c r="NUG47" s="545"/>
      <c r="NUH47" s="544"/>
      <c r="NUI47" s="545"/>
      <c r="NUJ47" s="545"/>
      <c r="NUK47" s="545"/>
      <c r="NUL47" s="545"/>
      <c r="NUM47" s="545"/>
      <c r="NUN47" s="545"/>
      <c r="NUO47" s="544"/>
      <c r="NUP47" s="545"/>
      <c r="NUQ47" s="545"/>
      <c r="NUR47" s="545"/>
      <c r="NUS47" s="545"/>
      <c r="NUT47" s="545"/>
      <c r="NUU47" s="545"/>
      <c r="NUV47" s="544"/>
      <c r="NUW47" s="545"/>
      <c r="NUX47" s="545"/>
      <c r="NUY47" s="545"/>
      <c r="NUZ47" s="545"/>
      <c r="NVA47" s="545"/>
      <c r="NVB47" s="545"/>
      <c r="NVC47" s="544"/>
      <c r="NVD47" s="545"/>
      <c r="NVE47" s="545"/>
      <c r="NVF47" s="545"/>
      <c r="NVG47" s="545"/>
      <c r="NVH47" s="545"/>
      <c r="NVI47" s="545"/>
      <c r="NVJ47" s="544"/>
      <c r="NVK47" s="545"/>
      <c r="NVL47" s="545"/>
      <c r="NVM47" s="545"/>
      <c r="NVN47" s="545"/>
      <c r="NVO47" s="545"/>
      <c r="NVP47" s="545"/>
      <c r="NVQ47" s="544"/>
      <c r="NVR47" s="545"/>
      <c r="NVS47" s="545"/>
      <c r="NVT47" s="545"/>
      <c r="NVU47" s="545"/>
      <c r="NVV47" s="545"/>
      <c r="NVW47" s="545"/>
      <c r="NVX47" s="544"/>
      <c r="NVY47" s="545"/>
      <c r="NVZ47" s="545"/>
      <c r="NWA47" s="545"/>
      <c r="NWB47" s="545"/>
      <c r="NWC47" s="545"/>
      <c r="NWD47" s="545"/>
      <c r="NWE47" s="544"/>
      <c r="NWF47" s="545"/>
      <c r="NWG47" s="545"/>
      <c r="NWH47" s="545"/>
      <c r="NWI47" s="545"/>
      <c r="NWJ47" s="545"/>
      <c r="NWK47" s="545"/>
      <c r="NWL47" s="544"/>
      <c r="NWM47" s="545"/>
      <c r="NWN47" s="545"/>
      <c r="NWO47" s="545"/>
      <c r="NWP47" s="545"/>
      <c r="NWQ47" s="545"/>
      <c r="NWR47" s="545"/>
      <c r="NWS47" s="544"/>
      <c r="NWT47" s="545"/>
      <c r="NWU47" s="545"/>
      <c r="NWV47" s="545"/>
      <c r="NWW47" s="545"/>
      <c r="NWX47" s="545"/>
      <c r="NWY47" s="545"/>
      <c r="NWZ47" s="544"/>
      <c r="NXA47" s="545"/>
      <c r="NXB47" s="545"/>
      <c r="NXC47" s="545"/>
      <c r="NXD47" s="545"/>
      <c r="NXE47" s="545"/>
      <c r="NXF47" s="545"/>
      <c r="NXG47" s="544"/>
      <c r="NXH47" s="545"/>
      <c r="NXI47" s="545"/>
      <c r="NXJ47" s="545"/>
      <c r="NXK47" s="545"/>
      <c r="NXL47" s="545"/>
      <c r="NXM47" s="545"/>
      <c r="NXN47" s="544"/>
      <c r="NXO47" s="545"/>
      <c r="NXP47" s="545"/>
      <c r="NXQ47" s="545"/>
      <c r="NXR47" s="545"/>
      <c r="NXS47" s="545"/>
      <c r="NXT47" s="545"/>
      <c r="NXU47" s="544"/>
      <c r="NXV47" s="545"/>
      <c r="NXW47" s="545"/>
      <c r="NXX47" s="545"/>
      <c r="NXY47" s="545"/>
      <c r="NXZ47" s="545"/>
      <c r="NYA47" s="545"/>
      <c r="NYB47" s="544"/>
      <c r="NYC47" s="545"/>
      <c r="NYD47" s="545"/>
      <c r="NYE47" s="545"/>
      <c r="NYF47" s="545"/>
      <c r="NYG47" s="545"/>
      <c r="NYH47" s="545"/>
      <c r="NYI47" s="544"/>
      <c r="NYJ47" s="545"/>
      <c r="NYK47" s="545"/>
      <c r="NYL47" s="545"/>
      <c r="NYM47" s="545"/>
      <c r="NYN47" s="545"/>
      <c r="NYO47" s="545"/>
      <c r="NYP47" s="544"/>
      <c r="NYQ47" s="545"/>
      <c r="NYR47" s="545"/>
      <c r="NYS47" s="545"/>
      <c r="NYT47" s="545"/>
      <c r="NYU47" s="545"/>
      <c r="NYV47" s="545"/>
      <c r="NYW47" s="544"/>
      <c r="NYX47" s="545"/>
      <c r="NYY47" s="545"/>
      <c r="NYZ47" s="545"/>
      <c r="NZA47" s="545"/>
      <c r="NZB47" s="545"/>
      <c r="NZC47" s="545"/>
      <c r="NZD47" s="544"/>
      <c r="NZE47" s="545"/>
      <c r="NZF47" s="545"/>
      <c r="NZG47" s="545"/>
      <c r="NZH47" s="545"/>
      <c r="NZI47" s="545"/>
      <c r="NZJ47" s="545"/>
      <c r="NZK47" s="544"/>
      <c r="NZL47" s="545"/>
      <c r="NZM47" s="545"/>
      <c r="NZN47" s="545"/>
      <c r="NZO47" s="545"/>
      <c r="NZP47" s="545"/>
      <c r="NZQ47" s="545"/>
      <c r="NZR47" s="544"/>
      <c r="NZS47" s="545"/>
      <c r="NZT47" s="545"/>
      <c r="NZU47" s="545"/>
      <c r="NZV47" s="545"/>
      <c r="NZW47" s="545"/>
      <c r="NZX47" s="545"/>
      <c r="NZY47" s="544"/>
      <c r="NZZ47" s="545"/>
      <c r="OAA47" s="545"/>
      <c r="OAB47" s="545"/>
      <c r="OAC47" s="545"/>
      <c r="OAD47" s="545"/>
      <c r="OAE47" s="545"/>
      <c r="OAF47" s="544"/>
      <c r="OAG47" s="545"/>
      <c r="OAH47" s="545"/>
      <c r="OAI47" s="545"/>
      <c r="OAJ47" s="545"/>
      <c r="OAK47" s="545"/>
      <c r="OAL47" s="545"/>
      <c r="OAM47" s="544"/>
      <c r="OAN47" s="545"/>
      <c r="OAO47" s="545"/>
      <c r="OAP47" s="545"/>
      <c r="OAQ47" s="545"/>
      <c r="OAR47" s="545"/>
      <c r="OAS47" s="545"/>
      <c r="OAT47" s="544"/>
      <c r="OAU47" s="545"/>
      <c r="OAV47" s="545"/>
      <c r="OAW47" s="545"/>
      <c r="OAX47" s="545"/>
      <c r="OAY47" s="545"/>
      <c r="OAZ47" s="545"/>
      <c r="OBA47" s="544"/>
      <c r="OBB47" s="545"/>
      <c r="OBC47" s="545"/>
      <c r="OBD47" s="545"/>
      <c r="OBE47" s="545"/>
      <c r="OBF47" s="545"/>
      <c r="OBG47" s="545"/>
      <c r="OBH47" s="544"/>
      <c r="OBI47" s="545"/>
      <c r="OBJ47" s="545"/>
      <c r="OBK47" s="545"/>
      <c r="OBL47" s="545"/>
      <c r="OBM47" s="545"/>
      <c r="OBN47" s="545"/>
      <c r="OBO47" s="544"/>
      <c r="OBP47" s="545"/>
      <c r="OBQ47" s="545"/>
      <c r="OBR47" s="545"/>
      <c r="OBS47" s="545"/>
      <c r="OBT47" s="545"/>
      <c r="OBU47" s="545"/>
      <c r="OBV47" s="544"/>
      <c r="OBW47" s="545"/>
      <c r="OBX47" s="545"/>
      <c r="OBY47" s="545"/>
      <c r="OBZ47" s="545"/>
      <c r="OCA47" s="545"/>
      <c r="OCB47" s="545"/>
      <c r="OCC47" s="544"/>
      <c r="OCD47" s="545"/>
      <c r="OCE47" s="545"/>
      <c r="OCF47" s="545"/>
      <c r="OCG47" s="545"/>
      <c r="OCH47" s="545"/>
      <c r="OCI47" s="545"/>
      <c r="OCJ47" s="544"/>
      <c r="OCK47" s="545"/>
      <c r="OCL47" s="545"/>
      <c r="OCM47" s="545"/>
      <c r="OCN47" s="545"/>
      <c r="OCO47" s="545"/>
      <c r="OCP47" s="545"/>
      <c r="OCQ47" s="544"/>
      <c r="OCR47" s="545"/>
      <c r="OCS47" s="545"/>
      <c r="OCT47" s="545"/>
      <c r="OCU47" s="545"/>
      <c r="OCV47" s="545"/>
      <c r="OCW47" s="545"/>
      <c r="OCX47" s="544"/>
      <c r="OCY47" s="545"/>
      <c r="OCZ47" s="545"/>
      <c r="ODA47" s="545"/>
      <c r="ODB47" s="545"/>
      <c r="ODC47" s="545"/>
      <c r="ODD47" s="545"/>
      <c r="ODE47" s="544"/>
      <c r="ODF47" s="545"/>
      <c r="ODG47" s="545"/>
      <c r="ODH47" s="545"/>
      <c r="ODI47" s="545"/>
      <c r="ODJ47" s="545"/>
      <c r="ODK47" s="545"/>
      <c r="ODL47" s="544"/>
      <c r="ODM47" s="545"/>
      <c r="ODN47" s="545"/>
      <c r="ODO47" s="545"/>
      <c r="ODP47" s="545"/>
      <c r="ODQ47" s="545"/>
      <c r="ODR47" s="545"/>
      <c r="ODS47" s="544"/>
      <c r="ODT47" s="545"/>
      <c r="ODU47" s="545"/>
      <c r="ODV47" s="545"/>
      <c r="ODW47" s="545"/>
      <c r="ODX47" s="545"/>
      <c r="ODY47" s="545"/>
      <c r="ODZ47" s="544"/>
      <c r="OEA47" s="545"/>
      <c r="OEB47" s="545"/>
      <c r="OEC47" s="545"/>
      <c r="OED47" s="545"/>
      <c r="OEE47" s="545"/>
      <c r="OEF47" s="545"/>
      <c r="OEG47" s="544"/>
      <c r="OEH47" s="545"/>
      <c r="OEI47" s="545"/>
      <c r="OEJ47" s="545"/>
      <c r="OEK47" s="545"/>
      <c r="OEL47" s="545"/>
      <c r="OEM47" s="545"/>
      <c r="OEN47" s="544"/>
      <c r="OEO47" s="545"/>
      <c r="OEP47" s="545"/>
      <c r="OEQ47" s="545"/>
      <c r="OER47" s="545"/>
      <c r="OES47" s="545"/>
      <c r="OET47" s="545"/>
      <c r="OEU47" s="544"/>
      <c r="OEV47" s="545"/>
      <c r="OEW47" s="545"/>
      <c r="OEX47" s="545"/>
      <c r="OEY47" s="545"/>
      <c r="OEZ47" s="545"/>
      <c r="OFA47" s="545"/>
      <c r="OFB47" s="544"/>
      <c r="OFC47" s="545"/>
      <c r="OFD47" s="545"/>
      <c r="OFE47" s="545"/>
      <c r="OFF47" s="545"/>
      <c r="OFG47" s="545"/>
      <c r="OFH47" s="545"/>
      <c r="OFI47" s="544"/>
      <c r="OFJ47" s="545"/>
      <c r="OFK47" s="545"/>
      <c r="OFL47" s="545"/>
      <c r="OFM47" s="545"/>
      <c r="OFN47" s="545"/>
      <c r="OFO47" s="545"/>
      <c r="OFP47" s="544"/>
      <c r="OFQ47" s="545"/>
      <c r="OFR47" s="545"/>
      <c r="OFS47" s="545"/>
      <c r="OFT47" s="545"/>
      <c r="OFU47" s="545"/>
      <c r="OFV47" s="545"/>
      <c r="OFW47" s="544"/>
      <c r="OFX47" s="545"/>
      <c r="OFY47" s="545"/>
      <c r="OFZ47" s="545"/>
      <c r="OGA47" s="545"/>
      <c r="OGB47" s="545"/>
      <c r="OGC47" s="545"/>
      <c r="OGD47" s="544"/>
      <c r="OGE47" s="545"/>
      <c r="OGF47" s="545"/>
      <c r="OGG47" s="545"/>
      <c r="OGH47" s="545"/>
      <c r="OGI47" s="545"/>
      <c r="OGJ47" s="545"/>
      <c r="OGK47" s="544"/>
      <c r="OGL47" s="545"/>
      <c r="OGM47" s="545"/>
      <c r="OGN47" s="545"/>
      <c r="OGO47" s="545"/>
      <c r="OGP47" s="545"/>
      <c r="OGQ47" s="545"/>
      <c r="OGR47" s="544"/>
      <c r="OGS47" s="545"/>
      <c r="OGT47" s="545"/>
      <c r="OGU47" s="545"/>
      <c r="OGV47" s="545"/>
      <c r="OGW47" s="545"/>
      <c r="OGX47" s="545"/>
      <c r="OGY47" s="544"/>
      <c r="OGZ47" s="545"/>
      <c r="OHA47" s="545"/>
      <c r="OHB47" s="545"/>
      <c r="OHC47" s="545"/>
      <c r="OHD47" s="545"/>
      <c r="OHE47" s="545"/>
      <c r="OHF47" s="544"/>
      <c r="OHG47" s="545"/>
      <c r="OHH47" s="545"/>
      <c r="OHI47" s="545"/>
      <c r="OHJ47" s="545"/>
      <c r="OHK47" s="545"/>
      <c r="OHL47" s="545"/>
      <c r="OHM47" s="544"/>
      <c r="OHN47" s="545"/>
      <c r="OHO47" s="545"/>
      <c r="OHP47" s="545"/>
      <c r="OHQ47" s="545"/>
      <c r="OHR47" s="545"/>
      <c r="OHS47" s="545"/>
      <c r="OHT47" s="544"/>
      <c r="OHU47" s="545"/>
      <c r="OHV47" s="545"/>
      <c r="OHW47" s="545"/>
      <c r="OHX47" s="545"/>
      <c r="OHY47" s="545"/>
      <c r="OHZ47" s="545"/>
      <c r="OIA47" s="544"/>
      <c r="OIB47" s="545"/>
      <c r="OIC47" s="545"/>
      <c r="OID47" s="545"/>
      <c r="OIE47" s="545"/>
      <c r="OIF47" s="545"/>
      <c r="OIG47" s="545"/>
      <c r="OIH47" s="544"/>
      <c r="OII47" s="545"/>
      <c r="OIJ47" s="545"/>
      <c r="OIK47" s="545"/>
      <c r="OIL47" s="545"/>
      <c r="OIM47" s="545"/>
      <c r="OIN47" s="545"/>
      <c r="OIO47" s="544"/>
      <c r="OIP47" s="545"/>
      <c r="OIQ47" s="545"/>
      <c r="OIR47" s="545"/>
      <c r="OIS47" s="545"/>
      <c r="OIT47" s="545"/>
      <c r="OIU47" s="545"/>
      <c r="OIV47" s="544"/>
      <c r="OIW47" s="545"/>
      <c r="OIX47" s="545"/>
      <c r="OIY47" s="545"/>
      <c r="OIZ47" s="545"/>
      <c r="OJA47" s="545"/>
      <c r="OJB47" s="545"/>
      <c r="OJC47" s="544"/>
      <c r="OJD47" s="545"/>
      <c r="OJE47" s="545"/>
      <c r="OJF47" s="545"/>
      <c r="OJG47" s="545"/>
      <c r="OJH47" s="545"/>
      <c r="OJI47" s="545"/>
      <c r="OJJ47" s="544"/>
      <c r="OJK47" s="545"/>
      <c r="OJL47" s="545"/>
      <c r="OJM47" s="545"/>
      <c r="OJN47" s="545"/>
      <c r="OJO47" s="545"/>
      <c r="OJP47" s="545"/>
      <c r="OJQ47" s="544"/>
      <c r="OJR47" s="545"/>
      <c r="OJS47" s="545"/>
      <c r="OJT47" s="545"/>
      <c r="OJU47" s="545"/>
      <c r="OJV47" s="545"/>
      <c r="OJW47" s="545"/>
      <c r="OJX47" s="544"/>
      <c r="OJY47" s="545"/>
      <c r="OJZ47" s="545"/>
      <c r="OKA47" s="545"/>
      <c r="OKB47" s="545"/>
      <c r="OKC47" s="545"/>
      <c r="OKD47" s="545"/>
      <c r="OKE47" s="544"/>
      <c r="OKF47" s="545"/>
      <c r="OKG47" s="545"/>
      <c r="OKH47" s="545"/>
      <c r="OKI47" s="545"/>
      <c r="OKJ47" s="545"/>
      <c r="OKK47" s="545"/>
      <c r="OKL47" s="544"/>
      <c r="OKM47" s="545"/>
      <c r="OKN47" s="545"/>
      <c r="OKO47" s="545"/>
      <c r="OKP47" s="545"/>
      <c r="OKQ47" s="545"/>
      <c r="OKR47" s="545"/>
      <c r="OKS47" s="544"/>
      <c r="OKT47" s="545"/>
      <c r="OKU47" s="545"/>
      <c r="OKV47" s="545"/>
      <c r="OKW47" s="545"/>
      <c r="OKX47" s="545"/>
      <c r="OKY47" s="545"/>
      <c r="OKZ47" s="544"/>
      <c r="OLA47" s="545"/>
      <c r="OLB47" s="545"/>
      <c r="OLC47" s="545"/>
      <c r="OLD47" s="545"/>
      <c r="OLE47" s="545"/>
      <c r="OLF47" s="545"/>
      <c r="OLG47" s="544"/>
      <c r="OLH47" s="545"/>
      <c r="OLI47" s="545"/>
      <c r="OLJ47" s="545"/>
      <c r="OLK47" s="545"/>
      <c r="OLL47" s="545"/>
      <c r="OLM47" s="545"/>
      <c r="OLN47" s="544"/>
      <c r="OLO47" s="545"/>
      <c r="OLP47" s="545"/>
      <c r="OLQ47" s="545"/>
      <c r="OLR47" s="545"/>
      <c r="OLS47" s="545"/>
      <c r="OLT47" s="545"/>
      <c r="OLU47" s="544"/>
      <c r="OLV47" s="545"/>
      <c r="OLW47" s="545"/>
      <c r="OLX47" s="545"/>
      <c r="OLY47" s="545"/>
      <c r="OLZ47" s="545"/>
      <c r="OMA47" s="545"/>
      <c r="OMB47" s="544"/>
      <c r="OMC47" s="545"/>
      <c r="OMD47" s="545"/>
      <c r="OME47" s="545"/>
      <c r="OMF47" s="545"/>
      <c r="OMG47" s="545"/>
      <c r="OMH47" s="545"/>
      <c r="OMI47" s="544"/>
      <c r="OMJ47" s="545"/>
      <c r="OMK47" s="545"/>
      <c r="OML47" s="545"/>
      <c r="OMM47" s="545"/>
      <c r="OMN47" s="545"/>
      <c r="OMO47" s="545"/>
      <c r="OMP47" s="544"/>
      <c r="OMQ47" s="545"/>
      <c r="OMR47" s="545"/>
      <c r="OMS47" s="545"/>
      <c r="OMT47" s="545"/>
      <c r="OMU47" s="545"/>
      <c r="OMV47" s="545"/>
      <c r="OMW47" s="544"/>
      <c r="OMX47" s="545"/>
      <c r="OMY47" s="545"/>
      <c r="OMZ47" s="545"/>
      <c r="ONA47" s="545"/>
      <c r="ONB47" s="545"/>
      <c r="ONC47" s="545"/>
      <c r="OND47" s="544"/>
      <c r="ONE47" s="545"/>
      <c r="ONF47" s="545"/>
      <c r="ONG47" s="545"/>
      <c r="ONH47" s="545"/>
      <c r="ONI47" s="545"/>
      <c r="ONJ47" s="545"/>
      <c r="ONK47" s="544"/>
      <c r="ONL47" s="545"/>
      <c r="ONM47" s="545"/>
      <c r="ONN47" s="545"/>
      <c r="ONO47" s="545"/>
      <c r="ONP47" s="545"/>
      <c r="ONQ47" s="545"/>
      <c r="ONR47" s="544"/>
      <c r="ONS47" s="545"/>
      <c r="ONT47" s="545"/>
      <c r="ONU47" s="545"/>
      <c r="ONV47" s="545"/>
      <c r="ONW47" s="545"/>
      <c r="ONX47" s="545"/>
      <c r="ONY47" s="544"/>
      <c r="ONZ47" s="545"/>
      <c r="OOA47" s="545"/>
      <c r="OOB47" s="545"/>
      <c r="OOC47" s="545"/>
      <c r="OOD47" s="545"/>
      <c r="OOE47" s="545"/>
      <c r="OOF47" s="544"/>
      <c r="OOG47" s="545"/>
      <c r="OOH47" s="545"/>
      <c r="OOI47" s="545"/>
      <c r="OOJ47" s="545"/>
      <c r="OOK47" s="545"/>
      <c r="OOL47" s="545"/>
      <c r="OOM47" s="544"/>
      <c r="OON47" s="545"/>
      <c r="OOO47" s="545"/>
      <c r="OOP47" s="545"/>
      <c r="OOQ47" s="545"/>
      <c r="OOR47" s="545"/>
      <c r="OOS47" s="545"/>
      <c r="OOT47" s="544"/>
      <c r="OOU47" s="545"/>
      <c r="OOV47" s="545"/>
      <c r="OOW47" s="545"/>
      <c r="OOX47" s="545"/>
      <c r="OOY47" s="545"/>
      <c r="OOZ47" s="545"/>
      <c r="OPA47" s="544"/>
      <c r="OPB47" s="545"/>
      <c r="OPC47" s="545"/>
      <c r="OPD47" s="545"/>
      <c r="OPE47" s="545"/>
      <c r="OPF47" s="545"/>
      <c r="OPG47" s="545"/>
      <c r="OPH47" s="544"/>
      <c r="OPI47" s="545"/>
      <c r="OPJ47" s="545"/>
      <c r="OPK47" s="545"/>
      <c r="OPL47" s="545"/>
      <c r="OPM47" s="545"/>
      <c r="OPN47" s="545"/>
      <c r="OPO47" s="544"/>
      <c r="OPP47" s="545"/>
      <c r="OPQ47" s="545"/>
      <c r="OPR47" s="545"/>
      <c r="OPS47" s="545"/>
      <c r="OPT47" s="545"/>
      <c r="OPU47" s="545"/>
      <c r="OPV47" s="544"/>
      <c r="OPW47" s="545"/>
      <c r="OPX47" s="545"/>
      <c r="OPY47" s="545"/>
      <c r="OPZ47" s="545"/>
      <c r="OQA47" s="545"/>
      <c r="OQB47" s="545"/>
      <c r="OQC47" s="544"/>
      <c r="OQD47" s="545"/>
      <c r="OQE47" s="545"/>
      <c r="OQF47" s="545"/>
      <c r="OQG47" s="545"/>
      <c r="OQH47" s="545"/>
      <c r="OQI47" s="545"/>
      <c r="OQJ47" s="544"/>
      <c r="OQK47" s="545"/>
      <c r="OQL47" s="545"/>
      <c r="OQM47" s="545"/>
      <c r="OQN47" s="545"/>
      <c r="OQO47" s="545"/>
      <c r="OQP47" s="545"/>
      <c r="OQQ47" s="544"/>
      <c r="OQR47" s="545"/>
      <c r="OQS47" s="545"/>
      <c r="OQT47" s="545"/>
      <c r="OQU47" s="545"/>
      <c r="OQV47" s="545"/>
      <c r="OQW47" s="545"/>
      <c r="OQX47" s="544"/>
      <c r="OQY47" s="545"/>
      <c r="OQZ47" s="545"/>
      <c r="ORA47" s="545"/>
      <c r="ORB47" s="545"/>
      <c r="ORC47" s="545"/>
      <c r="ORD47" s="545"/>
      <c r="ORE47" s="544"/>
      <c r="ORF47" s="545"/>
      <c r="ORG47" s="545"/>
      <c r="ORH47" s="545"/>
      <c r="ORI47" s="545"/>
      <c r="ORJ47" s="545"/>
      <c r="ORK47" s="545"/>
      <c r="ORL47" s="544"/>
      <c r="ORM47" s="545"/>
      <c r="ORN47" s="545"/>
      <c r="ORO47" s="545"/>
      <c r="ORP47" s="545"/>
      <c r="ORQ47" s="545"/>
      <c r="ORR47" s="545"/>
      <c r="ORS47" s="544"/>
      <c r="ORT47" s="545"/>
      <c r="ORU47" s="545"/>
      <c r="ORV47" s="545"/>
      <c r="ORW47" s="545"/>
      <c r="ORX47" s="545"/>
      <c r="ORY47" s="545"/>
      <c r="ORZ47" s="544"/>
      <c r="OSA47" s="545"/>
      <c r="OSB47" s="545"/>
      <c r="OSC47" s="545"/>
      <c r="OSD47" s="545"/>
      <c r="OSE47" s="545"/>
      <c r="OSF47" s="545"/>
      <c r="OSG47" s="544"/>
      <c r="OSH47" s="545"/>
      <c r="OSI47" s="545"/>
      <c r="OSJ47" s="545"/>
      <c r="OSK47" s="545"/>
      <c r="OSL47" s="545"/>
      <c r="OSM47" s="545"/>
      <c r="OSN47" s="544"/>
      <c r="OSO47" s="545"/>
      <c r="OSP47" s="545"/>
      <c r="OSQ47" s="545"/>
      <c r="OSR47" s="545"/>
      <c r="OSS47" s="545"/>
      <c r="OST47" s="545"/>
      <c r="OSU47" s="544"/>
      <c r="OSV47" s="545"/>
      <c r="OSW47" s="545"/>
      <c r="OSX47" s="545"/>
      <c r="OSY47" s="545"/>
      <c r="OSZ47" s="545"/>
      <c r="OTA47" s="545"/>
      <c r="OTB47" s="544"/>
      <c r="OTC47" s="545"/>
      <c r="OTD47" s="545"/>
      <c r="OTE47" s="545"/>
      <c r="OTF47" s="545"/>
      <c r="OTG47" s="545"/>
      <c r="OTH47" s="545"/>
      <c r="OTI47" s="544"/>
      <c r="OTJ47" s="545"/>
      <c r="OTK47" s="545"/>
      <c r="OTL47" s="545"/>
      <c r="OTM47" s="545"/>
      <c r="OTN47" s="545"/>
      <c r="OTO47" s="545"/>
      <c r="OTP47" s="544"/>
      <c r="OTQ47" s="545"/>
      <c r="OTR47" s="545"/>
      <c r="OTS47" s="545"/>
      <c r="OTT47" s="545"/>
      <c r="OTU47" s="545"/>
      <c r="OTV47" s="545"/>
      <c r="OTW47" s="544"/>
      <c r="OTX47" s="545"/>
      <c r="OTY47" s="545"/>
      <c r="OTZ47" s="545"/>
      <c r="OUA47" s="545"/>
      <c r="OUB47" s="545"/>
      <c r="OUC47" s="545"/>
      <c r="OUD47" s="544"/>
      <c r="OUE47" s="545"/>
      <c r="OUF47" s="545"/>
      <c r="OUG47" s="545"/>
      <c r="OUH47" s="545"/>
      <c r="OUI47" s="545"/>
      <c r="OUJ47" s="545"/>
      <c r="OUK47" s="544"/>
      <c r="OUL47" s="545"/>
      <c r="OUM47" s="545"/>
      <c r="OUN47" s="545"/>
      <c r="OUO47" s="545"/>
      <c r="OUP47" s="545"/>
      <c r="OUQ47" s="545"/>
      <c r="OUR47" s="544"/>
      <c r="OUS47" s="545"/>
      <c r="OUT47" s="545"/>
      <c r="OUU47" s="545"/>
      <c r="OUV47" s="545"/>
      <c r="OUW47" s="545"/>
      <c r="OUX47" s="545"/>
      <c r="OUY47" s="544"/>
      <c r="OUZ47" s="545"/>
      <c r="OVA47" s="545"/>
      <c r="OVB47" s="545"/>
      <c r="OVC47" s="545"/>
      <c r="OVD47" s="545"/>
      <c r="OVE47" s="545"/>
      <c r="OVF47" s="544"/>
      <c r="OVG47" s="545"/>
      <c r="OVH47" s="545"/>
      <c r="OVI47" s="545"/>
      <c r="OVJ47" s="545"/>
      <c r="OVK47" s="545"/>
      <c r="OVL47" s="545"/>
      <c r="OVM47" s="544"/>
      <c r="OVN47" s="545"/>
      <c r="OVO47" s="545"/>
      <c r="OVP47" s="545"/>
      <c r="OVQ47" s="545"/>
      <c r="OVR47" s="545"/>
      <c r="OVS47" s="545"/>
      <c r="OVT47" s="544"/>
      <c r="OVU47" s="545"/>
      <c r="OVV47" s="545"/>
      <c r="OVW47" s="545"/>
      <c r="OVX47" s="545"/>
      <c r="OVY47" s="545"/>
      <c r="OVZ47" s="545"/>
      <c r="OWA47" s="544"/>
      <c r="OWB47" s="545"/>
      <c r="OWC47" s="545"/>
      <c r="OWD47" s="545"/>
      <c r="OWE47" s="545"/>
      <c r="OWF47" s="545"/>
      <c r="OWG47" s="545"/>
      <c r="OWH47" s="544"/>
      <c r="OWI47" s="545"/>
      <c r="OWJ47" s="545"/>
      <c r="OWK47" s="545"/>
      <c r="OWL47" s="545"/>
      <c r="OWM47" s="545"/>
      <c r="OWN47" s="545"/>
      <c r="OWO47" s="544"/>
      <c r="OWP47" s="545"/>
      <c r="OWQ47" s="545"/>
      <c r="OWR47" s="545"/>
      <c r="OWS47" s="545"/>
      <c r="OWT47" s="545"/>
      <c r="OWU47" s="545"/>
      <c r="OWV47" s="544"/>
      <c r="OWW47" s="545"/>
      <c r="OWX47" s="545"/>
      <c r="OWY47" s="545"/>
      <c r="OWZ47" s="545"/>
      <c r="OXA47" s="545"/>
      <c r="OXB47" s="545"/>
      <c r="OXC47" s="544"/>
      <c r="OXD47" s="545"/>
      <c r="OXE47" s="545"/>
      <c r="OXF47" s="545"/>
      <c r="OXG47" s="545"/>
      <c r="OXH47" s="545"/>
      <c r="OXI47" s="545"/>
      <c r="OXJ47" s="544"/>
      <c r="OXK47" s="545"/>
      <c r="OXL47" s="545"/>
      <c r="OXM47" s="545"/>
      <c r="OXN47" s="545"/>
      <c r="OXO47" s="545"/>
      <c r="OXP47" s="545"/>
      <c r="OXQ47" s="544"/>
      <c r="OXR47" s="545"/>
      <c r="OXS47" s="545"/>
      <c r="OXT47" s="545"/>
      <c r="OXU47" s="545"/>
      <c r="OXV47" s="545"/>
      <c r="OXW47" s="545"/>
      <c r="OXX47" s="544"/>
      <c r="OXY47" s="545"/>
      <c r="OXZ47" s="545"/>
      <c r="OYA47" s="545"/>
      <c r="OYB47" s="545"/>
      <c r="OYC47" s="545"/>
      <c r="OYD47" s="545"/>
      <c r="OYE47" s="544"/>
      <c r="OYF47" s="545"/>
      <c r="OYG47" s="545"/>
      <c r="OYH47" s="545"/>
      <c r="OYI47" s="545"/>
      <c r="OYJ47" s="545"/>
      <c r="OYK47" s="545"/>
      <c r="OYL47" s="544"/>
      <c r="OYM47" s="545"/>
      <c r="OYN47" s="545"/>
      <c r="OYO47" s="545"/>
      <c r="OYP47" s="545"/>
      <c r="OYQ47" s="545"/>
      <c r="OYR47" s="545"/>
      <c r="OYS47" s="544"/>
      <c r="OYT47" s="545"/>
      <c r="OYU47" s="545"/>
      <c r="OYV47" s="545"/>
      <c r="OYW47" s="545"/>
      <c r="OYX47" s="545"/>
      <c r="OYY47" s="545"/>
      <c r="OYZ47" s="544"/>
      <c r="OZA47" s="545"/>
      <c r="OZB47" s="545"/>
      <c r="OZC47" s="545"/>
      <c r="OZD47" s="545"/>
      <c r="OZE47" s="545"/>
      <c r="OZF47" s="545"/>
      <c r="OZG47" s="544"/>
      <c r="OZH47" s="545"/>
      <c r="OZI47" s="545"/>
      <c r="OZJ47" s="545"/>
      <c r="OZK47" s="545"/>
      <c r="OZL47" s="545"/>
      <c r="OZM47" s="545"/>
      <c r="OZN47" s="544"/>
      <c r="OZO47" s="545"/>
      <c r="OZP47" s="545"/>
      <c r="OZQ47" s="545"/>
      <c r="OZR47" s="545"/>
      <c r="OZS47" s="545"/>
      <c r="OZT47" s="545"/>
      <c r="OZU47" s="544"/>
      <c r="OZV47" s="545"/>
      <c r="OZW47" s="545"/>
      <c r="OZX47" s="545"/>
      <c r="OZY47" s="545"/>
      <c r="OZZ47" s="545"/>
      <c r="PAA47" s="545"/>
      <c r="PAB47" s="544"/>
      <c r="PAC47" s="545"/>
      <c r="PAD47" s="545"/>
      <c r="PAE47" s="545"/>
      <c r="PAF47" s="545"/>
      <c r="PAG47" s="545"/>
      <c r="PAH47" s="545"/>
      <c r="PAI47" s="544"/>
      <c r="PAJ47" s="545"/>
      <c r="PAK47" s="545"/>
      <c r="PAL47" s="545"/>
      <c r="PAM47" s="545"/>
      <c r="PAN47" s="545"/>
      <c r="PAO47" s="545"/>
      <c r="PAP47" s="544"/>
      <c r="PAQ47" s="545"/>
      <c r="PAR47" s="545"/>
      <c r="PAS47" s="545"/>
      <c r="PAT47" s="545"/>
      <c r="PAU47" s="545"/>
      <c r="PAV47" s="545"/>
      <c r="PAW47" s="544"/>
      <c r="PAX47" s="545"/>
      <c r="PAY47" s="545"/>
      <c r="PAZ47" s="545"/>
      <c r="PBA47" s="545"/>
      <c r="PBB47" s="545"/>
      <c r="PBC47" s="545"/>
      <c r="PBD47" s="544"/>
      <c r="PBE47" s="545"/>
      <c r="PBF47" s="545"/>
      <c r="PBG47" s="545"/>
      <c r="PBH47" s="545"/>
      <c r="PBI47" s="545"/>
      <c r="PBJ47" s="545"/>
      <c r="PBK47" s="544"/>
      <c r="PBL47" s="545"/>
      <c r="PBM47" s="545"/>
      <c r="PBN47" s="545"/>
      <c r="PBO47" s="545"/>
      <c r="PBP47" s="545"/>
      <c r="PBQ47" s="545"/>
      <c r="PBR47" s="544"/>
      <c r="PBS47" s="545"/>
      <c r="PBT47" s="545"/>
      <c r="PBU47" s="545"/>
      <c r="PBV47" s="545"/>
      <c r="PBW47" s="545"/>
      <c r="PBX47" s="545"/>
      <c r="PBY47" s="544"/>
      <c r="PBZ47" s="545"/>
      <c r="PCA47" s="545"/>
      <c r="PCB47" s="545"/>
      <c r="PCC47" s="545"/>
      <c r="PCD47" s="545"/>
      <c r="PCE47" s="545"/>
      <c r="PCF47" s="544"/>
      <c r="PCG47" s="545"/>
      <c r="PCH47" s="545"/>
      <c r="PCI47" s="545"/>
      <c r="PCJ47" s="545"/>
      <c r="PCK47" s="545"/>
      <c r="PCL47" s="545"/>
      <c r="PCM47" s="544"/>
      <c r="PCN47" s="545"/>
      <c r="PCO47" s="545"/>
      <c r="PCP47" s="545"/>
      <c r="PCQ47" s="545"/>
      <c r="PCR47" s="545"/>
      <c r="PCS47" s="545"/>
      <c r="PCT47" s="544"/>
      <c r="PCU47" s="545"/>
      <c r="PCV47" s="545"/>
      <c r="PCW47" s="545"/>
      <c r="PCX47" s="545"/>
      <c r="PCY47" s="545"/>
      <c r="PCZ47" s="545"/>
      <c r="PDA47" s="544"/>
      <c r="PDB47" s="545"/>
      <c r="PDC47" s="545"/>
      <c r="PDD47" s="545"/>
      <c r="PDE47" s="545"/>
      <c r="PDF47" s="545"/>
      <c r="PDG47" s="545"/>
      <c r="PDH47" s="544"/>
      <c r="PDI47" s="545"/>
      <c r="PDJ47" s="545"/>
      <c r="PDK47" s="545"/>
      <c r="PDL47" s="545"/>
      <c r="PDM47" s="545"/>
      <c r="PDN47" s="545"/>
      <c r="PDO47" s="544"/>
      <c r="PDP47" s="545"/>
      <c r="PDQ47" s="545"/>
      <c r="PDR47" s="545"/>
      <c r="PDS47" s="545"/>
      <c r="PDT47" s="545"/>
      <c r="PDU47" s="545"/>
      <c r="PDV47" s="544"/>
      <c r="PDW47" s="545"/>
      <c r="PDX47" s="545"/>
      <c r="PDY47" s="545"/>
      <c r="PDZ47" s="545"/>
      <c r="PEA47" s="545"/>
      <c r="PEB47" s="545"/>
      <c r="PEC47" s="544"/>
      <c r="PED47" s="545"/>
      <c r="PEE47" s="545"/>
      <c r="PEF47" s="545"/>
      <c r="PEG47" s="545"/>
      <c r="PEH47" s="545"/>
      <c r="PEI47" s="545"/>
      <c r="PEJ47" s="544"/>
      <c r="PEK47" s="545"/>
      <c r="PEL47" s="545"/>
      <c r="PEM47" s="545"/>
      <c r="PEN47" s="545"/>
      <c r="PEO47" s="545"/>
      <c r="PEP47" s="545"/>
      <c r="PEQ47" s="544"/>
      <c r="PER47" s="545"/>
      <c r="PES47" s="545"/>
      <c r="PET47" s="545"/>
      <c r="PEU47" s="545"/>
      <c r="PEV47" s="545"/>
      <c r="PEW47" s="545"/>
      <c r="PEX47" s="544"/>
      <c r="PEY47" s="545"/>
      <c r="PEZ47" s="545"/>
      <c r="PFA47" s="545"/>
      <c r="PFB47" s="545"/>
      <c r="PFC47" s="545"/>
      <c r="PFD47" s="545"/>
      <c r="PFE47" s="544"/>
      <c r="PFF47" s="545"/>
      <c r="PFG47" s="545"/>
      <c r="PFH47" s="545"/>
      <c r="PFI47" s="545"/>
      <c r="PFJ47" s="545"/>
      <c r="PFK47" s="545"/>
      <c r="PFL47" s="544"/>
      <c r="PFM47" s="545"/>
      <c r="PFN47" s="545"/>
      <c r="PFO47" s="545"/>
      <c r="PFP47" s="545"/>
      <c r="PFQ47" s="545"/>
      <c r="PFR47" s="545"/>
      <c r="PFS47" s="544"/>
      <c r="PFT47" s="545"/>
      <c r="PFU47" s="545"/>
      <c r="PFV47" s="545"/>
      <c r="PFW47" s="545"/>
      <c r="PFX47" s="545"/>
      <c r="PFY47" s="545"/>
      <c r="PFZ47" s="544"/>
      <c r="PGA47" s="545"/>
      <c r="PGB47" s="545"/>
      <c r="PGC47" s="545"/>
      <c r="PGD47" s="545"/>
      <c r="PGE47" s="545"/>
      <c r="PGF47" s="545"/>
      <c r="PGG47" s="544"/>
      <c r="PGH47" s="545"/>
      <c r="PGI47" s="545"/>
      <c r="PGJ47" s="545"/>
      <c r="PGK47" s="545"/>
      <c r="PGL47" s="545"/>
      <c r="PGM47" s="545"/>
      <c r="PGN47" s="544"/>
      <c r="PGO47" s="545"/>
      <c r="PGP47" s="545"/>
      <c r="PGQ47" s="545"/>
      <c r="PGR47" s="545"/>
      <c r="PGS47" s="545"/>
      <c r="PGT47" s="545"/>
      <c r="PGU47" s="544"/>
      <c r="PGV47" s="545"/>
      <c r="PGW47" s="545"/>
      <c r="PGX47" s="545"/>
      <c r="PGY47" s="545"/>
      <c r="PGZ47" s="545"/>
      <c r="PHA47" s="545"/>
      <c r="PHB47" s="544"/>
      <c r="PHC47" s="545"/>
      <c r="PHD47" s="545"/>
      <c r="PHE47" s="545"/>
      <c r="PHF47" s="545"/>
      <c r="PHG47" s="545"/>
      <c r="PHH47" s="545"/>
      <c r="PHI47" s="544"/>
      <c r="PHJ47" s="545"/>
      <c r="PHK47" s="545"/>
      <c r="PHL47" s="545"/>
      <c r="PHM47" s="545"/>
      <c r="PHN47" s="545"/>
      <c r="PHO47" s="545"/>
      <c r="PHP47" s="544"/>
      <c r="PHQ47" s="545"/>
      <c r="PHR47" s="545"/>
      <c r="PHS47" s="545"/>
      <c r="PHT47" s="545"/>
      <c r="PHU47" s="545"/>
      <c r="PHV47" s="545"/>
      <c r="PHW47" s="544"/>
      <c r="PHX47" s="545"/>
      <c r="PHY47" s="545"/>
      <c r="PHZ47" s="545"/>
      <c r="PIA47" s="545"/>
      <c r="PIB47" s="545"/>
      <c r="PIC47" s="545"/>
      <c r="PID47" s="544"/>
      <c r="PIE47" s="545"/>
      <c r="PIF47" s="545"/>
      <c r="PIG47" s="545"/>
      <c r="PIH47" s="545"/>
      <c r="PII47" s="545"/>
      <c r="PIJ47" s="545"/>
      <c r="PIK47" s="544"/>
      <c r="PIL47" s="545"/>
      <c r="PIM47" s="545"/>
      <c r="PIN47" s="545"/>
      <c r="PIO47" s="545"/>
      <c r="PIP47" s="545"/>
      <c r="PIQ47" s="545"/>
      <c r="PIR47" s="544"/>
      <c r="PIS47" s="545"/>
      <c r="PIT47" s="545"/>
      <c r="PIU47" s="545"/>
      <c r="PIV47" s="545"/>
      <c r="PIW47" s="545"/>
      <c r="PIX47" s="545"/>
      <c r="PIY47" s="544"/>
      <c r="PIZ47" s="545"/>
      <c r="PJA47" s="545"/>
      <c r="PJB47" s="545"/>
      <c r="PJC47" s="545"/>
      <c r="PJD47" s="545"/>
      <c r="PJE47" s="545"/>
      <c r="PJF47" s="544"/>
      <c r="PJG47" s="545"/>
      <c r="PJH47" s="545"/>
      <c r="PJI47" s="545"/>
      <c r="PJJ47" s="545"/>
      <c r="PJK47" s="545"/>
      <c r="PJL47" s="545"/>
      <c r="PJM47" s="544"/>
      <c r="PJN47" s="545"/>
      <c r="PJO47" s="545"/>
      <c r="PJP47" s="545"/>
      <c r="PJQ47" s="545"/>
      <c r="PJR47" s="545"/>
      <c r="PJS47" s="545"/>
      <c r="PJT47" s="544"/>
      <c r="PJU47" s="545"/>
      <c r="PJV47" s="545"/>
      <c r="PJW47" s="545"/>
      <c r="PJX47" s="545"/>
      <c r="PJY47" s="545"/>
      <c r="PJZ47" s="545"/>
      <c r="PKA47" s="544"/>
      <c r="PKB47" s="545"/>
      <c r="PKC47" s="545"/>
      <c r="PKD47" s="545"/>
      <c r="PKE47" s="545"/>
      <c r="PKF47" s="545"/>
      <c r="PKG47" s="545"/>
      <c r="PKH47" s="544"/>
      <c r="PKI47" s="545"/>
      <c r="PKJ47" s="545"/>
      <c r="PKK47" s="545"/>
      <c r="PKL47" s="545"/>
      <c r="PKM47" s="545"/>
      <c r="PKN47" s="545"/>
      <c r="PKO47" s="544"/>
      <c r="PKP47" s="545"/>
      <c r="PKQ47" s="545"/>
      <c r="PKR47" s="545"/>
      <c r="PKS47" s="545"/>
      <c r="PKT47" s="545"/>
      <c r="PKU47" s="545"/>
      <c r="PKV47" s="544"/>
      <c r="PKW47" s="545"/>
      <c r="PKX47" s="545"/>
      <c r="PKY47" s="545"/>
      <c r="PKZ47" s="545"/>
      <c r="PLA47" s="545"/>
      <c r="PLB47" s="545"/>
      <c r="PLC47" s="544"/>
      <c r="PLD47" s="545"/>
      <c r="PLE47" s="545"/>
      <c r="PLF47" s="545"/>
      <c r="PLG47" s="545"/>
      <c r="PLH47" s="545"/>
      <c r="PLI47" s="545"/>
      <c r="PLJ47" s="544"/>
      <c r="PLK47" s="545"/>
      <c r="PLL47" s="545"/>
      <c r="PLM47" s="545"/>
      <c r="PLN47" s="545"/>
      <c r="PLO47" s="545"/>
      <c r="PLP47" s="545"/>
      <c r="PLQ47" s="544"/>
      <c r="PLR47" s="545"/>
      <c r="PLS47" s="545"/>
      <c r="PLT47" s="545"/>
      <c r="PLU47" s="545"/>
      <c r="PLV47" s="545"/>
      <c r="PLW47" s="545"/>
      <c r="PLX47" s="544"/>
      <c r="PLY47" s="545"/>
      <c r="PLZ47" s="545"/>
      <c r="PMA47" s="545"/>
      <c r="PMB47" s="545"/>
      <c r="PMC47" s="545"/>
      <c r="PMD47" s="545"/>
      <c r="PME47" s="544"/>
      <c r="PMF47" s="545"/>
      <c r="PMG47" s="545"/>
      <c r="PMH47" s="545"/>
      <c r="PMI47" s="545"/>
      <c r="PMJ47" s="545"/>
      <c r="PMK47" s="545"/>
      <c r="PML47" s="544"/>
      <c r="PMM47" s="545"/>
      <c r="PMN47" s="545"/>
      <c r="PMO47" s="545"/>
      <c r="PMP47" s="545"/>
      <c r="PMQ47" s="545"/>
      <c r="PMR47" s="545"/>
      <c r="PMS47" s="544"/>
      <c r="PMT47" s="545"/>
      <c r="PMU47" s="545"/>
      <c r="PMV47" s="545"/>
      <c r="PMW47" s="545"/>
      <c r="PMX47" s="545"/>
      <c r="PMY47" s="545"/>
      <c r="PMZ47" s="544"/>
      <c r="PNA47" s="545"/>
      <c r="PNB47" s="545"/>
      <c r="PNC47" s="545"/>
      <c r="PND47" s="545"/>
      <c r="PNE47" s="545"/>
      <c r="PNF47" s="545"/>
      <c r="PNG47" s="544"/>
      <c r="PNH47" s="545"/>
      <c r="PNI47" s="545"/>
      <c r="PNJ47" s="545"/>
      <c r="PNK47" s="545"/>
      <c r="PNL47" s="545"/>
      <c r="PNM47" s="545"/>
      <c r="PNN47" s="544"/>
      <c r="PNO47" s="545"/>
      <c r="PNP47" s="545"/>
      <c r="PNQ47" s="545"/>
      <c r="PNR47" s="545"/>
      <c r="PNS47" s="545"/>
      <c r="PNT47" s="545"/>
      <c r="PNU47" s="544"/>
      <c r="PNV47" s="545"/>
      <c r="PNW47" s="545"/>
      <c r="PNX47" s="545"/>
      <c r="PNY47" s="545"/>
      <c r="PNZ47" s="545"/>
      <c r="POA47" s="545"/>
      <c r="POB47" s="544"/>
      <c r="POC47" s="545"/>
      <c r="POD47" s="545"/>
      <c r="POE47" s="545"/>
      <c r="POF47" s="545"/>
      <c r="POG47" s="545"/>
      <c r="POH47" s="545"/>
      <c r="POI47" s="544"/>
      <c r="POJ47" s="545"/>
      <c r="POK47" s="545"/>
      <c r="POL47" s="545"/>
      <c r="POM47" s="545"/>
      <c r="PON47" s="545"/>
      <c r="POO47" s="545"/>
      <c r="POP47" s="544"/>
      <c r="POQ47" s="545"/>
      <c r="POR47" s="545"/>
      <c r="POS47" s="545"/>
      <c r="POT47" s="545"/>
      <c r="POU47" s="545"/>
      <c r="POV47" s="545"/>
      <c r="POW47" s="544"/>
      <c r="POX47" s="545"/>
      <c r="POY47" s="545"/>
      <c r="POZ47" s="545"/>
      <c r="PPA47" s="545"/>
      <c r="PPB47" s="545"/>
      <c r="PPC47" s="545"/>
      <c r="PPD47" s="544"/>
      <c r="PPE47" s="545"/>
      <c r="PPF47" s="545"/>
      <c r="PPG47" s="545"/>
      <c r="PPH47" s="545"/>
      <c r="PPI47" s="545"/>
      <c r="PPJ47" s="545"/>
      <c r="PPK47" s="544"/>
      <c r="PPL47" s="545"/>
      <c r="PPM47" s="545"/>
      <c r="PPN47" s="545"/>
      <c r="PPO47" s="545"/>
      <c r="PPP47" s="545"/>
      <c r="PPQ47" s="545"/>
      <c r="PPR47" s="544"/>
      <c r="PPS47" s="545"/>
      <c r="PPT47" s="545"/>
      <c r="PPU47" s="545"/>
      <c r="PPV47" s="545"/>
      <c r="PPW47" s="545"/>
      <c r="PPX47" s="545"/>
      <c r="PPY47" s="544"/>
      <c r="PPZ47" s="545"/>
      <c r="PQA47" s="545"/>
      <c r="PQB47" s="545"/>
      <c r="PQC47" s="545"/>
      <c r="PQD47" s="545"/>
      <c r="PQE47" s="545"/>
      <c r="PQF47" s="544"/>
      <c r="PQG47" s="545"/>
      <c r="PQH47" s="545"/>
      <c r="PQI47" s="545"/>
      <c r="PQJ47" s="545"/>
      <c r="PQK47" s="545"/>
      <c r="PQL47" s="545"/>
      <c r="PQM47" s="544"/>
      <c r="PQN47" s="545"/>
      <c r="PQO47" s="545"/>
      <c r="PQP47" s="545"/>
      <c r="PQQ47" s="545"/>
      <c r="PQR47" s="545"/>
      <c r="PQS47" s="545"/>
      <c r="PQT47" s="544"/>
      <c r="PQU47" s="545"/>
      <c r="PQV47" s="545"/>
      <c r="PQW47" s="545"/>
      <c r="PQX47" s="545"/>
      <c r="PQY47" s="545"/>
      <c r="PQZ47" s="545"/>
      <c r="PRA47" s="544"/>
      <c r="PRB47" s="545"/>
      <c r="PRC47" s="545"/>
      <c r="PRD47" s="545"/>
      <c r="PRE47" s="545"/>
      <c r="PRF47" s="545"/>
      <c r="PRG47" s="545"/>
      <c r="PRH47" s="544"/>
      <c r="PRI47" s="545"/>
      <c r="PRJ47" s="545"/>
      <c r="PRK47" s="545"/>
      <c r="PRL47" s="545"/>
      <c r="PRM47" s="545"/>
      <c r="PRN47" s="545"/>
      <c r="PRO47" s="544"/>
      <c r="PRP47" s="545"/>
      <c r="PRQ47" s="545"/>
      <c r="PRR47" s="545"/>
      <c r="PRS47" s="545"/>
      <c r="PRT47" s="545"/>
      <c r="PRU47" s="545"/>
      <c r="PRV47" s="544"/>
      <c r="PRW47" s="545"/>
      <c r="PRX47" s="545"/>
      <c r="PRY47" s="545"/>
      <c r="PRZ47" s="545"/>
      <c r="PSA47" s="545"/>
      <c r="PSB47" s="545"/>
      <c r="PSC47" s="544"/>
      <c r="PSD47" s="545"/>
      <c r="PSE47" s="545"/>
      <c r="PSF47" s="545"/>
      <c r="PSG47" s="545"/>
      <c r="PSH47" s="545"/>
      <c r="PSI47" s="545"/>
      <c r="PSJ47" s="544"/>
      <c r="PSK47" s="545"/>
      <c r="PSL47" s="545"/>
      <c r="PSM47" s="545"/>
      <c r="PSN47" s="545"/>
      <c r="PSO47" s="545"/>
      <c r="PSP47" s="545"/>
      <c r="PSQ47" s="544"/>
      <c r="PSR47" s="545"/>
      <c r="PSS47" s="545"/>
      <c r="PST47" s="545"/>
      <c r="PSU47" s="545"/>
      <c r="PSV47" s="545"/>
      <c r="PSW47" s="545"/>
      <c r="PSX47" s="544"/>
      <c r="PSY47" s="545"/>
      <c r="PSZ47" s="545"/>
      <c r="PTA47" s="545"/>
      <c r="PTB47" s="545"/>
      <c r="PTC47" s="545"/>
      <c r="PTD47" s="545"/>
      <c r="PTE47" s="544"/>
      <c r="PTF47" s="545"/>
      <c r="PTG47" s="545"/>
      <c r="PTH47" s="545"/>
      <c r="PTI47" s="545"/>
      <c r="PTJ47" s="545"/>
      <c r="PTK47" s="545"/>
      <c r="PTL47" s="544"/>
      <c r="PTM47" s="545"/>
      <c r="PTN47" s="545"/>
      <c r="PTO47" s="545"/>
      <c r="PTP47" s="545"/>
      <c r="PTQ47" s="545"/>
      <c r="PTR47" s="545"/>
      <c r="PTS47" s="544"/>
      <c r="PTT47" s="545"/>
      <c r="PTU47" s="545"/>
      <c r="PTV47" s="545"/>
      <c r="PTW47" s="545"/>
      <c r="PTX47" s="545"/>
      <c r="PTY47" s="545"/>
      <c r="PTZ47" s="544"/>
      <c r="PUA47" s="545"/>
      <c r="PUB47" s="545"/>
      <c r="PUC47" s="545"/>
      <c r="PUD47" s="545"/>
      <c r="PUE47" s="545"/>
      <c r="PUF47" s="545"/>
      <c r="PUG47" s="544"/>
      <c r="PUH47" s="545"/>
      <c r="PUI47" s="545"/>
      <c r="PUJ47" s="545"/>
      <c r="PUK47" s="545"/>
      <c r="PUL47" s="545"/>
      <c r="PUM47" s="545"/>
      <c r="PUN47" s="544"/>
      <c r="PUO47" s="545"/>
      <c r="PUP47" s="545"/>
      <c r="PUQ47" s="545"/>
      <c r="PUR47" s="545"/>
      <c r="PUS47" s="545"/>
      <c r="PUT47" s="545"/>
      <c r="PUU47" s="544"/>
      <c r="PUV47" s="545"/>
      <c r="PUW47" s="545"/>
      <c r="PUX47" s="545"/>
      <c r="PUY47" s="545"/>
      <c r="PUZ47" s="545"/>
      <c r="PVA47" s="545"/>
      <c r="PVB47" s="544"/>
      <c r="PVC47" s="545"/>
      <c r="PVD47" s="545"/>
      <c r="PVE47" s="545"/>
      <c r="PVF47" s="545"/>
      <c r="PVG47" s="545"/>
      <c r="PVH47" s="545"/>
      <c r="PVI47" s="544"/>
      <c r="PVJ47" s="545"/>
      <c r="PVK47" s="545"/>
      <c r="PVL47" s="545"/>
      <c r="PVM47" s="545"/>
      <c r="PVN47" s="545"/>
      <c r="PVO47" s="545"/>
      <c r="PVP47" s="544"/>
      <c r="PVQ47" s="545"/>
      <c r="PVR47" s="545"/>
      <c r="PVS47" s="545"/>
      <c r="PVT47" s="545"/>
      <c r="PVU47" s="545"/>
      <c r="PVV47" s="545"/>
      <c r="PVW47" s="544"/>
      <c r="PVX47" s="545"/>
      <c r="PVY47" s="545"/>
      <c r="PVZ47" s="545"/>
      <c r="PWA47" s="545"/>
      <c r="PWB47" s="545"/>
      <c r="PWC47" s="545"/>
      <c r="PWD47" s="544"/>
      <c r="PWE47" s="545"/>
      <c r="PWF47" s="545"/>
      <c r="PWG47" s="545"/>
      <c r="PWH47" s="545"/>
      <c r="PWI47" s="545"/>
      <c r="PWJ47" s="545"/>
      <c r="PWK47" s="544"/>
      <c r="PWL47" s="545"/>
      <c r="PWM47" s="545"/>
      <c r="PWN47" s="545"/>
      <c r="PWO47" s="545"/>
      <c r="PWP47" s="545"/>
      <c r="PWQ47" s="545"/>
      <c r="PWR47" s="544"/>
      <c r="PWS47" s="545"/>
      <c r="PWT47" s="545"/>
      <c r="PWU47" s="545"/>
      <c r="PWV47" s="545"/>
      <c r="PWW47" s="545"/>
      <c r="PWX47" s="545"/>
      <c r="PWY47" s="544"/>
      <c r="PWZ47" s="545"/>
      <c r="PXA47" s="545"/>
      <c r="PXB47" s="545"/>
      <c r="PXC47" s="545"/>
      <c r="PXD47" s="545"/>
      <c r="PXE47" s="545"/>
      <c r="PXF47" s="544"/>
      <c r="PXG47" s="545"/>
      <c r="PXH47" s="545"/>
      <c r="PXI47" s="545"/>
      <c r="PXJ47" s="545"/>
      <c r="PXK47" s="545"/>
      <c r="PXL47" s="545"/>
      <c r="PXM47" s="544"/>
      <c r="PXN47" s="545"/>
      <c r="PXO47" s="545"/>
      <c r="PXP47" s="545"/>
      <c r="PXQ47" s="545"/>
      <c r="PXR47" s="545"/>
      <c r="PXS47" s="545"/>
      <c r="PXT47" s="544"/>
      <c r="PXU47" s="545"/>
      <c r="PXV47" s="545"/>
      <c r="PXW47" s="545"/>
      <c r="PXX47" s="545"/>
      <c r="PXY47" s="545"/>
      <c r="PXZ47" s="545"/>
      <c r="PYA47" s="544"/>
      <c r="PYB47" s="545"/>
      <c r="PYC47" s="545"/>
      <c r="PYD47" s="545"/>
      <c r="PYE47" s="545"/>
      <c r="PYF47" s="545"/>
      <c r="PYG47" s="545"/>
      <c r="PYH47" s="544"/>
      <c r="PYI47" s="545"/>
      <c r="PYJ47" s="545"/>
      <c r="PYK47" s="545"/>
      <c r="PYL47" s="545"/>
      <c r="PYM47" s="545"/>
      <c r="PYN47" s="545"/>
      <c r="PYO47" s="544"/>
      <c r="PYP47" s="545"/>
      <c r="PYQ47" s="545"/>
      <c r="PYR47" s="545"/>
      <c r="PYS47" s="545"/>
      <c r="PYT47" s="545"/>
      <c r="PYU47" s="545"/>
      <c r="PYV47" s="544"/>
      <c r="PYW47" s="545"/>
      <c r="PYX47" s="545"/>
      <c r="PYY47" s="545"/>
      <c r="PYZ47" s="545"/>
      <c r="PZA47" s="545"/>
      <c r="PZB47" s="545"/>
      <c r="PZC47" s="544"/>
      <c r="PZD47" s="545"/>
      <c r="PZE47" s="545"/>
      <c r="PZF47" s="545"/>
      <c r="PZG47" s="545"/>
      <c r="PZH47" s="545"/>
      <c r="PZI47" s="545"/>
      <c r="PZJ47" s="544"/>
      <c r="PZK47" s="545"/>
      <c r="PZL47" s="545"/>
      <c r="PZM47" s="545"/>
      <c r="PZN47" s="545"/>
      <c r="PZO47" s="545"/>
      <c r="PZP47" s="545"/>
      <c r="PZQ47" s="544"/>
      <c r="PZR47" s="545"/>
      <c r="PZS47" s="545"/>
      <c r="PZT47" s="545"/>
      <c r="PZU47" s="545"/>
      <c r="PZV47" s="545"/>
      <c r="PZW47" s="545"/>
      <c r="PZX47" s="544"/>
      <c r="PZY47" s="545"/>
      <c r="PZZ47" s="545"/>
      <c r="QAA47" s="545"/>
      <c r="QAB47" s="545"/>
      <c r="QAC47" s="545"/>
      <c r="QAD47" s="545"/>
      <c r="QAE47" s="544"/>
      <c r="QAF47" s="545"/>
      <c r="QAG47" s="545"/>
      <c r="QAH47" s="545"/>
      <c r="QAI47" s="545"/>
      <c r="QAJ47" s="545"/>
      <c r="QAK47" s="545"/>
      <c r="QAL47" s="544"/>
      <c r="QAM47" s="545"/>
      <c r="QAN47" s="545"/>
      <c r="QAO47" s="545"/>
      <c r="QAP47" s="545"/>
      <c r="QAQ47" s="545"/>
      <c r="QAR47" s="545"/>
      <c r="QAS47" s="544"/>
      <c r="QAT47" s="545"/>
      <c r="QAU47" s="545"/>
      <c r="QAV47" s="545"/>
      <c r="QAW47" s="545"/>
      <c r="QAX47" s="545"/>
      <c r="QAY47" s="545"/>
      <c r="QAZ47" s="544"/>
      <c r="QBA47" s="545"/>
      <c r="QBB47" s="545"/>
      <c r="QBC47" s="545"/>
      <c r="QBD47" s="545"/>
      <c r="QBE47" s="545"/>
      <c r="QBF47" s="545"/>
      <c r="QBG47" s="544"/>
      <c r="QBH47" s="545"/>
      <c r="QBI47" s="545"/>
      <c r="QBJ47" s="545"/>
      <c r="QBK47" s="545"/>
      <c r="QBL47" s="545"/>
      <c r="QBM47" s="545"/>
      <c r="QBN47" s="544"/>
      <c r="QBO47" s="545"/>
      <c r="QBP47" s="545"/>
      <c r="QBQ47" s="545"/>
      <c r="QBR47" s="545"/>
      <c r="QBS47" s="545"/>
      <c r="QBT47" s="545"/>
      <c r="QBU47" s="544"/>
      <c r="QBV47" s="545"/>
      <c r="QBW47" s="545"/>
      <c r="QBX47" s="545"/>
      <c r="QBY47" s="545"/>
      <c r="QBZ47" s="545"/>
      <c r="QCA47" s="545"/>
      <c r="QCB47" s="544"/>
      <c r="QCC47" s="545"/>
      <c r="QCD47" s="545"/>
      <c r="QCE47" s="545"/>
      <c r="QCF47" s="545"/>
      <c r="QCG47" s="545"/>
      <c r="QCH47" s="545"/>
      <c r="QCI47" s="544"/>
      <c r="QCJ47" s="545"/>
      <c r="QCK47" s="545"/>
      <c r="QCL47" s="545"/>
      <c r="QCM47" s="545"/>
      <c r="QCN47" s="545"/>
      <c r="QCO47" s="545"/>
      <c r="QCP47" s="544"/>
      <c r="QCQ47" s="545"/>
      <c r="QCR47" s="545"/>
      <c r="QCS47" s="545"/>
      <c r="QCT47" s="545"/>
      <c r="QCU47" s="545"/>
      <c r="QCV47" s="545"/>
      <c r="QCW47" s="544"/>
      <c r="QCX47" s="545"/>
      <c r="QCY47" s="545"/>
      <c r="QCZ47" s="545"/>
      <c r="QDA47" s="545"/>
      <c r="QDB47" s="545"/>
      <c r="QDC47" s="545"/>
      <c r="QDD47" s="544"/>
      <c r="QDE47" s="545"/>
      <c r="QDF47" s="545"/>
      <c r="QDG47" s="545"/>
      <c r="QDH47" s="545"/>
      <c r="QDI47" s="545"/>
      <c r="QDJ47" s="545"/>
      <c r="QDK47" s="544"/>
      <c r="QDL47" s="545"/>
      <c r="QDM47" s="545"/>
      <c r="QDN47" s="545"/>
      <c r="QDO47" s="545"/>
      <c r="QDP47" s="545"/>
      <c r="QDQ47" s="545"/>
      <c r="QDR47" s="544"/>
      <c r="QDS47" s="545"/>
      <c r="QDT47" s="545"/>
      <c r="QDU47" s="545"/>
      <c r="QDV47" s="545"/>
      <c r="QDW47" s="545"/>
      <c r="QDX47" s="545"/>
      <c r="QDY47" s="544"/>
      <c r="QDZ47" s="545"/>
      <c r="QEA47" s="545"/>
      <c r="QEB47" s="545"/>
      <c r="QEC47" s="545"/>
      <c r="QED47" s="545"/>
      <c r="QEE47" s="545"/>
      <c r="QEF47" s="544"/>
      <c r="QEG47" s="545"/>
      <c r="QEH47" s="545"/>
      <c r="QEI47" s="545"/>
      <c r="QEJ47" s="545"/>
      <c r="QEK47" s="545"/>
      <c r="QEL47" s="545"/>
      <c r="QEM47" s="544"/>
      <c r="QEN47" s="545"/>
      <c r="QEO47" s="545"/>
      <c r="QEP47" s="545"/>
      <c r="QEQ47" s="545"/>
      <c r="QER47" s="545"/>
      <c r="QES47" s="545"/>
      <c r="QET47" s="544"/>
      <c r="QEU47" s="545"/>
      <c r="QEV47" s="545"/>
      <c r="QEW47" s="545"/>
      <c r="QEX47" s="545"/>
      <c r="QEY47" s="545"/>
      <c r="QEZ47" s="545"/>
      <c r="QFA47" s="544"/>
      <c r="QFB47" s="545"/>
      <c r="QFC47" s="545"/>
      <c r="QFD47" s="545"/>
      <c r="QFE47" s="545"/>
      <c r="QFF47" s="545"/>
      <c r="QFG47" s="545"/>
      <c r="QFH47" s="544"/>
      <c r="QFI47" s="545"/>
      <c r="QFJ47" s="545"/>
      <c r="QFK47" s="545"/>
      <c r="QFL47" s="545"/>
      <c r="QFM47" s="545"/>
      <c r="QFN47" s="545"/>
      <c r="QFO47" s="544"/>
      <c r="QFP47" s="545"/>
      <c r="QFQ47" s="545"/>
      <c r="QFR47" s="545"/>
      <c r="QFS47" s="545"/>
      <c r="QFT47" s="545"/>
      <c r="QFU47" s="545"/>
      <c r="QFV47" s="544"/>
      <c r="QFW47" s="545"/>
      <c r="QFX47" s="545"/>
      <c r="QFY47" s="545"/>
      <c r="QFZ47" s="545"/>
      <c r="QGA47" s="545"/>
      <c r="QGB47" s="545"/>
      <c r="QGC47" s="544"/>
      <c r="QGD47" s="545"/>
      <c r="QGE47" s="545"/>
      <c r="QGF47" s="545"/>
      <c r="QGG47" s="545"/>
      <c r="QGH47" s="545"/>
      <c r="QGI47" s="545"/>
      <c r="QGJ47" s="544"/>
      <c r="QGK47" s="545"/>
      <c r="QGL47" s="545"/>
      <c r="QGM47" s="545"/>
      <c r="QGN47" s="545"/>
      <c r="QGO47" s="545"/>
      <c r="QGP47" s="545"/>
      <c r="QGQ47" s="544"/>
      <c r="QGR47" s="545"/>
      <c r="QGS47" s="545"/>
      <c r="QGT47" s="545"/>
      <c r="QGU47" s="545"/>
      <c r="QGV47" s="545"/>
      <c r="QGW47" s="545"/>
      <c r="QGX47" s="544"/>
      <c r="QGY47" s="545"/>
      <c r="QGZ47" s="545"/>
      <c r="QHA47" s="545"/>
      <c r="QHB47" s="545"/>
      <c r="QHC47" s="545"/>
      <c r="QHD47" s="545"/>
      <c r="QHE47" s="544"/>
      <c r="QHF47" s="545"/>
      <c r="QHG47" s="545"/>
      <c r="QHH47" s="545"/>
      <c r="QHI47" s="545"/>
      <c r="QHJ47" s="545"/>
      <c r="QHK47" s="545"/>
      <c r="QHL47" s="544"/>
      <c r="QHM47" s="545"/>
      <c r="QHN47" s="545"/>
      <c r="QHO47" s="545"/>
      <c r="QHP47" s="545"/>
      <c r="QHQ47" s="545"/>
      <c r="QHR47" s="545"/>
      <c r="QHS47" s="544"/>
      <c r="QHT47" s="545"/>
      <c r="QHU47" s="545"/>
      <c r="QHV47" s="545"/>
      <c r="QHW47" s="545"/>
      <c r="QHX47" s="545"/>
      <c r="QHY47" s="545"/>
      <c r="QHZ47" s="544"/>
      <c r="QIA47" s="545"/>
      <c r="QIB47" s="545"/>
      <c r="QIC47" s="545"/>
      <c r="QID47" s="545"/>
      <c r="QIE47" s="545"/>
      <c r="QIF47" s="545"/>
      <c r="QIG47" s="544"/>
      <c r="QIH47" s="545"/>
      <c r="QII47" s="545"/>
      <c r="QIJ47" s="545"/>
      <c r="QIK47" s="545"/>
      <c r="QIL47" s="545"/>
      <c r="QIM47" s="545"/>
      <c r="QIN47" s="544"/>
      <c r="QIO47" s="545"/>
      <c r="QIP47" s="545"/>
      <c r="QIQ47" s="545"/>
      <c r="QIR47" s="545"/>
      <c r="QIS47" s="545"/>
      <c r="QIT47" s="545"/>
      <c r="QIU47" s="544"/>
      <c r="QIV47" s="545"/>
      <c r="QIW47" s="545"/>
      <c r="QIX47" s="545"/>
      <c r="QIY47" s="545"/>
      <c r="QIZ47" s="545"/>
      <c r="QJA47" s="545"/>
      <c r="QJB47" s="544"/>
      <c r="QJC47" s="545"/>
      <c r="QJD47" s="545"/>
      <c r="QJE47" s="545"/>
      <c r="QJF47" s="545"/>
      <c r="QJG47" s="545"/>
      <c r="QJH47" s="545"/>
      <c r="QJI47" s="544"/>
      <c r="QJJ47" s="545"/>
      <c r="QJK47" s="545"/>
      <c r="QJL47" s="545"/>
      <c r="QJM47" s="545"/>
      <c r="QJN47" s="545"/>
      <c r="QJO47" s="545"/>
      <c r="QJP47" s="544"/>
      <c r="QJQ47" s="545"/>
      <c r="QJR47" s="545"/>
      <c r="QJS47" s="545"/>
      <c r="QJT47" s="545"/>
      <c r="QJU47" s="545"/>
      <c r="QJV47" s="545"/>
      <c r="QJW47" s="544"/>
      <c r="QJX47" s="545"/>
      <c r="QJY47" s="545"/>
      <c r="QJZ47" s="545"/>
      <c r="QKA47" s="545"/>
      <c r="QKB47" s="545"/>
      <c r="QKC47" s="545"/>
      <c r="QKD47" s="544"/>
      <c r="QKE47" s="545"/>
      <c r="QKF47" s="545"/>
      <c r="QKG47" s="545"/>
      <c r="QKH47" s="545"/>
      <c r="QKI47" s="545"/>
      <c r="QKJ47" s="545"/>
      <c r="QKK47" s="544"/>
      <c r="QKL47" s="545"/>
      <c r="QKM47" s="545"/>
      <c r="QKN47" s="545"/>
      <c r="QKO47" s="545"/>
      <c r="QKP47" s="545"/>
      <c r="QKQ47" s="545"/>
      <c r="QKR47" s="544"/>
      <c r="QKS47" s="545"/>
      <c r="QKT47" s="545"/>
      <c r="QKU47" s="545"/>
      <c r="QKV47" s="545"/>
      <c r="QKW47" s="545"/>
      <c r="QKX47" s="545"/>
      <c r="QKY47" s="544"/>
      <c r="QKZ47" s="545"/>
      <c r="QLA47" s="545"/>
      <c r="QLB47" s="545"/>
      <c r="QLC47" s="545"/>
      <c r="QLD47" s="545"/>
      <c r="QLE47" s="545"/>
      <c r="QLF47" s="544"/>
      <c r="QLG47" s="545"/>
      <c r="QLH47" s="545"/>
      <c r="QLI47" s="545"/>
      <c r="QLJ47" s="545"/>
      <c r="QLK47" s="545"/>
      <c r="QLL47" s="545"/>
      <c r="QLM47" s="544"/>
      <c r="QLN47" s="545"/>
      <c r="QLO47" s="545"/>
      <c r="QLP47" s="545"/>
      <c r="QLQ47" s="545"/>
      <c r="QLR47" s="545"/>
      <c r="QLS47" s="545"/>
      <c r="QLT47" s="544"/>
      <c r="QLU47" s="545"/>
      <c r="QLV47" s="545"/>
      <c r="QLW47" s="545"/>
      <c r="QLX47" s="545"/>
      <c r="QLY47" s="545"/>
      <c r="QLZ47" s="545"/>
      <c r="QMA47" s="544"/>
      <c r="QMB47" s="545"/>
      <c r="QMC47" s="545"/>
      <c r="QMD47" s="545"/>
      <c r="QME47" s="545"/>
      <c r="QMF47" s="545"/>
      <c r="QMG47" s="545"/>
      <c r="QMH47" s="544"/>
      <c r="QMI47" s="545"/>
      <c r="QMJ47" s="545"/>
      <c r="QMK47" s="545"/>
      <c r="QML47" s="545"/>
      <c r="QMM47" s="545"/>
      <c r="QMN47" s="545"/>
      <c r="QMO47" s="544"/>
      <c r="QMP47" s="545"/>
      <c r="QMQ47" s="545"/>
      <c r="QMR47" s="545"/>
      <c r="QMS47" s="545"/>
      <c r="QMT47" s="545"/>
      <c r="QMU47" s="545"/>
      <c r="QMV47" s="544"/>
      <c r="QMW47" s="545"/>
      <c r="QMX47" s="545"/>
      <c r="QMY47" s="545"/>
      <c r="QMZ47" s="545"/>
      <c r="QNA47" s="545"/>
      <c r="QNB47" s="545"/>
      <c r="QNC47" s="544"/>
      <c r="QND47" s="545"/>
      <c r="QNE47" s="545"/>
      <c r="QNF47" s="545"/>
      <c r="QNG47" s="545"/>
      <c r="QNH47" s="545"/>
      <c r="QNI47" s="545"/>
      <c r="QNJ47" s="544"/>
      <c r="QNK47" s="545"/>
      <c r="QNL47" s="545"/>
      <c r="QNM47" s="545"/>
      <c r="QNN47" s="545"/>
      <c r="QNO47" s="545"/>
      <c r="QNP47" s="545"/>
      <c r="QNQ47" s="544"/>
      <c r="QNR47" s="545"/>
      <c r="QNS47" s="545"/>
      <c r="QNT47" s="545"/>
      <c r="QNU47" s="545"/>
      <c r="QNV47" s="545"/>
      <c r="QNW47" s="545"/>
      <c r="QNX47" s="544"/>
      <c r="QNY47" s="545"/>
      <c r="QNZ47" s="545"/>
      <c r="QOA47" s="545"/>
      <c r="QOB47" s="545"/>
      <c r="QOC47" s="545"/>
      <c r="QOD47" s="545"/>
      <c r="QOE47" s="544"/>
      <c r="QOF47" s="545"/>
      <c r="QOG47" s="545"/>
      <c r="QOH47" s="545"/>
      <c r="QOI47" s="545"/>
      <c r="QOJ47" s="545"/>
      <c r="QOK47" s="545"/>
      <c r="QOL47" s="544"/>
      <c r="QOM47" s="545"/>
      <c r="QON47" s="545"/>
      <c r="QOO47" s="545"/>
      <c r="QOP47" s="545"/>
      <c r="QOQ47" s="545"/>
      <c r="QOR47" s="545"/>
      <c r="QOS47" s="544"/>
      <c r="QOT47" s="545"/>
      <c r="QOU47" s="545"/>
      <c r="QOV47" s="545"/>
      <c r="QOW47" s="545"/>
      <c r="QOX47" s="545"/>
      <c r="QOY47" s="545"/>
      <c r="QOZ47" s="544"/>
      <c r="QPA47" s="545"/>
      <c r="QPB47" s="545"/>
      <c r="QPC47" s="545"/>
      <c r="QPD47" s="545"/>
      <c r="QPE47" s="545"/>
      <c r="QPF47" s="545"/>
      <c r="QPG47" s="544"/>
      <c r="QPH47" s="545"/>
      <c r="QPI47" s="545"/>
      <c r="QPJ47" s="545"/>
      <c r="QPK47" s="545"/>
      <c r="QPL47" s="545"/>
      <c r="QPM47" s="545"/>
      <c r="QPN47" s="544"/>
      <c r="QPO47" s="545"/>
      <c r="QPP47" s="545"/>
      <c r="QPQ47" s="545"/>
      <c r="QPR47" s="545"/>
      <c r="QPS47" s="545"/>
      <c r="QPT47" s="545"/>
      <c r="QPU47" s="544"/>
      <c r="QPV47" s="545"/>
      <c r="QPW47" s="545"/>
      <c r="QPX47" s="545"/>
      <c r="QPY47" s="545"/>
      <c r="QPZ47" s="545"/>
      <c r="QQA47" s="545"/>
      <c r="QQB47" s="544"/>
      <c r="QQC47" s="545"/>
      <c r="QQD47" s="545"/>
      <c r="QQE47" s="545"/>
      <c r="QQF47" s="545"/>
      <c r="QQG47" s="545"/>
      <c r="QQH47" s="545"/>
      <c r="QQI47" s="544"/>
      <c r="QQJ47" s="545"/>
      <c r="QQK47" s="545"/>
      <c r="QQL47" s="545"/>
      <c r="QQM47" s="545"/>
      <c r="QQN47" s="545"/>
      <c r="QQO47" s="545"/>
      <c r="QQP47" s="544"/>
      <c r="QQQ47" s="545"/>
      <c r="QQR47" s="545"/>
      <c r="QQS47" s="545"/>
      <c r="QQT47" s="545"/>
      <c r="QQU47" s="545"/>
      <c r="QQV47" s="545"/>
      <c r="QQW47" s="544"/>
      <c r="QQX47" s="545"/>
      <c r="QQY47" s="545"/>
      <c r="QQZ47" s="545"/>
      <c r="QRA47" s="545"/>
      <c r="QRB47" s="545"/>
      <c r="QRC47" s="545"/>
      <c r="QRD47" s="544"/>
      <c r="QRE47" s="545"/>
      <c r="QRF47" s="545"/>
      <c r="QRG47" s="545"/>
      <c r="QRH47" s="545"/>
      <c r="QRI47" s="545"/>
      <c r="QRJ47" s="545"/>
      <c r="QRK47" s="544"/>
      <c r="QRL47" s="545"/>
      <c r="QRM47" s="545"/>
      <c r="QRN47" s="545"/>
      <c r="QRO47" s="545"/>
      <c r="QRP47" s="545"/>
      <c r="QRQ47" s="545"/>
      <c r="QRR47" s="544"/>
      <c r="QRS47" s="545"/>
      <c r="QRT47" s="545"/>
      <c r="QRU47" s="545"/>
      <c r="QRV47" s="545"/>
      <c r="QRW47" s="545"/>
      <c r="QRX47" s="545"/>
      <c r="QRY47" s="544"/>
      <c r="QRZ47" s="545"/>
      <c r="QSA47" s="545"/>
      <c r="QSB47" s="545"/>
      <c r="QSC47" s="545"/>
      <c r="QSD47" s="545"/>
      <c r="QSE47" s="545"/>
      <c r="QSF47" s="544"/>
      <c r="QSG47" s="545"/>
      <c r="QSH47" s="545"/>
      <c r="QSI47" s="545"/>
      <c r="QSJ47" s="545"/>
      <c r="QSK47" s="545"/>
      <c r="QSL47" s="545"/>
      <c r="QSM47" s="544"/>
      <c r="QSN47" s="545"/>
      <c r="QSO47" s="545"/>
      <c r="QSP47" s="545"/>
      <c r="QSQ47" s="545"/>
      <c r="QSR47" s="545"/>
      <c r="QSS47" s="545"/>
      <c r="QST47" s="544"/>
      <c r="QSU47" s="545"/>
      <c r="QSV47" s="545"/>
      <c r="QSW47" s="545"/>
      <c r="QSX47" s="545"/>
      <c r="QSY47" s="545"/>
      <c r="QSZ47" s="545"/>
      <c r="QTA47" s="544"/>
      <c r="QTB47" s="545"/>
      <c r="QTC47" s="545"/>
      <c r="QTD47" s="545"/>
      <c r="QTE47" s="545"/>
      <c r="QTF47" s="545"/>
      <c r="QTG47" s="545"/>
      <c r="QTH47" s="544"/>
      <c r="QTI47" s="545"/>
      <c r="QTJ47" s="545"/>
      <c r="QTK47" s="545"/>
      <c r="QTL47" s="545"/>
      <c r="QTM47" s="545"/>
      <c r="QTN47" s="545"/>
      <c r="QTO47" s="544"/>
      <c r="QTP47" s="545"/>
      <c r="QTQ47" s="545"/>
      <c r="QTR47" s="545"/>
      <c r="QTS47" s="545"/>
      <c r="QTT47" s="545"/>
      <c r="QTU47" s="545"/>
      <c r="QTV47" s="544"/>
      <c r="QTW47" s="545"/>
      <c r="QTX47" s="545"/>
      <c r="QTY47" s="545"/>
      <c r="QTZ47" s="545"/>
      <c r="QUA47" s="545"/>
      <c r="QUB47" s="545"/>
      <c r="QUC47" s="544"/>
      <c r="QUD47" s="545"/>
      <c r="QUE47" s="545"/>
      <c r="QUF47" s="545"/>
      <c r="QUG47" s="545"/>
      <c r="QUH47" s="545"/>
      <c r="QUI47" s="545"/>
      <c r="QUJ47" s="544"/>
      <c r="QUK47" s="545"/>
      <c r="QUL47" s="545"/>
      <c r="QUM47" s="545"/>
      <c r="QUN47" s="545"/>
      <c r="QUO47" s="545"/>
      <c r="QUP47" s="545"/>
      <c r="QUQ47" s="544"/>
      <c r="QUR47" s="545"/>
      <c r="QUS47" s="545"/>
      <c r="QUT47" s="545"/>
      <c r="QUU47" s="545"/>
      <c r="QUV47" s="545"/>
      <c r="QUW47" s="545"/>
      <c r="QUX47" s="544"/>
      <c r="QUY47" s="545"/>
      <c r="QUZ47" s="545"/>
      <c r="QVA47" s="545"/>
      <c r="QVB47" s="545"/>
      <c r="QVC47" s="545"/>
      <c r="QVD47" s="545"/>
      <c r="QVE47" s="544"/>
      <c r="QVF47" s="545"/>
      <c r="QVG47" s="545"/>
      <c r="QVH47" s="545"/>
      <c r="QVI47" s="545"/>
      <c r="QVJ47" s="545"/>
      <c r="QVK47" s="545"/>
      <c r="QVL47" s="544"/>
      <c r="QVM47" s="545"/>
      <c r="QVN47" s="545"/>
      <c r="QVO47" s="545"/>
      <c r="QVP47" s="545"/>
      <c r="QVQ47" s="545"/>
      <c r="QVR47" s="545"/>
      <c r="QVS47" s="544"/>
      <c r="QVT47" s="545"/>
      <c r="QVU47" s="545"/>
      <c r="QVV47" s="545"/>
      <c r="QVW47" s="545"/>
      <c r="QVX47" s="545"/>
      <c r="QVY47" s="545"/>
      <c r="QVZ47" s="544"/>
      <c r="QWA47" s="545"/>
      <c r="QWB47" s="545"/>
      <c r="QWC47" s="545"/>
      <c r="QWD47" s="545"/>
      <c r="QWE47" s="545"/>
      <c r="QWF47" s="545"/>
      <c r="QWG47" s="544"/>
      <c r="QWH47" s="545"/>
      <c r="QWI47" s="545"/>
      <c r="QWJ47" s="545"/>
      <c r="QWK47" s="545"/>
      <c r="QWL47" s="545"/>
      <c r="QWM47" s="545"/>
      <c r="QWN47" s="544"/>
      <c r="QWO47" s="545"/>
      <c r="QWP47" s="545"/>
      <c r="QWQ47" s="545"/>
      <c r="QWR47" s="545"/>
      <c r="QWS47" s="545"/>
      <c r="QWT47" s="545"/>
      <c r="QWU47" s="544"/>
      <c r="QWV47" s="545"/>
      <c r="QWW47" s="545"/>
      <c r="QWX47" s="545"/>
      <c r="QWY47" s="545"/>
      <c r="QWZ47" s="545"/>
      <c r="QXA47" s="545"/>
      <c r="QXB47" s="544"/>
      <c r="QXC47" s="545"/>
      <c r="QXD47" s="545"/>
      <c r="QXE47" s="545"/>
      <c r="QXF47" s="545"/>
      <c r="QXG47" s="545"/>
      <c r="QXH47" s="545"/>
      <c r="QXI47" s="544"/>
      <c r="QXJ47" s="545"/>
      <c r="QXK47" s="545"/>
      <c r="QXL47" s="545"/>
      <c r="QXM47" s="545"/>
      <c r="QXN47" s="545"/>
      <c r="QXO47" s="545"/>
      <c r="QXP47" s="544"/>
      <c r="QXQ47" s="545"/>
      <c r="QXR47" s="545"/>
      <c r="QXS47" s="545"/>
      <c r="QXT47" s="545"/>
      <c r="QXU47" s="545"/>
      <c r="QXV47" s="545"/>
      <c r="QXW47" s="544"/>
      <c r="QXX47" s="545"/>
      <c r="QXY47" s="545"/>
      <c r="QXZ47" s="545"/>
      <c r="QYA47" s="545"/>
      <c r="QYB47" s="545"/>
      <c r="QYC47" s="545"/>
      <c r="QYD47" s="544"/>
      <c r="QYE47" s="545"/>
      <c r="QYF47" s="545"/>
      <c r="QYG47" s="545"/>
      <c r="QYH47" s="545"/>
      <c r="QYI47" s="545"/>
      <c r="QYJ47" s="545"/>
      <c r="QYK47" s="544"/>
      <c r="QYL47" s="545"/>
      <c r="QYM47" s="545"/>
      <c r="QYN47" s="545"/>
      <c r="QYO47" s="545"/>
      <c r="QYP47" s="545"/>
      <c r="QYQ47" s="545"/>
      <c r="QYR47" s="544"/>
      <c r="QYS47" s="545"/>
      <c r="QYT47" s="545"/>
      <c r="QYU47" s="545"/>
      <c r="QYV47" s="545"/>
      <c r="QYW47" s="545"/>
      <c r="QYX47" s="545"/>
      <c r="QYY47" s="544"/>
      <c r="QYZ47" s="545"/>
      <c r="QZA47" s="545"/>
      <c r="QZB47" s="545"/>
      <c r="QZC47" s="545"/>
      <c r="QZD47" s="545"/>
      <c r="QZE47" s="545"/>
      <c r="QZF47" s="544"/>
      <c r="QZG47" s="545"/>
      <c r="QZH47" s="545"/>
      <c r="QZI47" s="545"/>
      <c r="QZJ47" s="545"/>
      <c r="QZK47" s="545"/>
      <c r="QZL47" s="545"/>
      <c r="QZM47" s="544"/>
      <c r="QZN47" s="545"/>
      <c r="QZO47" s="545"/>
      <c r="QZP47" s="545"/>
      <c r="QZQ47" s="545"/>
      <c r="QZR47" s="545"/>
      <c r="QZS47" s="545"/>
      <c r="QZT47" s="544"/>
      <c r="QZU47" s="545"/>
      <c r="QZV47" s="545"/>
      <c r="QZW47" s="545"/>
      <c r="QZX47" s="545"/>
      <c r="QZY47" s="545"/>
      <c r="QZZ47" s="545"/>
      <c r="RAA47" s="544"/>
      <c r="RAB47" s="545"/>
      <c r="RAC47" s="545"/>
      <c r="RAD47" s="545"/>
      <c r="RAE47" s="545"/>
      <c r="RAF47" s="545"/>
      <c r="RAG47" s="545"/>
      <c r="RAH47" s="544"/>
      <c r="RAI47" s="545"/>
      <c r="RAJ47" s="545"/>
      <c r="RAK47" s="545"/>
      <c r="RAL47" s="545"/>
      <c r="RAM47" s="545"/>
      <c r="RAN47" s="545"/>
      <c r="RAO47" s="544"/>
      <c r="RAP47" s="545"/>
      <c r="RAQ47" s="545"/>
      <c r="RAR47" s="545"/>
      <c r="RAS47" s="545"/>
      <c r="RAT47" s="545"/>
      <c r="RAU47" s="545"/>
      <c r="RAV47" s="544"/>
      <c r="RAW47" s="545"/>
      <c r="RAX47" s="545"/>
      <c r="RAY47" s="545"/>
      <c r="RAZ47" s="545"/>
      <c r="RBA47" s="545"/>
      <c r="RBB47" s="545"/>
      <c r="RBC47" s="544"/>
      <c r="RBD47" s="545"/>
      <c r="RBE47" s="545"/>
      <c r="RBF47" s="545"/>
      <c r="RBG47" s="545"/>
      <c r="RBH47" s="545"/>
      <c r="RBI47" s="545"/>
      <c r="RBJ47" s="544"/>
      <c r="RBK47" s="545"/>
      <c r="RBL47" s="545"/>
      <c r="RBM47" s="545"/>
      <c r="RBN47" s="545"/>
      <c r="RBO47" s="545"/>
      <c r="RBP47" s="545"/>
      <c r="RBQ47" s="544"/>
      <c r="RBR47" s="545"/>
      <c r="RBS47" s="545"/>
      <c r="RBT47" s="545"/>
      <c r="RBU47" s="545"/>
      <c r="RBV47" s="545"/>
      <c r="RBW47" s="545"/>
      <c r="RBX47" s="544"/>
      <c r="RBY47" s="545"/>
      <c r="RBZ47" s="545"/>
      <c r="RCA47" s="545"/>
      <c r="RCB47" s="545"/>
      <c r="RCC47" s="545"/>
      <c r="RCD47" s="545"/>
      <c r="RCE47" s="544"/>
      <c r="RCF47" s="545"/>
      <c r="RCG47" s="545"/>
      <c r="RCH47" s="545"/>
      <c r="RCI47" s="545"/>
      <c r="RCJ47" s="545"/>
      <c r="RCK47" s="545"/>
      <c r="RCL47" s="544"/>
      <c r="RCM47" s="545"/>
      <c r="RCN47" s="545"/>
      <c r="RCO47" s="545"/>
      <c r="RCP47" s="545"/>
      <c r="RCQ47" s="545"/>
      <c r="RCR47" s="545"/>
      <c r="RCS47" s="544"/>
      <c r="RCT47" s="545"/>
      <c r="RCU47" s="545"/>
      <c r="RCV47" s="545"/>
      <c r="RCW47" s="545"/>
      <c r="RCX47" s="545"/>
      <c r="RCY47" s="545"/>
      <c r="RCZ47" s="544"/>
      <c r="RDA47" s="545"/>
      <c r="RDB47" s="545"/>
      <c r="RDC47" s="545"/>
      <c r="RDD47" s="545"/>
      <c r="RDE47" s="545"/>
      <c r="RDF47" s="545"/>
      <c r="RDG47" s="544"/>
      <c r="RDH47" s="545"/>
      <c r="RDI47" s="545"/>
      <c r="RDJ47" s="545"/>
      <c r="RDK47" s="545"/>
      <c r="RDL47" s="545"/>
      <c r="RDM47" s="545"/>
      <c r="RDN47" s="544"/>
      <c r="RDO47" s="545"/>
      <c r="RDP47" s="545"/>
      <c r="RDQ47" s="545"/>
      <c r="RDR47" s="545"/>
      <c r="RDS47" s="545"/>
      <c r="RDT47" s="545"/>
      <c r="RDU47" s="544"/>
      <c r="RDV47" s="545"/>
      <c r="RDW47" s="545"/>
      <c r="RDX47" s="545"/>
      <c r="RDY47" s="545"/>
      <c r="RDZ47" s="545"/>
      <c r="REA47" s="545"/>
      <c r="REB47" s="544"/>
      <c r="REC47" s="545"/>
      <c r="RED47" s="545"/>
      <c r="REE47" s="545"/>
      <c r="REF47" s="545"/>
      <c r="REG47" s="545"/>
      <c r="REH47" s="545"/>
      <c r="REI47" s="544"/>
      <c r="REJ47" s="545"/>
      <c r="REK47" s="545"/>
      <c r="REL47" s="545"/>
      <c r="REM47" s="545"/>
      <c r="REN47" s="545"/>
      <c r="REO47" s="545"/>
      <c r="REP47" s="544"/>
      <c r="REQ47" s="545"/>
      <c r="RER47" s="545"/>
      <c r="RES47" s="545"/>
      <c r="RET47" s="545"/>
      <c r="REU47" s="545"/>
      <c r="REV47" s="545"/>
      <c r="REW47" s="544"/>
      <c r="REX47" s="545"/>
      <c r="REY47" s="545"/>
      <c r="REZ47" s="545"/>
      <c r="RFA47" s="545"/>
      <c r="RFB47" s="545"/>
      <c r="RFC47" s="545"/>
      <c r="RFD47" s="544"/>
      <c r="RFE47" s="545"/>
      <c r="RFF47" s="545"/>
      <c r="RFG47" s="545"/>
      <c r="RFH47" s="545"/>
      <c r="RFI47" s="545"/>
      <c r="RFJ47" s="545"/>
      <c r="RFK47" s="544"/>
      <c r="RFL47" s="545"/>
      <c r="RFM47" s="545"/>
      <c r="RFN47" s="545"/>
      <c r="RFO47" s="545"/>
      <c r="RFP47" s="545"/>
      <c r="RFQ47" s="545"/>
      <c r="RFR47" s="544"/>
      <c r="RFS47" s="545"/>
      <c r="RFT47" s="545"/>
      <c r="RFU47" s="545"/>
      <c r="RFV47" s="545"/>
      <c r="RFW47" s="545"/>
      <c r="RFX47" s="545"/>
      <c r="RFY47" s="544"/>
      <c r="RFZ47" s="545"/>
      <c r="RGA47" s="545"/>
      <c r="RGB47" s="545"/>
      <c r="RGC47" s="545"/>
      <c r="RGD47" s="545"/>
      <c r="RGE47" s="545"/>
      <c r="RGF47" s="544"/>
      <c r="RGG47" s="545"/>
      <c r="RGH47" s="545"/>
      <c r="RGI47" s="545"/>
      <c r="RGJ47" s="545"/>
      <c r="RGK47" s="545"/>
      <c r="RGL47" s="545"/>
      <c r="RGM47" s="544"/>
      <c r="RGN47" s="545"/>
      <c r="RGO47" s="545"/>
      <c r="RGP47" s="545"/>
      <c r="RGQ47" s="545"/>
      <c r="RGR47" s="545"/>
      <c r="RGS47" s="545"/>
      <c r="RGT47" s="544"/>
      <c r="RGU47" s="545"/>
      <c r="RGV47" s="545"/>
      <c r="RGW47" s="545"/>
      <c r="RGX47" s="545"/>
      <c r="RGY47" s="545"/>
      <c r="RGZ47" s="545"/>
      <c r="RHA47" s="544"/>
      <c r="RHB47" s="545"/>
      <c r="RHC47" s="545"/>
      <c r="RHD47" s="545"/>
      <c r="RHE47" s="545"/>
      <c r="RHF47" s="545"/>
      <c r="RHG47" s="545"/>
      <c r="RHH47" s="544"/>
      <c r="RHI47" s="545"/>
      <c r="RHJ47" s="545"/>
      <c r="RHK47" s="545"/>
      <c r="RHL47" s="545"/>
      <c r="RHM47" s="545"/>
      <c r="RHN47" s="545"/>
      <c r="RHO47" s="544"/>
      <c r="RHP47" s="545"/>
      <c r="RHQ47" s="545"/>
      <c r="RHR47" s="545"/>
      <c r="RHS47" s="545"/>
      <c r="RHT47" s="545"/>
      <c r="RHU47" s="545"/>
      <c r="RHV47" s="544"/>
      <c r="RHW47" s="545"/>
      <c r="RHX47" s="545"/>
      <c r="RHY47" s="545"/>
      <c r="RHZ47" s="545"/>
      <c r="RIA47" s="545"/>
      <c r="RIB47" s="545"/>
      <c r="RIC47" s="544"/>
      <c r="RID47" s="545"/>
      <c r="RIE47" s="545"/>
      <c r="RIF47" s="545"/>
      <c r="RIG47" s="545"/>
      <c r="RIH47" s="545"/>
      <c r="RII47" s="545"/>
      <c r="RIJ47" s="544"/>
      <c r="RIK47" s="545"/>
      <c r="RIL47" s="545"/>
      <c r="RIM47" s="545"/>
      <c r="RIN47" s="545"/>
      <c r="RIO47" s="545"/>
      <c r="RIP47" s="545"/>
      <c r="RIQ47" s="544"/>
      <c r="RIR47" s="545"/>
      <c r="RIS47" s="545"/>
      <c r="RIT47" s="545"/>
      <c r="RIU47" s="545"/>
      <c r="RIV47" s="545"/>
      <c r="RIW47" s="545"/>
      <c r="RIX47" s="544"/>
      <c r="RIY47" s="545"/>
      <c r="RIZ47" s="545"/>
      <c r="RJA47" s="545"/>
      <c r="RJB47" s="545"/>
      <c r="RJC47" s="545"/>
      <c r="RJD47" s="545"/>
      <c r="RJE47" s="544"/>
      <c r="RJF47" s="545"/>
      <c r="RJG47" s="545"/>
      <c r="RJH47" s="545"/>
      <c r="RJI47" s="545"/>
      <c r="RJJ47" s="545"/>
      <c r="RJK47" s="545"/>
      <c r="RJL47" s="544"/>
      <c r="RJM47" s="545"/>
      <c r="RJN47" s="545"/>
      <c r="RJO47" s="545"/>
      <c r="RJP47" s="545"/>
      <c r="RJQ47" s="545"/>
      <c r="RJR47" s="545"/>
      <c r="RJS47" s="544"/>
      <c r="RJT47" s="545"/>
      <c r="RJU47" s="545"/>
      <c r="RJV47" s="545"/>
      <c r="RJW47" s="545"/>
      <c r="RJX47" s="545"/>
      <c r="RJY47" s="545"/>
      <c r="RJZ47" s="544"/>
      <c r="RKA47" s="545"/>
      <c r="RKB47" s="545"/>
      <c r="RKC47" s="545"/>
      <c r="RKD47" s="545"/>
      <c r="RKE47" s="545"/>
      <c r="RKF47" s="545"/>
      <c r="RKG47" s="544"/>
      <c r="RKH47" s="545"/>
      <c r="RKI47" s="545"/>
      <c r="RKJ47" s="545"/>
      <c r="RKK47" s="545"/>
      <c r="RKL47" s="545"/>
      <c r="RKM47" s="545"/>
      <c r="RKN47" s="544"/>
      <c r="RKO47" s="545"/>
      <c r="RKP47" s="545"/>
      <c r="RKQ47" s="545"/>
      <c r="RKR47" s="545"/>
      <c r="RKS47" s="545"/>
      <c r="RKT47" s="545"/>
      <c r="RKU47" s="544"/>
      <c r="RKV47" s="545"/>
      <c r="RKW47" s="545"/>
      <c r="RKX47" s="545"/>
      <c r="RKY47" s="545"/>
      <c r="RKZ47" s="545"/>
      <c r="RLA47" s="545"/>
      <c r="RLB47" s="544"/>
      <c r="RLC47" s="545"/>
      <c r="RLD47" s="545"/>
      <c r="RLE47" s="545"/>
      <c r="RLF47" s="545"/>
      <c r="RLG47" s="545"/>
      <c r="RLH47" s="545"/>
      <c r="RLI47" s="544"/>
      <c r="RLJ47" s="545"/>
      <c r="RLK47" s="545"/>
      <c r="RLL47" s="545"/>
      <c r="RLM47" s="545"/>
      <c r="RLN47" s="545"/>
      <c r="RLO47" s="545"/>
      <c r="RLP47" s="544"/>
      <c r="RLQ47" s="545"/>
      <c r="RLR47" s="545"/>
      <c r="RLS47" s="545"/>
      <c r="RLT47" s="545"/>
      <c r="RLU47" s="545"/>
      <c r="RLV47" s="545"/>
      <c r="RLW47" s="544"/>
      <c r="RLX47" s="545"/>
      <c r="RLY47" s="545"/>
      <c r="RLZ47" s="545"/>
      <c r="RMA47" s="545"/>
      <c r="RMB47" s="545"/>
      <c r="RMC47" s="545"/>
      <c r="RMD47" s="544"/>
      <c r="RME47" s="545"/>
      <c r="RMF47" s="545"/>
      <c r="RMG47" s="545"/>
      <c r="RMH47" s="545"/>
      <c r="RMI47" s="545"/>
      <c r="RMJ47" s="545"/>
      <c r="RMK47" s="544"/>
      <c r="RML47" s="545"/>
      <c r="RMM47" s="545"/>
      <c r="RMN47" s="545"/>
      <c r="RMO47" s="545"/>
      <c r="RMP47" s="545"/>
      <c r="RMQ47" s="545"/>
      <c r="RMR47" s="544"/>
      <c r="RMS47" s="545"/>
      <c r="RMT47" s="545"/>
      <c r="RMU47" s="545"/>
      <c r="RMV47" s="545"/>
      <c r="RMW47" s="545"/>
      <c r="RMX47" s="545"/>
      <c r="RMY47" s="544"/>
      <c r="RMZ47" s="545"/>
      <c r="RNA47" s="545"/>
      <c r="RNB47" s="545"/>
      <c r="RNC47" s="545"/>
      <c r="RND47" s="545"/>
      <c r="RNE47" s="545"/>
      <c r="RNF47" s="544"/>
      <c r="RNG47" s="545"/>
      <c r="RNH47" s="545"/>
      <c r="RNI47" s="545"/>
      <c r="RNJ47" s="545"/>
      <c r="RNK47" s="545"/>
      <c r="RNL47" s="545"/>
      <c r="RNM47" s="544"/>
      <c r="RNN47" s="545"/>
      <c r="RNO47" s="545"/>
      <c r="RNP47" s="545"/>
      <c r="RNQ47" s="545"/>
      <c r="RNR47" s="545"/>
      <c r="RNS47" s="545"/>
      <c r="RNT47" s="544"/>
      <c r="RNU47" s="545"/>
      <c r="RNV47" s="545"/>
      <c r="RNW47" s="545"/>
      <c r="RNX47" s="545"/>
      <c r="RNY47" s="545"/>
      <c r="RNZ47" s="545"/>
      <c r="ROA47" s="544"/>
      <c r="ROB47" s="545"/>
      <c r="ROC47" s="545"/>
      <c r="ROD47" s="545"/>
      <c r="ROE47" s="545"/>
      <c r="ROF47" s="545"/>
      <c r="ROG47" s="545"/>
      <c r="ROH47" s="544"/>
      <c r="ROI47" s="545"/>
      <c r="ROJ47" s="545"/>
      <c r="ROK47" s="545"/>
      <c r="ROL47" s="545"/>
      <c r="ROM47" s="545"/>
      <c r="RON47" s="545"/>
      <c r="ROO47" s="544"/>
      <c r="ROP47" s="545"/>
      <c r="ROQ47" s="545"/>
      <c r="ROR47" s="545"/>
      <c r="ROS47" s="545"/>
      <c r="ROT47" s="545"/>
      <c r="ROU47" s="545"/>
      <c r="ROV47" s="544"/>
      <c r="ROW47" s="545"/>
      <c r="ROX47" s="545"/>
      <c r="ROY47" s="545"/>
      <c r="ROZ47" s="545"/>
      <c r="RPA47" s="545"/>
      <c r="RPB47" s="545"/>
      <c r="RPC47" s="544"/>
      <c r="RPD47" s="545"/>
      <c r="RPE47" s="545"/>
      <c r="RPF47" s="545"/>
      <c r="RPG47" s="545"/>
      <c r="RPH47" s="545"/>
      <c r="RPI47" s="545"/>
      <c r="RPJ47" s="544"/>
      <c r="RPK47" s="545"/>
      <c r="RPL47" s="545"/>
      <c r="RPM47" s="545"/>
      <c r="RPN47" s="545"/>
      <c r="RPO47" s="545"/>
      <c r="RPP47" s="545"/>
      <c r="RPQ47" s="544"/>
      <c r="RPR47" s="545"/>
      <c r="RPS47" s="545"/>
      <c r="RPT47" s="545"/>
      <c r="RPU47" s="545"/>
      <c r="RPV47" s="545"/>
      <c r="RPW47" s="545"/>
      <c r="RPX47" s="544"/>
      <c r="RPY47" s="545"/>
      <c r="RPZ47" s="545"/>
      <c r="RQA47" s="545"/>
      <c r="RQB47" s="545"/>
      <c r="RQC47" s="545"/>
      <c r="RQD47" s="545"/>
      <c r="RQE47" s="544"/>
      <c r="RQF47" s="545"/>
      <c r="RQG47" s="545"/>
      <c r="RQH47" s="545"/>
      <c r="RQI47" s="545"/>
      <c r="RQJ47" s="545"/>
      <c r="RQK47" s="545"/>
      <c r="RQL47" s="544"/>
      <c r="RQM47" s="545"/>
      <c r="RQN47" s="545"/>
      <c r="RQO47" s="545"/>
      <c r="RQP47" s="545"/>
      <c r="RQQ47" s="545"/>
      <c r="RQR47" s="545"/>
      <c r="RQS47" s="544"/>
      <c r="RQT47" s="545"/>
      <c r="RQU47" s="545"/>
      <c r="RQV47" s="545"/>
      <c r="RQW47" s="545"/>
      <c r="RQX47" s="545"/>
      <c r="RQY47" s="545"/>
      <c r="RQZ47" s="544"/>
      <c r="RRA47" s="545"/>
      <c r="RRB47" s="545"/>
      <c r="RRC47" s="545"/>
      <c r="RRD47" s="545"/>
      <c r="RRE47" s="545"/>
      <c r="RRF47" s="545"/>
      <c r="RRG47" s="544"/>
      <c r="RRH47" s="545"/>
      <c r="RRI47" s="545"/>
      <c r="RRJ47" s="545"/>
      <c r="RRK47" s="545"/>
      <c r="RRL47" s="545"/>
      <c r="RRM47" s="545"/>
      <c r="RRN47" s="544"/>
      <c r="RRO47" s="545"/>
      <c r="RRP47" s="545"/>
      <c r="RRQ47" s="545"/>
      <c r="RRR47" s="545"/>
      <c r="RRS47" s="545"/>
      <c r="RRT47" s="545"/>
      <c r="RRU47" s="544"/>
      <c r="RRV47" s="545"/>
      <c r="RRW47" s="545"/>
      <c r="RRX47" s="545"/>
      <c r="RRY47" s="545"/>
      <c r="RRZ47" s="545"/>
      <c r="RSA47" s="545"/>
      <c r="RSB47" s="544"/>
      <c r="RSC47" s="545"/>
      <c r="RSD47" s="545"/>
      <c r="RSE47" s="545"/>
      <c r="RSF47" s="545"/>
      <c r="RSG47" s="545"/>
      <c r="RSH47" s="545"/>
      <c r="RSI47" s="544"/>
      <c r="RSJ47" s="545"/>
      <c r="RSK47" s="545"/>
      <c r="RSL47" s="545"/>
      <c r="RSM47" s="545"/>
      <c r="RSN47" s="545"/>
      <c r="RSO47" s="545"/>
      <c r="RSP47" s="544"/>
      <c r="RSQ47" s="545"/>
      <c r="RSR47" s="545"/>
      <c r="RSS47" s="545"/>
      <c r="RST47" s="545"/>
      <c r="RSU47" s="545"/>
      <c r="RSV47" s="545"/>
      <c r="RSW47" s="544"/>
      <c r="RSX47" s="545"/>
      <c r="RSY47" s="545"/>
      <c r="RSZ47" s="545"/>
      <c r="RTA47" s="545"/>
      <c r="RTB47" s="545"/>
      <c r="RTC47" s="545"/>
      <c r="RTD47" s="544"/>
      <c r="RTE47" s="545"/>
      <c r="RTF47" s="545"/>
      <c r="RTG47" s="545"/>
      <c r="RTH47" s="545"/>
      <c r="RTI47" s="545"/>
      <c r="RTJ47" s="545"/>
      <c r="RTK47" s="544"/>
      <c r="RTL47" s="545"/>
      <c r="RTM47" s="545"/>
      <c r="RTN47" s="545"/>
      <c r="RTO47" s="545"/>
      <c r="RTP47" s="545"/>
      <c r="RTQ47" s="545"/>
      <c r="RTR47" s="544"/>
      <c r="RTS47" s="545"/>
      <c r="RTT47" s="545"/>
      <c r="RTU47" s="545"/>
      <c r="RTV47" s="545"/>
      <c r="RTW47" s="545"/>
      <c r="RTX47" s="545"/>
      <c r="RTY47" s="544"/>
      <c r="RTZ47" s="545"/>
      <c r="RUA47" s="545"/>
      <c r="RUB47" s="545"/>
      <c r="RUC47" s="545"/>
      <c r="RUD47" s="545"/>
      <c r="RUE47" s="545"/>
      <c r="RUF47" s="544"/>
      <c r="RUG47" s="545"/>
      <c r="RUH47" s="545"/>
      <c r="RUI47" s="545"/>
      <c r="RUJ47" s="545"/>
      <c r="RUK47" s="545"/>
      <c r="RUL47" s="545"/>
      <c r="RUM47" s="544"/>
      <c r="RUN47" s="545"/>
      <c r="RUO47" s="545"/>
      <c r="RUP47" s="545"/>
      <c r="RUQ47" s="545"/>
      <c r="RUR47" s="545"/>
      <c r="RUS47" s="545"/>
      <c r="RUT47" s="544"/>
      <c r="RUU47" s="545"/>
      <c r="RUV47" s="545"/>
      <c r="RUW47" s="545"/>
      <c r="RUX47" s="545"/>
      <c r="RUY47" s="545"/>
      <c r="RUZ47" s="545"/>
      <c r="RVA47" s="544"/>
      <c r="RVB47" s="545"/>
      <c r="RVC47" s="545"/>
      <c r="RVD47" s="545"/>
      <c r="RVE47" s="545"/>
      <c r="RVF47" s="545"/>
      <c r="RVG47" s="545"/>
      <c r="RVH47" s="544"/>
      <c r="RVI47" s="545"/>
      <c r="RVJ47" s="545"/>
      <c r="RVK47" s="545"/>
      <c r="RVL47" s="545"/>
      <c r="RVM47" s="545"/>
      <c r="RVN47" s="545"/>
      <c r="RVO47" s="544"/>
      <c r="RVP47" s="545"/>
      <c r="RVQ47" s="545"/>
      <c r="RVR47" s="545"/>
      <c r="RVS47" s="545"/>
      <c r="RVT47" s="545"/>
      <c r="RVU47" s="545"/>
      <c r="RVV47" s="544"/>
      <c r="RVW47" s="545"/>
      <c r="RVX47" s="545"/>
      <c r="RVY47" s="545"/>
      <c r="RVZ47" s="545"/>
      <c r="RWA47" s="545"/>
      <c r="RWB47" s="545"/>
      <c r="RWC47" s="544"/>
      <c r="RWD47" s="545"/>
      <c r="RWE47" s="545"/>
      <c r="RWF47" s="545"/>
      <c r="RWG47" s="545"/>
      <c r="RWH47" s="545"/>
      <c r="RWI47" s="545"/>
      <c r="RWJ47" s="544"/>
      <c r="RWK47" s="545"/>
      <c r="RWL47" s="545"/>
      <c r="RWM47" s="545"/>
      <c r="RWN47" s="545"/>
      <c r="RWO47" s="545"/>
      <c r="RWP47" s="545"/>
      <c r="RWQ47" s="544"/>
      <c r="RWR47" s="545"/>
      <c r="RWS47" s="545"/>
      <c r="RWT47" s="545"/>
      <c r="RWU47" s="545"/>
      <c r="RWV47" s="545"/>
      <c r="RWW47" s="545"/>
      <c r="RWX47" s="544"/>
      <c r="RWY47" s="545"/>
      <c r="RWZ47" s="545"/>
      <c r="RXA47" s="545"/>
      <c r="RXB47" s="545"/>
      <c r="RXC47" s="545"/>
      <c r="RXD47" s="545"/>
      <c r="RXE47" s="544"/>
      <c r="RXF47" s="545"/>
      <c r="RXG47" s="545"/>
      <c r="RXH47" s="545"/>
      <c r="RXI47" s="545"/>
      <c r="RXJ47" s="545"/>
      <c r="RXK47" s="545"/>
      <c r="RXL47" s="544"/>
      <c r="RXM47" s="545"/>
      <c r="RXN47" s="545"/>
      <c r="RXO47" s="545"/>
      <c r="RXP47" s="545"/>
      <c r="RXQ47" s="545"/>
      <c r="RXR47" s="545"/>
      <c r="RXS47" s="544"/>
      <c r="RXT47" s="545"/>
      <c r="RXU47" s="545"/>
      <c r="RXV47" s="545"/>
      <c r="RXW47" s="545"/>
      <c r="RXX47" s="545"/>
      <c r="RXY47" s="545"/>
      <c r="RXZ47" s="544"/>
      <c r="RYA47" s="545"/>
      <c r="RYB47" s="545"/>
      <c r="RYC47" s="545"/>
      <c r="RYD47" s="545"/>
      <c r="RYE47" s="545"/>
      <c r="RYF47" s="545"/>
      <c r="RYG47" s="544"/>
      <c r="RYH47" s="545"/>
      <c r="RYI47" s="545"/>
      <c r="RYJ47" s="545"/>
      <c r="RYK47" s="545"/>
      <c r="RYL47" s="545"/>
      <c r="RYM47" s="545"/>
      <c r="RYN47" s="544"/>
      <c r="RYO47" s="545"/>
      <c r="RYP47" s="545"/>
      <c r="RYQ47" s="545"/>
      <c r="RYR47" s="545"/>
      <c r="RYS47" s="545"/>
      <c r="RYT47" s="545"/>
      <c r="RYU47" s="544"/>
      <c r="RYV47" s="545"/>
      <c r="RYW47" s="545"/>
      <c r="RYX47" s="545"/>
      <c r="RYY47" s="545"/>
      <c r="RYZ47" s="545"/>
      <c r="RZA47" s="545"/>
      <c r="RZB47" s="544"/>
      <c r="RZC47" s="545"/>
      <c r="RZD47" s="545"/>
      <c r="RZE47" s="545"/>
      <c r="RZF47" s="545"/>
      <c r="RZG47" s="545"/>
      <c r="RZH47" s="545"/>
      <c r="RZI47" s="544"/>
      <c r="RZJ47" s="545"/>
      <c r="RZK47" s="545"/>
      <c r="RZL47" s="545"/>
      <c r="RZM47" s="545"/>
      <c r="RZN47" s="545"/>
      <c r="RZO47" s="545"/>
      <c r="RZP47" s="544"/>
      <c r="RZQ47" s="545"/>
      <c r="RZR47" s="545"/>
      <c r="RZS47" s="545"/>
      <c r="RZT47" s="545"/>
      <c r="RZU47" s="545"/>
      <c r="RZV47" s="545"/>
      <c r="RZW47" s="544"/>
      <c r="RZX47" s="545"/>
      <c r="RZY47" s="545"/>
      <c r="RZZ47" s="545"/>
      <c r="SAA47" s="545"/>
      <c r="SAB47" s="545"/>
      <c r="SAC47" s="545"/>
      <c r="SAD47" s="544"/>
      <c r="SAE47" s="545"/>
      <c r="SAF47" s="545"/>
      <c r="SAG47" s="545"/>
      <c r="SAH47" s="545"/>
      <c r="SAI47" s="545"/>
      <c r="SAJ47" s="545"/>
      <c r="SAK47" s="544"/>
      <c r="SAL47" s="545"/>
      <c r="SAM47" s="545"/>
      <c r="SAN47" s="545"/>
      <c r="SAO47" s="545"/>
      <c r="SAP47" s="545"/>
      <c r="SAQ47" s="545"/>
      <c r="SAR47" s="544"/>
      <c r="SAS47" s="545"/>
      <c r="SAT47" s="545"/>
      <c r="SAU47" s="545"/>
      <c r="SAV47" s="545"/>
      <c r="SAW47" s="545"/>
      <c r="SAX47" s="545"/>
      <c r="SAY47" s="544"/>
      <c r="SAZ47" s="545"/>
      <c r="SBA47" s="545"/>
      <c r="SBB47" s="545"/>
      <c r="SBC47" s="545"/>
      <c r="SBD47" s="545"/>
      <c r="SBE47" s="545"/>
      <c r="SBF47" s="544"/>
      <c r="SBG47" s="545"/>
      <c r="SBH47" s="545"/>
      <c r="SBI47" s="545"/>
      <c r="SBJ47" s="545"/>
      <c r="SBK47" s="545"/>
      <c r="SBL47" s="545"/>
      <c r="SBM47" s="544"/>
      <c r="SBN47" s="545"/>
      <c r="SBO47" s="545"/>
      <c r="SBP47" s="545"/>
      <c r="SBQ47" s="545"/>
      <c r="SBR47" s="545"/>
      <c r="SBS47" s="545"/>
      <c r="SBT47" s="544"/>
      <c r="SBU47" s="545"/>
      <c r="SBV47" s="545"/>
      <c r="SBW47" s="545"/>
      <c r="SBX47" s="545"/>
      <c r="SBY47" s="545"/>
      <c r="SBZ47" s="545"/>
      <c r="SCA47" s="544"/>
      <c r="SCB47" s="545"/>
      <c r="SCC47" s="545"/>
      <c r="SCD47" s="545"/>
      <c r="SCE47" s="545"/>
      <c r="SCF47" s="545"/>
      <c r="SCG47" s="545"/>
      <c r="SCH47" s="544"/>
      <c r="SCI47" s="545"/>
      <c r="SCJ47" s="545"/>
      <c r="SCK47" s="545"/>
      <c r="SCL47" s="545"/>
      <c r="SCM47" s="545"/>
      <c r="SCN47" s="545"/>
      <c r="SCO47" s="544"/>
      <c r="SCP47" s="545"/>
      <c r="SCQ47" s="545"/>
      <c r="SCR47" s="545"/>
      <c r="SCS47" s="545"/>
      <c r="SCT47" s="545"/>
      <c r="SCU47" s="545"/>
      <c r="SCV47" s="544"/>
      <c r="SCW47" s="545"/>
      <c r="SCX47" s="545"/>
      <c r="SCY47" s="545"/>
      <c r="SCZ47" s="545"/>
      <c r="SDA47" s="545"/>
      <c r="SDB47" s="545"/>
      <c r="SDC47" s="544"/>
      <c r="SDD47" s="545"/>
      <c r="SDE47" s="545"/>
      <c r="SDF47" s="545"/>
      <c r="SDG47" s="545"/>
      <c r="SDH47" s="545"/>
      <c r="SDI47" s="545"/>
      <c r="SDJ47" s="544"/>
      <c r="SDK47" s="545"/>
      <c r="SDL47" s="545"/>
      <c r="SDM47" s="545"/>
      <c r="SDN47" s="545"/>
      <c r="SDO47" s="545"/>
      <c r="SDP47" s="545"/>
      <c r="SDQ47" s="544"/>
      <c r="SDR47" s="545"/>
      <c r="SDS47" s="545"/>
      <c r="SDT47" s="545"/>
      <c r="SDU47" s="545"/>
      <c r="SDV47" s="545"/>
      <c r="SDW47" s="545"/>
      <c r="SDX47" s="544"/>
      <c r="SDY47" s="545"/>
      <c r="SDZ47" s="545"/>
      <c r="SEA47" s="545"/>
      <c r="SEB47" s="545"/>
      <c r="SEC47" s="545"/>
      <c r="SED47" s="545"/>
      <c r="SEE47" s="544"/>
      <c r="SEF47" s="545"/>
      <c r="SEG47" s="545"/>
      <c r="SEH47" s="545"/>
      <c r="SEI47" s="545"/>
      <c r="SEJ47" s="545"/>
      <c r="SEK47" s="545"/>
      <c r="SEL47" s="544"/>
      <c r="SEM47" s="545"/>
      <c r="SEN47" s="545"/>
      <c r="SEO47" s="545"/>
      <c r="SEP47" s="545"/>
      <c r="SEQ47" s="545"/>
      <c r="SER47" s="545"/>
      <c r="SES47" s="544"/>
      <c r="SET47" s="545"/>
      <c r="SEU47" s="545"/>
      <c r="SEV47" s="545"/>
      <c r="SEW47" s="545"/>
      <c r="SEX47" s="545"/>
      <c r="SEY47" s="545"/>
      <c r="SEZ47" s="544"/>
      <c r="SFA47" s="545"/>
      <c r="SFB47" s="545"/>
      <c r="SFC47" s="545"/>
      <c r="SFD47" s="545"/>
      <c r="SFE47" s="545"/>
      <c r="SFF47" s="545"/>
      <c r="SFG47" s="544"/>
      <c r="SFH47" s="545"/>
      <c r="SFI47" s="545"/>
      <c r="SFJ47" s="545"/>
      <c r="SFK47" s="545"/>
      <c r="SFL47" s="545"/>
      <c r="SFM47" s="545"/>
      <c r="SFN47" s="544"/>
      <c r="SFO47" s="545"/>
      <c r="SFP47" s="545"/>
      <c r="SFQ47" s="545"/>
      <c r="SFR47" s="545"/>
      <c r="SFS47" s="545"/>
      <c r="SFT47" s="545"/>
      <c r="SFU47" s="544"/>
      <c r="SFV47" s="545"/>
      <c r="SFW47" s="545"/>
      <c r="SFX47" s="545"/>
      <c r="SFY47" s="545"/>
      <c r="SFZ47" s="545"/>
      <c r="SGA47" s="545"/>
      <c r="SGB47" s="544"/>
      <c r="SGC47" s="545"/>
      <c r="SGD47" s="545"/>
      <c r="SGE47" s="545"/>
      <c r="SGF47" s="545"/>
      <c r="SGG47" s="545"/>
      <c r="SGH47" s="545"/>
      <c r="SGI47" s="544"/>
      <c r="SGJ47" s="545"/>
      <c r="SGK47" s="545"/>
      <c r="SGL47" s="545"/>
      <c r="SGM47" s="545"/>
      <c r="SGN47" s="545"/>
      <c r="SGO47" s="545"/>
      <c r="SGP47" s="544"/>
      <c r="SGQ47" s="545"/>
      <c r="SGR47" s="545"/>
      <c r="SGS47" s="545"/>
      <c r="SGT47" s="545"/>
      <c r="SGU47" s="545"/>
      <c r="SGV47" s="545"/>
      <c r="SGW47" s="544"/>
      <c r="SGX47" s="545"/>
      <c r="SGY47" s="545"/>
      <c r="SGZ47" s="545"/>
      <c r="SHA47" s="545"/>
      <c r="SHB47" s="545"/>
      <c r="SHC47" s="545"/>
      <c r="SHD47" s="544"/>
      <c r="SHE47" s="545"/>
      <c r="SHF47" s="545"/>
      <c r="SHG47" s="545"/>
      <c r="SHH47" s="545"/>
      <c r="SHI47" s="545"/>
      <c r="SHJ47" s="545"/>
      <c r="SHK47" s="544"/>
      <c r="SHL47" s="545"/>
      <c r="SHM47" s="545"/>
      <c r="SHN47" s="545"/>
      <c r="SHO47" s="545"/>
      <c r="SHP47" s="545"/>
      <c r="SHQ47" s="545"/>
      <c r="SHR47" s="544"/>
      <c r="SHS47" s="545"/>
      <c r="SHT47" s="545"/>
      <c r="SHU47" s="545"/>
      <c r="SHV47" s="545"/>
      <c r="SHW47" s="545"/>
      <c r="SHX47" s="545"/>
      <c r="SHY47" s="544"/>
      <c r="SHZ47" s="545"/>
      <c r="SIA47" s="545"/>
      <c r="SIB47" s="545"/>
      <c r="SIC47" s="545"/>
      <c r="SID47" s="545"/>
      <c r="SIE47" s="545"/>
      <c r="SIF47" s="544"/>
      <c r="SIG47" s="545"/>
      <c r="SIH47" s="545"/>
      <c r="SII47" s="545"/>
      <c r="SIJ47" s="545"/>
      <c r="SIK47" s="545"/>
      <c r="SIL47" s="545"/>
      <c r="SIM47" s="544"/>
      <c r="SIN47" s="545"/>
      <c r="SIO47" s="545"/>
      <c r="SIP47" s="545"/>
      <c r="SIQ47" s="545"/>
      <c r="SIR47" s="545"/>
      <c r="SIS47" s="545"/>
      <c r="SIT47" s="544"/>
      <c r="SIU47" s="545"/>
      <c r="SIV47" s="545"/>
      <c r="SIW47" s="545"/>
      <c r="SIX47" s="545"/>
      <c r="SIY47" s="545"/>
      <c r="SIZ47" s="545"/>
      <c r="SJA47" s="544"/>
      <c r="SJB47" s="545"/>
      <c r="SJC47" s="545"/>
      <c r="SJD47" s="545"/>
      <c r="SJE47" s="545"/>
      <c r="SJF47" s="545"/>
      <c r="SJG47" s="545"/>
      <c r="SJH47" s="544"/>
      <c r="SJI47" s="545"/>
      <c r="SJJ47" s="545"/>
      <c r="SJK47" s="545"/>
      <c r="SJL47" s="545"/>
      <c r="SJM47" s="545"/>
      <c r="SJN47" s="545"/>
      <c r="SJO47" s="544"/>
      <c r="SJP47" s="545"/>
      <c r="SJQ47" s="545"/>
      <c r="SJR47" s="545"/>
      <c r="SJS47" s="545"/>
      <c r="SJT47" s="545"/>
      <c r="SJU47" s="545"/>
      <c r="SJV47" s="544"/>
      <c r="SJW47" s="545"/>
      <c r="SJX47" s="545"/>
      <c r="SJY47" s="545"/>
      <c r="SJZ47" s="545"/>
      <c r="SKA47" s="545"/>
      <c r="SKB47" s="545"/>
      <c r="SKC47" s="544"/>
      <c r="SKD47" s="545"/>
      <c r="SKE47" s="545"/>
      <c r="SKF47" s="545"/>
      <c r="SKG47" s="545"/>
      <c r="SKH47" s="545"/>
      <c r="SKI47" s="545"/>
      <c r="SKJ47" s="544"/>
      <c r="SKK47" s="545"/>
      <c r="SKL47" s="545"/>
      <c r="SKM47" s="545"/>
      <c r="SKN47" s="545"/>
      <c r="SKO47" s="545"/>
      <c r="SKP47" s="545"/>
      <c r="SKQ47" s="544"/>
      <c r="SKR47" s="545"/>
      <c r="SKS47" s="545"/>
      <c r="SKT47" s="545"/>
      <c r="SKU47" s="545"/>
      <c r="SKV47" s="545"/>
      <c r="SKW47" s="545"/>
      <c r="SKX47" s="544"/>
      <c r="SKY47" s="545"/>
      <c r="SKZ47" s="545"/>
      <c r="SLA47" s="545"/>
      <c r="SLB47" s="545"/>
      <c r="SLC47" s="545"/>
      <c r="SLD47" s="545"/>
      <c r="SLE47" s="544"/>
      <c r="SLF47" s="545"/>
      <c r="SLG47" s="545"/>
      <c r="SLH47" s="545"/>
      <c r="SLI47" s="545"/>
      <c r="SLJ47" s="545"/>
      <c r="SLK47" s="545"/>
      <c r="SLL47" s="544"/>
      <c r="SLM47" s="545"/>
      <c r="SLN47" s="545"/>
      <c r="SLO47" s="545"/>
      <c r="SLP47" s="545"/>
      <c r="SLQ47" s="545"/>
      <c r="SLR47" s="545"/>
      <c r="SLS47" s="544"/>
      <c r="SLT47" s="545"/>
      <c r="SLU47" s="545"/>
      <c r="SLV47" s="545"/>
      <c r="SLW47" s="545"/>
      <c r="SLX47" s="545"/>
      <c r="SLY47" s="545"/>
      <c r="SLZ47" s="544"/>
      <c r="SMA47" s="545"/>
      <c r="SMB47" s="545"/>
      <c r="SMC47" s="545"/>
      <c r="SMD47" s="545"/>
      <c r="SME47" s="545"/>
      <c r="SMF47" s="545"/>
      <c r="SMG47" s="544"/>
      <c r="SMH47" s="545"/>
      <c r="SMI47" s="545"/>
      <c r="SMJ47" s="545"/>
      <c r="SMK47" s="545"/>
      <c r="SML47" s="545"/>
      <c r="SMM47" s="545"/>
      <c r="SMN47" s="544"/>
      <c r="SMO47" s="545"/>
      <c r="SMP47" s="545"/>
      <c r="SMQ47" s="545"/>
      <c r="SMR47" s="545"/>
      <c r="SMS47" s="545"/>
      <c r="SMT47" s="545"/>
      <c r="SMU47" s="544"/>
      <c r="SMV47" s="545"/>
      <c r="SMW47" s="545"/>
      <c r="SMX47" s="545"/>
      <c r="SMY47" s="545"/>
      <c r="SMZ47" s="545"/>
      <c r="SNA47" s="545"/>
      <c r="SNB47" s="544"/>
      <c r="SNC47" s="545"/>
      <c r="SND47" s="545"/>
      <c r="SNE47" s="545"/>
      <c r="SNF47" s="545"/>
      <c r="SNG47" s="545"/>
      <c r="SNH47" s="545"/>
      <c r="SNI47" s="544"/>
      <c r="SNJ47" s="545"/>
      <c r="SNK47" s="545"/>
      <c r="SNL47" s="545"/>
      <c r="SNM47" s="545"/>
      <c r="SNN47" s="545"/>
      <c r="SNO47" s="545"/>
      <c r="SNP47" s="544"/>
      <c r="SNQ47" s="545"/>
      <c r="SNR47" s="545"/>
      <c r="SNS47" s="545"/>
      <c r="SNT47" s="545"/>
      <c r="SNU47" s="545"/>
      <c r="SNV47" s="545"/>
      <c r="SNW47" s="544"/>
      <c r="SNX47" s="545"/>
      <c r="SNY47" s="545"/>
      <c r="SNZ47" s="545"/>
      <c r="SOA47" s="545"/>
      <c r="SOB47" s="545"/>
      <c r="SOC47" s="545"/>
      <c r="SOD47" s="544"/>
      <c r="SOE47" s="545"/>
      <c r="SOF47" s="545"/>
      <c r="SOG47" s="545"/>
      <c r="SOH47" s="545"/>
      <c r="SOI47" s="545"/>
      <c r="SOJ47" s="545"/>
      <c r="SOK47" s="544"/>
      <c r="SOL47" s="545"/>
      <c r="SOM47" s="545"/>
      <c r="SON47" s="545"/>
      <c r="SOO47" s="545"/>
      <c r="SOP47" s="545"/>
      <c r="SOQ47" s="545"/>
      <c r="SOR47" s="544"/>
      <c r="SOS47" s="545"/>
      <c r="SOT47" s="545"/>
      <c r="SOU47" s="545"/>
      <c r="SOV47" s="545"/>
      <c r="SOW47" s="545"/>
      <c r="SOX47" s="545"/>
      <c r="SOY47" s="544"/>
      <c r="SOZ47" s="545"/>
      <c r="SPA47" s="545"/>
      <c r="SPB47" s="545"/>
      <c r="SPC47" s="545"/>
      <c r="SPD47" s="545"/>
      <c r="SPE47" s="545"/>
      <c r="SPF47" s="544"/>
      <c r="SPG47" s="545"/>
      <c r="SPH47" s="545"/>
      <c r="SPI47" s="545"/>
      <c r="SPJ47" s="545"/>
      <c r="SPK47" s="545"/>
      <c r="SPL47" s="545"/>
      <c r="SPM47" s="544"/>
      <c r="SPN47" s="545"/>
      <c r="SPO47" s="545"/>
      <c r="SPP47" s="545"/>
      <c r="SPQ47" s="545"/>
      <c r="SPR47" s="545"/>
      <c r="SPS47" s="545"/>
      <c r="SPT47" s="544"/>
      <c r="SPU47" s="545"/>
      <c r="SPV47" s="545"/>
      <c r="SPW47" s="545"/>
      <c r="SPX47" s="545"/>
      <c r="SPY47" s="545"/>
      <c r="SPZ47" s="545"/>
      <c r="SQA47" s="544"/>
      <c r="SQB47" s="545"/>
      <c r="SQC47" s="545"/>
      <c r="SQD47" s="545"/>
      <c r="SQE47" s="545"/>
      <c r="SQF47" s="545"/>
      <c r="SQG47" s="545"/>
      <c r="SQH47" s="544"/>
      <c r="SQI47" s="545"/>
      <c r="SQJ47" s="545"/>
      <c r="SQK47" s="545"/>
      <c r="SQL47" s="545"/>
      <c r="SQM47" s="545"/>
      <c r="SQN47" s="545"/>
      <c r="SQO47" s="544"/>
      <c r="SQP47" s="545"/>
      <c r="SQQ47" s="545"/>
      <c r="SQR47" s="545"/>
      <c r="SQS47" s="545"/>
      <c r="SQT47" s="545"/>
      <c r="SQU47" s="545"/>
      <c r="SQV47" s="544"/>
      <c r="SQW47" s="545"/>
      <c r="SQX47" s="545"/>
      <c r="SQY47" s="545"/>
      <c r="SQZ47" s="545"/>
      <c r="SRA47" s="545"/>
      <c r="SRB47" s="545"/>
      <c r="SRC47" s="544"/>
      <c r="SRD47" s="545"/>
      <c r="SRE47" s="545"/>
      <c r="SRF47" s="545"/>
      <c r="SRG47" s="545"/>
      <c r="SRH47" s="545"/>
      <c r="SRI47" s="545"/>
      <c r="SRJ47" s="544"/>
      <c r="SRK47" s="545"/>
      <c r="SRL47" s="545"/>
      <c r="SRM47" s="545"/>
      <c r="SRN47" s="545"/>
      <c r="SRO47" s="545"/>
      <c r="SRP47" s="545"/>
      <c r="SRQ47" s="544"/>
      <c r="SRR47" s="545"/>
      <c r="SRS47" s="545"/>
      <c r="SRT47" s="545"/>
      <c r="SRU47" s="545"/>
      <c r="SRV47" s="545"/>
      <c r="SRW47" s="545"/>
      <c r="SRX47" s="544"/>
      <c r="SRY47" s="545"/>
      <c r="SRZ47" s="545"/>
      <c r="SSA47" s="545"/>
      <c r="SSB47" s="545"/>
      <c r="SSC47" s="545"/>
      <c r="SSD47" s="545"/>
      <c r="SSE47" s="544"/>
      <c r="SSF47" s="545"/>
      <c r="SSG47" s="545"/>
      <c r="SSH47" s="545"/>
      <c r="SSI47" s="545"/>
      <c r="SSJ47" s="545"/>
      <c r="SSK47" s="545"/>
      <c r="SSL47" s="544"/>
      <c r="SSM47" s="545"/>
      <c r="SSN47" s="545"/>
      <c r="SSO47" s="545"/>
      <c r="SSP47" s="545"/>
      <c r="SSQ47" s="545"/>
      <c r="SSR47" s="545"/>
      <c r="SSS47" s="544"/>
      <c r="SST47" s="545"/>
      <c r="SSU47" s="545"/>
      <c r="SSV47" s="545"/>
      <c r="SSW47" s="545"/>
      <c r="SSX47" s="545"/>
      <c r="SSY47" s="545"/>
      <c r="SSZ47" s="544"/>
      <c r="STA47" s="545"/>
      <c r="STB47" s="545"/>
      <c r="STC47" s="545"/>
      <c r="STD47" s="545"/>
      <c r="STE47" s="545"/>
      <c r="STF47" s="545"/>
      <c r="STG47" s="544"/>
      <c r="STH47" s="545"/>
      <c r="STI47" s="545"/>
      <c r="STJ47" s="545"/>
      <c r="STK47" s="545"/>
      <c r="STL47" s="545"/>
      <c r="STM47" s="545"/>
      <c r="STN47" s="544"/>
      <c r="STO47" s="545"/>
      <c r="STP47" s="545"/>
      <c r="STQ47" s="545"/>
      <c r="STR47" s="545"/>
      <c r="STS47" s="545"/>
      <c r="STT47" s="545"/>
      <c r="STU47" s="544"/>
      <c r="STV47" s="545"/>
      <c r="STW47" s="545"/>
      <c r="STX47" s="545"/>
      <c r="STY47" s="545"/>
      <c r="STZ47" s="545"/>
      <c r="SUA47" s="545"/>
      <c r="SUB47" s="544"/>
      <c r="SUC47" s="545"/>
      <c r="SUD47" s="545"/>
      <c r="SUE47" s="545"/>
      <c r="SUF47" s="545"/>
      <c r="SUG47" s="545"/>
      <c r="SUH47" s="545"/>
      <c r="SUI47" s="544"/>
      <c r="SUJ47" s="545"/>
      <c r="SUK47" s="545"/>
      <c r="SUL47" s="545"/>
      <c r="SUM47" s="545"/>
      <c r="SUN47" s="545"/>
      <c r="SUO47" s="545"/>
      <c r="SUP47" s="544"/>
      <c r="SUQ47" s="545"/>
      <c r="SUR47" s="545"/>
      <c r="SUS47" s="545"/>
      <c r="SUT47" s="545"/>
      <c r="SUU47" s="545"/>
      <c r="SUV47" s="545"/>
      <c r="SUW47" s="544"/>
      <c r="SUX47" s="545"/>
      <c r="SUY47" s="545"/>
      <c r="SUZ47" s="545"/>
      <c r="SVA47" s="545"/>
      <c r="SVB47" s="545"/>
      <c r="SVC47" s="545"/>
      <c r="SVD47" s="544"/>
      <c r="SVE47" s="545"/>
      <c r="SVF47" s="545"/>
      <c r="SVG47" s="545"/>
      <c r="SVH47" s="545"/>
      <c r="SVI47" s="545"/>
      <c r="SVJ47" s="545"/>
      <c r="SVK47" s="544"/>
      <c r="SVL47" s="545"/>
      <c r="SVM47" s="545"/>
      <c r="SVN47" s="545"/>
      <c r="SVO47" s="545"/>
      <c r="SVP47" s="545"/>
      <c r="SVQ47" s="545"/>
      <c r="SVR47" s="544"/>
      <c r="SVS47" s="545"/>
      <c r="SVT47" s="545"/>
      <c r="SVU47" s="545"/>
      <c r="SVV47" s="545"/>
      <c r="SVW47" s="545"/>
      <c r="SVX47" s="545"/>
      <c r="SVY47" s="544"/>
      <c r="SVZ47" s="545"/>
      <c r="SWA47" s="545"/>
      <c r="SWB47" s="545"/>
      <c r="SWC47" s="545"/>
      <c r="SWD47" s="545"/>
      <c r="SWE47" s="545"/>
      <c r="SWF47" s="544"/>
      <c r="SWG47" s="545"/>
      <c r="SWH47" s="545"/>
      <c r="SWI47" s="545"/>
      <c r="SWJ47" s="545"/>
      <c r="SWK47" s="545"/>
      <c r="SWL47" s="545"/>
      <c r="SWM47" s="544"/>
      <c r="SWN47" s="545"/>
      <c r="SWO47" s="545"/>
      <c r="SWP47" s="545"/>
      <c r="SWQ47" s="545"/>
      <c r="SWR47" s="545"/>
      <c r="SWS47" s="545"/>
      <c r="SWT47" s="544"/>
      <c r="SWU47" s="545"/>
      <c r="SWV47" s="545"/>
      <c r="SWW47" s="545"/>
      <c r="SWX47" s="545"/>
      <c r="SWY47" s="545"/>
      <c r="SWZ47" s="545"/>
      <c r="SXA47" s="544"/>
      <c r="SXB47" s="545"/>
      <c r="SXC47" s="545"/>
      <c r="SXD47" s="545"/>
      <c r="SXE47" s="545"/>
      <c r="SXF47" s="545"/>
      <c r="SXG47" s="545"/>
      <c r="SXH47" s="544"/>
      <c r="SXI47" s="545"/>
      <c r="SXJ47" s="545"/>
      <c r="SXK47" s="545"/>
      <c r="SXL47" s="545"/>
      <c r="SXM47" s="545"/>
      <c r="SXN47" s="545"/>
      <c r="SXO47" s="544"/>
      <c r="SXP47" s="545"/>
      <c r="SXQ47" s="545"/>
      <c r="SXR47" s="545"/>
      <c r="SXS47" s="545"/>
      <c r="SXT47" s="545"/>
      <c r="SXU47" s="545"/>
      <c r="SXV47" s="544"/>
      <c r="SXW47" s="545"/>
      <c r="SXX47" s="545"/>
      <c r="SXY47" s="545"/>
      <c r="SXZ47" s="545"/>
      <c r="SYA47" s="545"/>
      <c r="SYB47" s="545"/>
      <c r="SYC47" s="544"/>
      <c r="SYD47" s="545"/>
      <c r="SYE47" s="545"/>
      <c r="SYF47" s="545"/>
      <c r="SYG47" s="545"/>
      <c r="SYH47" s="545"/>
      <c r="SYI47" s="545"/>
      <c r="SYJ47" s="544"/>
      <c r="SYK47" s="545"/>
      <c r="SYL47" s="545"/>
      <c r="SYM47" s="545"/>
      <c r="SYN47" s="545"/>
      <c r="SYO47" s="545"/>
      <c r="SYP47" s="545"/>
      <c r="SYQ47" s="544"/>
      <c r="SYR47" s="545"/>
      <c r="SYS47" s="545"/>
      <c r="SYT47" s="545"/>
      <c r="SYU47" s="545"/>
      <c r="SYV47" s="545"/>
      <c r="SYW47" s="545"/>
      <c r="SYX47" s="544"/>
      <c r="SYY47" s="545"/>
      <c r="SYZ47" s="545"/>
      <c r="SZA47" s="545"/>
      <c r="SZB47" s="545"/>
      <c r="SZC47" s="545"/>
      <c r="SZD47" s="545"/>
      <c r="SZE47" s="544"/>
      <c r="SZF47" s="545"/>
      <c r="SZG47" s="545"/>
      <c r="SZH47" s="545"/>
      <c r="SZI47" s="545"/>
      <c r="SZJ47" s="545"/>
      <c r="SZK47" s="545"/>
      <c r="SZL47" s="544"/>
      <c r="SZM47" s="545"/>
      <c r="SZN47" s="545"/>
      <c r="SZO47" s="545"/>
      <c r="SZP47" s="545"/>
      <c r="SZQ47" s="545"/>
      <c r="SZR47" s="545"/>
      <c r="SZS47" s="544"/>
      <c r="SZT47" s="545"/>
      <c r="SZU47" s="545"/>
      <c r="SZV47" s="545"/>
      <c r="SZW47" s="545"/>
      <c r="SZX47" s="545"/>
      <c r="SZY47" s="545"/>
      <c r="SZZ47" s="544"/>
      <c r="TAA47" s="545"/>
      <c r="TAB47" s="545"/>
      <c r="TAC47" s="545"/>
      <c r="TAD47" s="545"/>
      <c r="TAE47" s="545"/>
      <c r="TAF47" s="545"/>
      <c r="TAG47" s="544"/>
      <c r="TAH47" s="545"/>
      <c r="TAI47" s="545"/>
      <c r="TAJ47" s="545"/>
      <c r="TAK47" s="545"/>
      <c r="TAL47" s="545"/>
      <c r="TAM47" s="545"/>
      <c r="TAN47" s="544"/>
      <c r="TAO47" s="545"/>
      <c r="TAP47" s="545"/>
      <c r="TAQ47" s="545"/>
      <c r="TAR47" s="545"/>
      <c r="TAS47" s="545"/>
      <c r="TAT47" s="545"/>
      <c r="TAU47" s="544"/>
      <c r="TAV47" s="545"/>
      <c r="TAW47" s="545"/>
      <c r="TAX47" s="545"/>
      <c r="TAY47" s="545"/>
      <c r="TAZ47" s="545"/>
      <c r="TBA47" s="545"/>
      <c r="TBB47" s="544"/>
      <c r="TBC47" s="545"/>
      <c r="TBD47" s="545"/>
      <c r="TBE47" s="545"/>
      <c r="TBF47" s="545"/>
      <c r="TBG47" s="545"/>
      <c r="TBH47" s="545"/>
      <c r="TBI47" s="544"/>
      <c r="TBJ47" s="545"/>
      <c r="TBK47" s="545"/>
      <c r="TBL47" s="545"/>
      <c r="TBM47" s="545"/>
      <c r="TBN47" s="545"/>
      <c r="TBO47" s="545"/>
      <c r="TBP47" s="544"/>
      <c r="TBQ47" s="545"/>
      <c r="TBR47" s="545"/>
      <c r="TBS47" s="545"/>
      <c r="TBT47" s="545"/>
      <c r="TBU47" s="545"/>
      <c r="TBV47" s="545"/>
      <c r="TBW47" s="544"/>
      <c r="TBX47" s="545"/>
      <c r="TBY47" s="545"/>
      <c r="TBZ47" s="545"/>
      <c r="TCA47" s="545"/>
      <c r="TCB47" s="545"/>
      <c r="TCC47" s="545"/>
      <c r="TCD47" s="544"/>
      <c r="TCE47" s="545"/>
      <c r="TCF47" s="545"/>
      <c r="TCG47" s="545"/>
      <c r="TCH47" s="545"/>
      <c r="TCI47" s="545"/>
      <c r="TCJ47" s="545"/>
      <c r="TCK47" s="544"/>
      <c r="TCL47" s="545"/>
      <c r="TCM47" s="545"/>
      <c r="TCN47" s="545"/>
      <c r="TCO47" s="545"/>
      <c r="TCP47" s="545"/>
      <c r="TCQ47" s="545"/>
      <c r="TCR47" s="544"/>
      <c r="TCS47" s="545"/>
      <c r="TCT47" s="545"/>
      <c r="TCU47" s="545"/>
      <c r="TCV47" s="545"/>
      <c r="TCW47" s="545"/>
      <c r="TCX47" s="545"/>
      <c r="TCY47" s="544"/>
      <c r="TCZ47" s="545"/>
      <c r="TDA47" s="545"/>
      <c r="TDB47" s="545"/>
      <c r="TDC47" s="545"/>
      <c r="TDD47" s="545"/>
      <c r="TDE47" s="545"/>
      <c r="TDF47" s="544"/>
      <c r="TDG47" s="545"/>
      <c r="TDH47" s="545"/>
      <c r="TDI47" s="545"/>
      <c r="TDJ47" s="545"/>
      <c r="TDK47" s="545"/>
      <c r="TDL47" s="545"/>
      <c r="TDM47" s="544"/>
      <c r="TDN47" s="545"/>
      <c r="TDO47" s="545"/>
      <c r="TDP47" s="545"/>
      <c r="TDQ47" s="545"/>
      <c r="TDR47" s="545"/>
      <c r="TDS47" s="545"/>
      <c r="TDT47" s="544"/>
      <c r="TDU47" s="545"/>
      <c r="TDV47" s="545"/>
      <c r="TDW47" s="545"/>
      <c r="TDX47" s="545"/>
      <c r="TDY47" s="545"/>
      <c r="TDZ47" s="545"/>
      <c r="TEA47" s="544"/>
      <c r="TEB47" s="545"/>
      <c r="TEC47" s="545"/>
      <c r="TED47" s="545"/>
      <c r="TEE47" s="545"/>
      <c r="TEF47" s="545"/>
      <c r="TEG47" s="545"/>
      <c r="TEH47" s="544"/>
      <c r="TEI47" s="545"/>
      <c r="TEJ47" s="545"/>
      <c r="TEK47" s="545"/>
      <c r="TEL47" s="545"/>
      <c r="TEM47" s="545"/>
      <c r="TEN47" s="545"/>
      <c r="TEO47" s="544"/>
      <c r="TEP47" s="545"/>
      <c r="TEQ47" s="545"/>
      <c r="TER47" s="545"/>
      <c r="TES47" s="545"/>
      <c r="TET47" s="545"/>
      <c r="TEU47" s="545"/>
      <c r="TEV47" s="544"/>
      <c r="TEW47" s="545"/>
      <c r="TEX47" s="545"/>
      <c r="TEY47" s="545"/>
      <c r="TEZ47" s="545"/>
      <c r="TFA47" s="545"/>
      <c r="TFB47" s="545"/>
      <c r="TFC47" s="544"/>
      <c r="TFD47" s="545"/>
      <c r="TFE47" s="545"/>
      <c r="TFF47" s="545"/>
      <c r="TFG47" s="545"/>
      <c r="TFH47" s="545"/>
      <c r="TFI47" s="545"/>
      <c r="TFJ47" s="544"/>
      <c r="TFK47" s="545"/>
      <c r="TFL47" s="545"/>
      <c r="TFM47" s="545"/>
      <c r="TFN47" s="545"/>
      <c r="TFO47" s="545"/>
      <c r="TFP47" s="545"/>
      <c r="TFQ47" s="544"/>
      <c r="TFR47" s="545"/>
      <c r="TFS47" s="545"/>
      <c r="TFT47" s="545"/>
      <c r="TFU47" s="545"/>
      <c r="TFV47" s="545"/>
      <c r="TFW47" s="545"/>
      <c r="TFX47" s="544"/>
      <c r="TFY47" s="545"/>
      <c r="TFZ47" s="545"/>
      <c r="TGA47" s="545"/>
      <c r="TGB47" s="545"/>
      <c r="TGC47" s="545"/>
      <c r="TGD47" s="545"/>
      <c r="TGE47" s="544"/>
      <c r="TGF47" s="545"/>
      <c r="TGG47" s="545"/>
      <c r="TGH47" s="545"/>
      <c r="TGI47" s="545"/>
      <c r="TGJ47" s="545"/>
      <c r="TGK47" s="545"/>
      <c r="TGL47" s="544"/>
      <c r="TGM47" s="545"/>
      <c r="TGN47" s="545"/>
      <c r="TGO47" s="545"/>
      <c r="TGP47" s="545"/>
      <c r="TGQ47" s="545"/>
      <c r="TGR47" s="545"/>
      <c r="TGS47" s="544"/>
      <c r="TGT47" s="545"/>
      <c r="TGU47" s="545"/>
      <c r="TGV47" s="545"/>
      <c r="TGW47" s="545"/>
      <c r="TGX47" s="545"/>
      <c r="TGY47" s="545"/>
      <c r="TGZ47" s="544"/>
      <c r="THA47" s="545"/>
      <c r="THB47" s="545"/>
      <c r="THC47" s="545"/>
      <c r="THD47" s="545"/>
      <c r="THE47" s="545"/>
      <c r="THF47" s="545"/>
      <c r="THG47" s="544"/>
      <c r="THH47" s="545"/>
      <c r="THI47" s="545"/>
      <c r="THJ47" s="545"/>
      <c r="THK47" s="545"/>
      <c r="THL47" s="545"/>
      <c r="THM47" s="545"/>
      <c r="THN47" s="544"/>
      <c r="THO47" s="545"/>
      <c r="THP47" s="545"/>
      <c r="THQ47" s="545"/>
      <c r="THR47" s="545"/>
      <c r="THS47" s="545"/>
      <c r="THT47" s="545"/>
      <c r="THU47" s="544"/>
      <c r="THV47" s="545"/>
      <c r="THW47" s="545"/>
      <c r="THX47" s="545"/>
      <c r="THY47" s="545"/>
      <c r="THZ47" s="545"/>
      <c r="TIA47" s="545"/>
      <c r="TIB47" s="544"/>
      <c r="TIC47" s="545"/>
      <c r="TID47" s="545"/>
      <c r="TIE47" s="545"/>
      <c r="TIF47" s="545"/>
      <c r="TIG47" s="545"/>
      <c r="TIH47" s="545"/>
      <c r="TII47" s="544"/>
      <c r="TIJ47" s="545"/>
      <c r="TIK47" s="545"/>
      <c r="TIL47" s="545"/>
      <c r="TIM47" s="545"/>
      <c r="TIN47" s="545"/>
      <c r="TIO47" s="545"/>
      <c r="TIP47" s="544"/>
      <c r="TIQ47" s="545"/>
      <c r="TIR47" s="545"/>
      <c r="TIS47" s="545"/>
      <c r="TIT47" s="545"/>
      <c r="TIU47" s="545"/>
      <c r="TIV47" s="545"/>
      <c r="TIW47" s="544"/>
      <c r="TIX47" s="545"/>
      <c r="TIY47" s="545"/>
      <c r="TIZ47" s="545"/>
      <c r="TJA47" s="545"/>
      <c r="TJB47" s="545"/>
      <c r="TJC47" s="545"/>
      <c r="TJD47" s="544"/>
      <c r="TJE47" s="545"/>
      <c r="TJF47" s="545"/>
      <c r="TJG47" s="545"/>
      <c r="TJH47" s="545"/>
      <c r="TJI47" s="545"/>
      <c r="TJJ47" s="545"/>
      <c r="TJK47" s="544"/>
      <c r="TJL47" s="545"/>
      <c r="TJM47" s="545"/>
      <c r="TJN47" s="545"/>
      <c r="TJO47" s="545"/>
      <c r="TJP47" s="545"/>
      <c r="TJQ47" s="545"/>
      <c r="TJR47" s="544"/>
      <c r="TJS47" s="545"/>
      <c r="TJT47" s="545"/>
      <c r="TJU47" s="545"/>
      <c r="TJV47" s="545"/>
      <c r="TJW47" s="545"/>
      <c r="TJX47" s="545"/>
      <c r="TJY47" s="544"/>
      <c r="TJZ47" s="545"/>
      <c r="TKA47" s="545"/>
      <c r="TKB47" s="545"/>
      <c r="TKC47" s="545"/>
      <c r="TKD47" s="545"/>
      <c r="TKE47" s="545"/>
      <c r="TKF47" s="544"/>
      <c r="TKG47" s="545"/>
      <c r="TKH47" s="545"/>
      <c r="TKI47" s="545"/>
      <c r="TKJ47" s="545"/>
      <c r="TKK47" s="545"/>
      <c r="TKL47" s="545"/>
      <c r="TKM47" s="544"/>
      <c r="TKN47" s="545"/>
      <c r="TKO47" s="545"/>
      <c r="TKP47" s="545"/>
      <c r="TKQ47" s="545"/>
      <c r="TKR47" s="545"/>
      <c r="TKS47" s="545"/>
      <c r="TKT47" s="544"/>
      <c r="TKU47" s="545"/>
      <c r="TKV47" s="545"/>
      <c r="TKW47" s="545"/>
      <c r="TKX47" s="545"/>
      <c r="TKY47" s="545"/>
      <c r="TKZ47" s="545"/>
      <c r="TLA47" s="544"/>
      <c r="TLB47" s="545"/>
      <c r="TLC47" s="545"/>
      <c r="TLD47" s="545"/>
      <c r="TLE47" s="545"/>
      <c r="TLF47" s="545"/>
      <c r="TLG47" s="545"/>
      <c r="TLH47" s="544"/>
      <c r="TLI47" s="545"/>
      <c r="TLJ47" s="545"/>
      <c r="TLK47" s="545"/>
      <c r="TLL47" s="545"/>
      <c r="TLM47" s="545"/>
      <c r="TLN47" s="545"/>
      <c r="TLO47" s="544"/>
      <c r="TLP47" s="545"/>
      <c r="TLQ47" s="545"/>
      <c r="TLR47" s="545"/>
      <c r="TLS47" s="545"/>
      <c r="TLT47" s="545"/>
      <c r="TLU47" s="545"/>
      <c r="TLV47" s="544"/>
      <c r="TLW47" s="545"/>
      <c r="TLX47" s="545"/>
      <c r="TLY47" s="545"/>
      <c r="TLZ47" s="545"/>
      <c r="TMA47" s="545"/>
      <c r="TMB47" s="545"/>
      <c r="TMC47" s="544"/>
      <c r="TMD47" s="545"/>
      <c r="TME47" s="545"/>
      <c r="TMF47" s="545"/>
      <c r="TMG47" s="545"/>
      <c r="TMH47" s="545"/>
      <c r="TMI47" s="545"/>
      <c r="TMJ47" s="544"/>
      <c r="TMK47" s="545"/>
      <c r="TML47" s="545"/>
      <c r="TMM47" s="545"/>
      <c r="TMN47" s="545"/>
      <c r="TMO47" s="545"/>
      <c r="TMP47" s="545"/>
      <c r="TMQ47" s="544"/>
      <c r="TMR47" s="545"/>
      <c r="TMS47" s="545"/>
      <c r="TMT47" s="545"/>
      <c r="TMU47" s="545"/>
      <c r="TMV47" s="545"/>
      <c r="TMW47" s="545"/>
      <c r="TMX47" s="544"/>
      <c r="TMY47" s="545"/>
      <c r="TMZ47" s="545"/>
      <c r="TNA47" s="545"/>
      <c r="TNB47" s="545"/>
      <c r="TNC47" s="545"/>
      <c r="TND47" s="545"/>
      <c r="TNE47" s="544"/>
      <c r="TNF47" s="545"/>
      <c r="TNG47" s="545"/>
      <c r="TNH47" s="545"/>
      <c r="TNI47" s="545"/>
      <c r="TNJ47" s="545"/>
      <c r="TNK47" s="545"/>
      <c r="TNL47" s="544"/>
      <c r="TNM47" s="545"/>
      <c r="TNN47" s="545"/>
      <c r="TNO47" s="545"/>
      <c r="TNP47" s="545"/>
      <c r="TNQ47" s="545"/>
      <c r="TNR47" s="545"/>
      <c r="TNS47" s="544"/>
      <c r="TNT47" s="545"/>
      <c r="TNU47" s="545"/>
      <c r="TNV47" s="545"/>
      <c r="TNW47" s="545"/>
      <c r="TNX47" s="545"/>
      <c r="TNY47" s="545"/>
      <c r="TNZ47" s="544"/>
      <c r="TOA47" s="545"/>
      <c r="TOB47" s="545"/>
      <c r="TOC47" s="545"/>
      <c r="TOD47" s="545"/>
      <c r="TOE47" s="545"/>
      <c r="TOF47" s="545"/>
      <c r="TOG47" s="544"/>
      <c r="TOH47" s="545"/>
      <c r="TOI47" s="545"/>
      <c r="TOJ47" s="545"/>
      <c r="TOK47" s="545"/>
      <c r="TOL47" s="545"/>
      <c r="TOM47" s="545"/>
      <c r="TON47" s="544"/>
      <c r="TOO47" s="545"/>
      <c r="TOP47" s="545"/>
      <c r="TOQ47" s="545"/>
      <c r="TOR47" s="545"/>
      <c r="TOS47" s="545"/>
      <c r="TOT47" s="545"/>
      <c r="TOU47" s="544"/>
      <c r="TOV47" s="545"/>
      <c r="TOW47" s="545"/>
      <c r="TOX47" s="545"/>
      <c r="TOY47" s="545"/>
      <c r="TOZ47" s="545"/>
      <c r="TPA47" s="545"/>
      <c r="TPB47" s="544"/>
      <c r="TPC47" s="545"/>
      <c r="TPD47" s="545"/>
      <c r="TPE47" s="545"/>
      <c r="TPF47" s="545"/>
      <c r="TPG47" s="545"/>
      <c r="TPH47" s="545"/>
      <c r="TPI47" s="544"/>
      <c r="TPJ47" s="545"/>
      <c r="TPK47" s="545"/>
      <c r="TPL47" s="545"/>
      <c r="TPM47" s="545"/>
      <c r="TPN47" s="545"/>
      <c r="TPO47" s="545"/>
      <c r="TPP47" s="544"/>
      <c r="TPQ47" s="545"/>
      <c r="TPR47" s="545"/>
      <c r="TPS47" s="545"/>
      <c r="TPT47" s="545"/>
      <c r="TPU47" s="545"/>
      <c r="TPV47" s="545"/>
      <c r="TPW47" s="544"/>
      <c r="TPX47" s="545"/>
      <c r="TPY47" s="545"/>
      <c r="TPZ47" s="545"/>
      <c r="TQA47" s="545"/>
      <c r="TQB47" s="545"/>
      <c r="TQC47" s="545"/>
      <c r="TQD47" s="544"/>
      <c r="TQE47" s="545"/>
      <c r="TQF47" s="545"/>
      <c r="TQG47" s="545"/>
      <c r="TQH47" s="545"/>
      <c r="TQI47" s="545"/>
      <c r="TQJ47" s="545"/>
      <c r="TQK47" s="544"/>
      <c r="TQL47" s="545"/>
      <c r="TQM47" s="545"/>
      <c r="TQN47" s="545"/>
      <c r="TQO47" s="545"/>
      <c r="TQP47" s="545"/>
      <c r="TQQ47" s="545"/>
      <c r="TQR47" s="544"/>
      <c r="TQS47" s="545"/>
      <c r="TQT47" s="545"/>
      <c r="TQU47" s="545"/>
      <c r="TQV47" s="545"/>
      <c r="TQW47" s="545"/>
      <c r="TQX47" s="545"/>
      <c r="TQY47" s="544"/>
      <c r="TQZ47" s="545"/>
      <c r="TRA47" s="545"/>
      <c r="TRB47" s="545"/>
      <c r="TRC47" s="545"/>
      <c r="TRD47" s="545"/>
      <c r="TRE47" s="545"/>
      <c r="TRF47" s="544"/>
      <c r="TRG47" s="545"/>
      <c r="TRH47" s="545"/>
      <c r="TRI47" s="545"/>
      <c r="TRJ47" s="545"/>
      <c r="TRK47" s="545"/>
      <c r="TRL47" s="545"/>
      <c r="TRM47" s="544"/>
      <c r="TRN47" s="545"/>
      <c r="TRO47" s="545"/>
      <c r="TRP47" s="545"/>
      <c r="TRQ47" s="545"/>
      <c r="TRR47" s="545"/>
      <c r="TRS47" s="545"/>
      <c r="TRT47" s="544"/>
      <c r="TRU47" s="545"/>
      <c r="TRV47" s="545"/>
      <c r="TRW47" s="545"/>
      <c r="TRX47" s="545"/>
      <c r="TRY47" s="545"/>
      <c r="TRZ47" s="545"/>
      <c r="TSA47" s="544"/>
      <c r="TSB47" s="545"/>
      <c r="TSC47" s="545"/>
      <c r="TSD47" s="545"/>
      <c r="TSE47" s="545"/>
      <c r="TSF47" s="545"/>
      <c r="TSG47" s="545"/>
      <c r="TSH47" s="544"/>
      <c r="TSI47" s="545"/>
      <c r="TSJ47" s="545"/>
      <c r="TSK47" s="545"/>
      <c r="TSL47" s="545"/>
      <c r="TSM47" s="545"/>
      <c r="TSN47" s="545"/>
      <c r="TSO47" s="544"/>
      <c r="TSP47" s="545"/>
      <c r="TSQ47" s="545"/>
      <c r="TSR47" s="545"/>
      <c r="TSS47" s="545"/>
      <c r="TST47" s="545"/>
      <c r="TSU47" s="545"/>
      <c r="TSV47" s="544"/>
      <c r="TSW47" s="545"/>
      <c r="TSX47" s="545"/>
      <c r="TSY47" s="545"/>
      <c r="TSZ47" s="545"/>
      <c r="TTA47" s="545"/>
      <c r="TTB47" s="545"/>
      <c r="TTC47" s="544"/>
      <c r="TTD47" s="545"/>
      <c r="TTE47" s="545"/>
      <c r="TTF47" s="545"/>
      <c r="TTG47" s="545"/>
      <c r="TTH47" s="545"/>
      <c r="TTI47" s="545"/>
      <c r="TTJ47" s="544"/>
      <c r="TTK47" s="545"/>
      <c r="TTL47" s="545"/>
      <c r="TTM47" s="545"/>
      <c r="TTN47" s="545"/>
      <c r="TTO47" s="545"/>
      <c r="TTP47" s="545"/>
      <c r="TTQ47" s="544"/>
      <c r="TTR47" s="545"/>
      <c r="TTS47" s="545"/>
      <c r="TTT47" s="545"/>
      <c r="TTU47" s="545"/>
      <c r="TTV47" s="545"/>
      <c r="TTW47" s="545"/>
      <c r="TTX47" s="544"/>
      <c r="TTY47" s="545"/>
      <c r="TTZ47" s="545"/>
      <c r="TUA47" s="545"/>
      <c r="TUB47" s="545"/>
      <c r="TUC47" s="545"/>
      <c r="TUD47" s="545"/>
      <c r="TUE47" s="544"/>
      <c r="TUF47" s="545"/>
      <c r="TUG47" s="545"/>
      <c r="TUH47" s="545"/>
      <c r="TUI47" s="545"/>
      <c r="TUJ47" s="545"/>
      <c r="TUK47" s="545"/>
      <c r="TUL47" s="544"/>
      <c r="TUM47" s="545"/>
      <c r="TUN47" s="545"/>
      <c r="TUO47" s="545"/>
      <c r="TUP47" s="545"/>
      <c r="TUQ47" s="545"/>
      <c r="TUR47" s="545"/>
      <c r="TUS47" s="544"/>
      <c r="TUT47" s="545"/>
      <c r="TUU47" s="545"/>
      <c r="TUV47" s="545"/>
      <c r="TUW47" s="545"/>
      <c r="TUX47" s="545"/>
      <c r="TUY47" s="545"/>
      <c r="TUZ47" s="544"/>
      <c r="TVA47" s="545"/>
      <c r="TVB47" s="545"/>
      <c r="TVC47" s="545"/>
      <c r="TVD47" s="545"/>
      <c r="TVE47" s="545"/>
      <c r="TVF47" s="545"/>
      <c r="TVG47" s="544"/>
      <c r="TVH47" s="545"/>
      <c r="TVI47" s="545"/>
      <c r="TVJ47" s="545"/>
      <c r="TVK47" s="545"/>
      <c r="TVL47" s="545"/>
      <c r="TVM47" s="545"/>
      <c r="TVN47" s="544"/>
      <c r="TVO47" s="545"/>
      <c r="TVP47" s="545"/>
      <c r="TVQ47" s="545"/>
      <c r="TVR47" s="545"/>
      <c r="TVS47" s="545"/>
      <c r="TVT47" s="545"/>
      <c r="TVU47" s="544"/>
      <c r="TVV47" s="545"/>
      <c r="TVW47" s="545"/>
      <c r="TVX47" s="545"/>
      <c r="TVY47" s="545"/>
      <c r="TVZ47" s="545"/>
      <c r="TWA47" s="545"/>
      <c r="TWB47" s="544"/>
      <c r="TWC47" s="545"/>
      <c r="TWD47" s="545"/>
      <c r="TWE47" s="545"/>
      <c r="TWF47" s="545"/>
      <c r="TWG47" s="545"/>
      <c r="TWH47" s="545"/>
      <c r="TWI47" s="544"/>
      <c r="TWJ47" s="545"/>
      <c r="TWK47" s="545"/>
      <c r="TWL47" s="545"/>
      <c r="TWM47" s="545"/>
      <c r="TWN47" s="545"/>
      <c r="TWO47" s="545"/>
      <c r="TWP47" s="544"/>
      <c r="TWQ47" s="545"/>
      <c r="TWR47" s="545"/>
      <c r="TWS47" s="545"/>
      <c r="TWT47" s="545"/>
      <c r="TWU47" s="545"/>
      <c r="TWV47" s="545"/>
      <c r="TWW47" s="544"/>
      <c r="TWX47" s="545"/>
      <c r="TWY47" s="545"/>
      <c r="TWZ47" s="545"/>
      <c r="TXA47" s="545"/>
      <c r="TXB47" s="545"/>
      <c r="TXC47" s="545"/>
      <c r="TXD47" s="544"/>
      <c r="TXE47" s="545"/>
      <c r="TXF47" s="545"/>
      <c r="TXG47" s="545"/>
      <c r="TXH47" s="545"/>
      <c r="TXI47" s="545"/>
      <c r="TXJ47" s="545"/>
      <c r="TXK47" s="544"/>
      <c r="TXL47" s="545"/>
      <c r="TXM47" s="545"/>
      <c r="TXN47" s="545"/>
      <c r="TXO47" s="545"/>
      <c r="TXP47" s="545"/>
      <c r="TXQ47" s="545"/>
      <c r="TXR47" s="544"/>
      <c r="TXS47" s="545"/>
      <c r="TXT47" s="545"/>
      <c r="TXU47" s="545"/>
      <c r="TXV47" s="545"/>
      <c r="TXW47" s="545"/>
      <c r="TXX47" s="545"/>
      <c r="TXY47" s="544"/>
      <c r="TXZ47" s="545"/>
      <c r="TYA47" s="545"/>
      <c r="TYB47" s="545"/>
      <c r="TYC47" s="545"/>
      <c r="TYD47" s="545"/>
      <c r="TYE47" s="545"/>
      <c r="TYF47" s="544"/>
      <c r="TYG47" s="545"/>
      <c r="TYH47" s="545"/>
      <c r="TYI47" s="545"/>
      <c r="TYJ47" s="545"/>
      <c r="TYK47" s="545"/>
      <c r="TYL47" s="545"/>
      <c r="TYM47" s="544"/>
      <c r="TYN47" s="545"/>
      <c r="TYO47" s="545"/>
      <c r="TYP47" s="545"/>
      <c r="TYQ47" s="545"/>
      <c r="TYR47" s="545"/>
      <c r="TYS47" s="545"/>
      <c r="TYT47" s="544"/>
      <c r="TYU47" s="545"/>
      <c r="TYV47" s="545"/>
      <c r="TYW47" s="545"/>
      <c r="TYX47" s="545"/>
      <c r="TYY47" s="545"/>
      <c r="TYZ47" s="545"/>
      <c r="TZA47" s="544"/>
      <c r="TZB47" s="545"/>
      <c r="TZC47" s="545"/>
      <c r="TZD47" s="545"/>
      <c r="TZE47" s="545"/>
      <c r="TZF47" s="545"/>
      <c r="TZG47" s="545"/>
      <c r="TZH47" s="544"/>
      <c r="TZI47" s="545"/>
      <c r="TZJ47" s="545"/>
      <c r="TZK47" s="545"/>
      <c r="TZL47" s="545"/>
      <c r="TZM47" s="545"/>
      <c r="TZN47" s="545"/>
      <c r="TZO47" s="544"/>
      <c r="TZP47" s="545"/>
      <c r="TZQ47" s="545"/>
      <c r="TZR47" s="545"/>
      <c r="TZS47" s="545"/>
      <c r="TZT47" s="545"/>
      <c r="TZU47" s="545"/>
      <c r="TZV47" s="544"/>
      <c r="TZW47" s="545"/>
      <c r="TZX47" s="545"/>
      <c r="TZY47" s="545"/>
      <c r="TZZ47" s="545"/>
      <c r="UAA47" s="545"/>
      <c r="UAB47" s="545"/>
      <c r="UAC47" s="544"/>
      <c r="UAD47" s="545"/>
      <c r="UAE47" s="545"/>
      <c r="UAF47" s="545"/>
      <c r="UAG47" s="545"/>
      <c r="UAH47" s="545"/>
      <c r="UAI47" s="545"/>
      <c r="UAJ47" s="544"/>
      <c r="UAK47" s="545"/>
      <c r="UAL47" s="545"/>
      <c r="UAM47" s="545"/>
      <c r="UAN47" s="545"/>
      <c r="UAO47" s="545"/>
      <c r="UAP47" s="545"/>
      <c r="UAQ47" s="544"/>
      <c r="UAR47" s="545"/>
      <c r="UAS47" s="545"/>
      <c r="UAT47" s="545"/>
      <c r="UAU47" s="545"/>
      <c r="UAV47" s="545"/>
      <c r="UAW47" s="545"/>
      <c r="UAX47" s="544"/>
      <c r="UAY47" s="545"/>
      <c r="UAZ47" s="545"/>
      <c r="UBA47" s="545"/>
      <c r="UBB47" s="545"/>
      <c r="UBC47" s="545"/>
      <c r="UBD47" s="545"/>
      <c r="UBE47" s="544"/>
      <c r="UBF47" s="545"/>
      <c r="UBG47" s="545"/>
      <c r="UBH47" s="545"/>
      <c r="UBI47" s="545"/>
      <c r="UBJ47" s="545"/>
      <c r="UBK47" s="545"/>
      <c r="UBL47" s="544"/>
      <c r="UBM47" s="545"/>
      <c r="UBN47" s="545"/>
      <c r="UBO47" s="545"/>
      <c r="UBP47" s="545"/>
      <c r="UBQ47" s="545"/>
      <c r="UBR47" s="545"/>
      <c r="UBS47" s="544"/>
      <c r="UBT47" s="545"/>
      <c r="UBU47" s="545"/>
      <c r="UBV47" s="545"/>
      <c r="UBW47" s="545"/>
      <c r="UBX47" s="545"/>
      <c r="UBY47" s="545"/>
      <c r="UBZ47" s="544"/>
      <c r="UCA47" s="545"/>
      <c r="UCB47" s="545"/>
      <c r="UCC47" s="545"/>
      <c r="UCD47" s="545"/>
      <c r="UCE47" s="545"/>
      <c r="UCF47" s="545"/>
      <c r="UCG47" s="544"/>
      <c r="UCH47" s="545"/>
      <c r="UCI47" s="545"/>
      <c r="UCJ47" s="545"/>
      <c r="UCK47" s="545"/>
      <c r="UCL47" s="545"/>
      <c r="UCM47" s="545"/>
      <c r="UCN47" s="544"/>
      <c r="UCO47" s="545"/>
      <c r="UCP47" s="545"/>
      <c r="UCQ47" s="545"/>
      <c r="UCR47" s="545"/>
      <c r="UCS47" s="545"/>
      <c r="UCT47" s="545"/>
      <c r="UCU47" s="544"/>
      <c r="UCV47" s="545"/>
      <c r="UCW47" s="545"/>
      <c r="UCX47" s="545"/>
      <c r="UCY47" s="545"/>
      <c r="UCZ47" s="545"/>
      <c r="UDA47" s="545"/>
      <c r="UDB47" s="544"/>
      <c r="UDC47" s="545"/>
      <c r="UDD47" s="545"/>
      <c r="UDE47" s="545"/>
      <c r="UDF47" s="545"/>
      <c r="UDG47" s="545"/>
      <c r="UDH47" s="545"/>
      <c r="UDI47" s="544"/>
      <c r="UDJ47" s="545"/>
      <c r="UDK47" s="545"/>
      <c r="UDL47" s="545"/>
      <c r="UDM47" s="545"/>
      <c r="UDN47" s="545"/>
      <c r="UDO47" s="545"/>
      <c r="UDP47" s="544"/>
      <c r="UDQ47" s="545"/>
      <c r="UDR47" s="545"/>
      <c r="UDS47" s="545"/>
      <c r="UDT47" s="545"/>
      <c r="UDU47" s="545"/>
      <c r="UDV47" s="545"/>
      <c r="UDW47" s="544"/>
      <c r="UDX47" s="545"/>
      <c r="UDY47" s="545"/>
      <c r="UDZ47" s="545"/>
      <c r="UEA47" s="545"/>
      <c r="UEB47" s="545"/>
      <c r="UEC47" s="545"/>
      <c r="UED47" s="544"/>
      <c r="UEE47" s="545"/>
      <c r="UEF47" s="545"/>
      <c r="UEG47" s="545"/>
      <c r="UEH47" s="545"/>
      <c r="UEI47" s="545"/>
      <c r="UEJ47" s="545"/>
      <c r="UEK47" s="544"/>
      <c r="UEL47" s="545"/>
      <c r="UEM47" s="545"/>
      <c r="UEN47" s="545"/>
      <c r="UEO47" s="545"/>
      <c r="UEP47" s="545"/>
      <c r="UEQ47" s="545"/>
      <c r="UER47" s="544"/>
      <c r="UES47" s="545"/>
      <c r="UET47" s="545"/>
      <c r="UEU47" s="545"/>
      <c r="UEV47" s="545"/>
      <c r="UEW47" s="545"/>
      <c r="UEX47" s="545"/>
      <c r="UEY47" s="544"/>
      <c r="UEZ47" s="545"/>
      <c r="UFA47" s="545"/>
      <c r="UFB47" s="545"/>
      <c r="UFC47" s="545"/>
      <c r="UFD47" s="545"/>
      <c r="UFE47" s="545"/>
      <c r="UFF47" s="544"/>
      <c r="UFG47" s="545"/>
      <c r="UFH47" s="545"/>
      <c r="UFI47" s="545"/>
      <c r="UFJ47" s="545"/>
      <c r="UFK47" s="545"/>
      <c r="UFL47" s="545"/>
      <c r="UFM47" s="544"/>
      <c r="UFN47" s="545"/>
      <c r="UFO47" s="545"/>
      <c r="UFP47" s="545"/>
      <c r="UFQ47" s="545"/>
      <c r="UFR47" s="545"/>
      <c r="UFS47" s="545"/>
      <c r="UFT47" s="544"/>
      <c r="UFU47" s="545"/>
      <c r="UFV47" s="545"/>
      <c r="UFW47" s="545"/>
      <c r="UFX47" s="545"/>
      <c r="UFY47" s="545"/>
      <c r="UFZ47" s="545"/>
      <c r="UGA47" s="544"/>
      <c r="UGB47" s="545"/>
      <c r="UGC47" s="545"/>
      <c r="UGD47" s="545"/>
      <c r="UGE47" s="545"/>
      <c r="UGF47" s="545"/>
      <c r="UGG47" s="545"/>
      <c r="UGH47" s="544"/>
      <c r="UGI47" s="545"/>
      <c r="UGJ47" s="545"/>
      <c r="UGK47" s="545"/>
      <c r="UGL47" s="545"/>
      <c r="UGM47" s="545"/>
      <c r="UGN47" s="545"/>
      <c r="UGO47" s="544"/>
      <c r="UGP47" s="545"/>
      <c r="UGQ47" s="545"/>
      <c r="UGR47" s="545"/>
      <c r="UGS47" s="545"/>
      <c r="UGT47" s="545"/>
      <c r="UGU47" s="545"/>
      <c r="UGV47" s="544"/>
      <c r="UGW47" s="545"/>
      <c r="UGX47" s="545"/>
      <c r="UGY47" s="545"/>
      <c r="UGZ47" s="545"/>
      <c r="UHA47" s="545"/>
      <c r="UHB47" s="545"/>
      <c r="UHC47" s="544"/>
      <c r="UHD47" s="545"/>
      <c r="UHE47" s="545"/>
      <c r="UHF47" s="545"/>
      <c r="UHG47" s="545"/>
      <c r="UHH47" s="545"/>
      <c r="UHI47" s="545"/>
      <c r="UHJ47" s="544"/>
      <c r="UHK47" s="545"/>
      <c r="UHL47" s="545"/>
      <c r="UHM47" s="545"/>
      <c r="UHN47" s="545"/>
      <c r="UHO47" s="545"/>
      <c r="UHP47" s="545"/>
      <c r="UHQ47" s="544"/>
      <c r="UHR47" s="545"/>
      <c r="UHS47" s="545"/>
      <c r="UHT47" s="545"/>
      <c r="UHU47" s="545"/>
      <c r="UHV47" s="545"/>
      <c r="UHW47" s="545"/>
      <c r="UHX47" s="544"/>
      <c r="UHY47" s="545"/>
      <c r="UHZ47" s="545"/>
      <c r="UIA47" s="545"/>
      <c r="UIB47" s="545"/>
      <c r="UIC47" s="545"/>
      <c r="UID47" s="545"/>
      <c r="UIE47" s="544"/>
      <c r="UIF47" s="545"/>
      <c r="UIG47" s="545"/>
      <c r="UIH47" s="545"/>
      <c r="UII47" s="545"/>
      <c r="UIJ47" s="545"/>
      <c r="UIK47" s="545"/>
      <c r="UIL47" s="544"/>
      <c r="UIM47" s="545"/>
      <c r="UIN47" s="545"/>
      <c r="UIO47" s="545"/>
      <c r="UIP47" s="545"/>
      <c r="UIQ47" s="545"/>
      <c r="UIR47" s="545"/>
      <c r="UIS47" s="544"/>
      <c r="UIT47" s="545"/>
      <c r="UIU47" s="545"/>
      <c r="UIV47" s="545"/>
      <c r="UIW47" s="545"/>
      <c r="UIX47" s="545"/>
      <c r="UIY47" s="545"/>
      <c r="UIZ47" s="544"/>
      <c r="UJA47" s="545"/>
      <c r="UJB47" s="545"/>
      <c r="UJC47" s="545"/>
      <c r="UJD47" s="545"/>
      <c r="UJE47" s="545"/>
      <c r="UJF47" s="545"/>
      <c r="UJG47" s="544"/>
      <c r="UJH47" s="545"/>
      <c r="UJI47" s="545"/>
      <c r="UJJ47" s="545"/>
      <c r="UJK47" s="545"/>
      <c r="UJL47" s="545"/>
      <c r="UJM47" s="545"/>
      <c r="UJN47" s="544"/>
      <c r="UJO47" s="545"/>
      <c r="UJP47" s="545"/>
      <c r="UJQ47" s="545"/>
      <c r="UJR47" s="545"/>
      <c r="UJS47" s="545"/>
      <c r="UJT47" s="545"/>
      <c r="UJU47" s="544"/>
      <c r="UJV47" s="545"/>
      <c r="UJW47" s="545"/>
      <c r="UJX47" s="545"/>
      <c r="UJY47" s="545"/>
      <c r="UJZ47" s="545"/>
      <c r="UKA47" s="545"/>
      <c r="UKB47" s="544"/>
      <c r="UKC47" s="545"/>
      <c r="UKD47" s="545"/>
      <c r="UKE47" s="545"/>
      <c r="UKF47" s="545"/>
      <c r="UKG47" s="545"/>
      <c r="UKH47" s="545"/>
      <c r="UKI47" s="544"/>
      <c r="UKJ47" s="545"/>
      <c r="UKK47" s="545"/>
      <c r="UKL47" s="545"/>
      <c r="UKM47" s="545"/>
      <c r="UKN47" s="545"/>
      <c r="UKO47" s="545"/>
      <c r="UKP47" s="544"/>
      <c r="UKQ47" s="545"/>
      <c r="UKR47" s="545"/>
      <c r="UKS47" s="545"/>
      <c r="UKT47" s="545"/>
      <c r="UKU47" s="545"/>
      <c r="UKV47" s="545"/>
      <c r="UKW47" s="544"/>
      <c r="UKX47" s="545"/>
      <c r="UKY47" s="545"/>
      <c r="UKZ47" s="545"/>
      <c r="ULA47" s="545"/>
      <c r="ULB47" s="545"/>
      <c r="ULC47" s="545"/>
      <c r="ULD47" s="544"/>
      <c r="ULE47" s="545"/>
      <c r="ULF47" s="545"/>
      <c r="ULG47" s="545"/>
      <c r="ULH47" s="545"/>
      <c r="ULI47" s="545"/>
      <c r="ULJ47" s="545"/>
      <c r="ULK47" s="544"/>
      <c r="ULL47" s="545"/>
      <c r="ULM47" s="545"/>
      <c r="ULN47" s="545"/>
      <c r="ULO47" s="545"/>
      <c r="ULP47" s="545"/>
      <c r="ULQ47" s="545"/>
      <c r="ULR47" s="544"/>
      <c r="ULS47" s="545"/>
      <c r="ULT47" s="545"/>
      <c r="ULU47" s="545"/>
      <c r="ULV47" s="545"/>
      <c r="ULW47" s="545"/>
      <c r="ULX47" s="545"/>
      <c r="ULY47" s="544"/>
      <c r="ULZ47" s="545"/>
      <c r="UMA47" s="545"/>
      <c r="UMB47" s="545"/>
      <c r="UMC47" s="545"/>
      <c r="UMD47" s="545"/>
      <c r="UME47" s="545"/>
      <c r="UMF47" s="544"/>
      <c r="UMG47" s="545"/>
      <c r="UMH47" s="545"/>
      <c r="UMI47" s="545"/>
      <c r="UMJ47" s="545"/>
      <c r="UMK47" s="545"/>
      <c r="UML47" s="545"/>
      <c r="UMM47" s="544"/>
      <c r="UMN47" s="545"/>
      <c r="UMO47" s="545"/>
      <c r="UMP47" s="545"/>
      <c r="UMQ47" s="545"/>
      <c r="UMR47" s="545"/>
      <c r="UMS47" s="545"/>
      <c r="UMT47" s="544"/>
      <c r="UMU47" s="545"/>
      <c r="UMV47" s="545"/>
      <c r="UMW47" s="545"/>
      <c r="UMX47" s="545"/>
      <c r="UMY47" s="545"/>
      <c r="UMZ47" s="545"/>
      <c r="UNA47" s="544"/>
      <c r="UNB47" s="545"/>
      <c r="UNC47" s="545"/>
      <c r="UND47" s="545"/>
      <c r="UNE47" s="545"/>
      <c r="UNF47" s="545"/>
      <c r="UNG47" s="545"/>
      <c r="UNH47" s="544"/>
      <c r="UNI47" s="545"/>
      <c r="UNJ47" s="545"/>
      <c r="UNK47" s="545"/>
      <c r="UNL47" s="545"/>
      <c r="UNM47" s="545"/>
      <c r="UNN47" s="545"/>
      <c r="UNO47" s="544"/>
      <c r="UNP47" s="545"/>
      <c r="UNQ47" s="545"/>
      <c r="UNR47" s="545"/>
      <c r="UNS47" s="545"/>
      <c r="UNT47" s="545"/>
      <c r="UNU47" s="545"/>
      <c r="UNV47" s="544"/>
      <c r="UNW47" s="545"/>
      <c r="UNX47" s="545"/>
      <c r="UNY47" s="545"/>
      <c r="UNZ47" s="545"/>
      <c r="UOA47" s="545"/>
      <c r="UOB47" s="545"/>
      <c r="UOC47" s="544"/>
      <c r="UOD47" s="545"/>
      <c r="UOE47" s="545"/>
      <c r="UOF47" s="545"/>
      <c r="UOG47" s="545"/>
      <c r="UOH47" s="545"/>
      <c r="UOI47" s="545"/>
      <c r="UOJ47" s="544"/>
      <c r="UOK47" s="545"/>
      <c r="UOL47" s="545"/>
      <c r="UOM47" s="545"/>
      <c r="UON47" s="545"/>
      <c r="UOO47" s="545"/>
      <c r="UOP47" s="545"/>
      <c r="UOQ47" s="544"/>
      <c r="UOR47" s="545"/>
      <c r="UOS47" s="545"/>
      <c r="UOT47" s="545"/>
      <c r="UOU47" s="545"/>
      <c r="UOV47" s="545"/>
      <c r="UOW47" s="545"/>
      <c r="UOX47" s="544"/>
      <c r="UOY47" s="545"/>
      <c r="UOZ47" s="545"/>
      <c r="UPA47" s="545"/>
      <c r="UPB47" s="545"/>
      <c r="UPC47" s="545"/>
      <c r="UPD47" s="545"/>
      <c r="UPE47" s="544"/>
      <c r="UPF47" s="545"/>
      <c r="UPG47" s="545"/>
      <c r="UPH47" s="545"/>
      <c r="UPI47" s="545"/>
      <c r="UPJ47" s="545"/>
      <c r="UPK47" s="545"/>
      <c r="UPL47" s="544"/>
      <c r="UPM47" s="545"/>
      <c r="UPN47" s="545"/>
      <c r="UPO47" s="545"/>
      <c r="UPP47" s="545"/>
      <c r="UPQ47" s="545"/>
      <c r="UPR47" s="545"/>
      <c r="UPS47" s="544"/>
      <c r="UPT47" s="545"/>
      <c r="UPU47" s="545"/>
      <c r="UPV47" s="545"/>
      <c r="UPW47" s="545"/>
      <c r="UPX47" s="545"/>
      <c r="UPY47" s="545"/>
      <c r="UPZ47" s="544"/>
      <c r="UQA47" s="545"/>
      <c r="UQB47" s="545"/>
      <c r="UQC47" s="545"/>
      <c r="UQD47" s="545"/>
      <c r="UQE47" s="545"/>
      <c r="UQF47" s="545"/>
      <c r="UQG47" s="544"/>
      <c r="UQH47" s="545"/>
      <c r="UQI47" s="545"/>
      <c r="UQJ47" s="545"/>
      <c r="UQK47" s="545"/>
      <c r="UQL47" s="545"/>
      <c r="UQM47" s="545"/>
      <c r="UQN47" s="544"/>
      <c r="UQO47" s="545"/>
      <c r="UQP47" s="545"/>
      <c r="UQQ47" s="545"/>
      <c r="UQR47" s="545"/>
      <c r="UQS47" s="545"/>
      <c r="UQT47" s="545"/>
      <c r="UQU47" s="544"/>
      <c r="UQV47" s="545"/>
      <c r="UQW47" s="545"/>
      <c r="UQX47" s="545"/>
      <c r="UQY47" s="545"/>
      <c r="UQZ47" s="545"/>
      <c r="URA47" s="545"/>
      <c r="URB47" s="544"/>
      <c r="URC47" s="545"/>
      <c r="URD47" s="545"/>
      <c r="URE47" s="545"/>
      <c r="URF47" s="545"/>
      <c r="URG47" s="545"/>
      <c r="URH47" s="545"/>
      <c r="URI47" s="544"/>
      <c r="URJ47" s="545"/>
      <c r="URK47" s="545"/>
      <c r="URL47" s="545"/>
      <c r="URM47" s="545"/>
      <c r="URN47" s="545"/>
      <c r="URO47" s="545"/>
      <c r="URP47" s="544"/>
      <c r="URQ47" s="545"/>
      <c r="URR47" s="545"/>
      <c r="URS47" s="545"/>
      <c r="URT47" s="545"/>
      <c r="URU47" s="545"/>
      <c r="URV47" s="545"/>
      <c r="URW47" s="544"/>
      <c r="URX47" s="545"/>
      <c r="URY47" s="545"/>
      <c r="URZ47" s="545"/>
      <c r="USA47" s="545"/>
      <c r="USB47" s="545"/>
      <c r="USC47" s="545"/>
      <c r="USD47" s="544"/>
      <c r="USE47" s="545"/>
      <c r="USF47" s="545"/>
      <c r="USG47" s="545"/>
      <c r="USH47" s="545"/>
      <c r="USI47" s="545"/>
      <c r="USJ47" s="545"/>
      <c r="USK47" s="544"/>
      <c r="USL47" s="545"/>
      <c r="USM47" s="545"/>
      <c r="USN47" s="545"/>
      <c r="USO47" s="545"/>
      <c r="USP47" s="545"/>
      <c r="USQ47" s="545"/>
      <c r="USR47" s="544"/>
      <c r="USS47" s="545"/>
      <c r="UST47" s="545"/>
      <c r="USU47" s="545"/>
      <c r="USV47" s="545"/>
      <c r="USW47" s="545"/>
      <c r="USX47" s="545"/>
      <c r="USY47" s="544"/>
      <c r="USZ47" s="545"/>
      <c r="UTA47" s="545"/>
      <c r="UTB47" s="545"/>
      <c r="UTC47" s="545"/>
      <c r="UTD47" s="545"/>
      <c r="UTE47" s="545"/>
      <c r="UTF47" s="544"/>
      <c r="UTG47" s="545"/>
      <c r="UTH47" s="545"/>
      <c r="UTI47" s="545"/>
      <c r="UTJ47" s="545"/>
      <c r="UTK47" s="545"/>
      <c r="UTL47" s="545"/>
      <c r="UTM47" s="544"/>
      <c r="UTN47" s="545"/>
      <c r="UTO47" s="545"/>
      <c r="UTP47" s="545"/>
      <c r="UTQ47" s="545"/>
      <c r="UTR47" s="545"/>
      <c r="UTS47" s="545"/>
      <c r="UTT47" s="544"/>
      <c r="UTU47" s="545"/>
      <c r="UTV47" s="545"/>
      <c r="UTW47" s="545"/>
      <c r="UTX47" s="545"/>
      <c r="UTY47" s="545"/>
      <c r="UTZ47" s="545"/>
      <c r="UUA47" s="544"/>
      <c r="UUB47" s="545"/>
      <c r="UUC47" s="545"/>
      <c r="UUD47" s="545"/>
      <c r="UUE47" s="545"/>
      <c r="UUF47" s="545"/>
      <c r="UUG47" s="545"/>
      <c r="UUH47" s="544"/>
      <c r="UUI47" s="545"/>
      <c r="UUJ47" s="545"/>
      <c r="UUK47" s="545"/>
      <c r="UUL47" s="545"/>
      <c r="UUM47" s="545"/>
      <c r="UUN47" s="545"/>
      <c r="UUO47" s="544"/>
      <c r="UUP47" s="545"/>
      <c r="UUQ47" s="545"/>
      <c r="UUR47" s="545"/>
      <c r="UUS47" s="545"/>
      <c r="UUT47" s="545"/>
      <c r="UUU47" s="545"/>
      <c r="UUV47" s="544"/>
      <c r="UUW47" s="545"/>
      <c r="UUX47" s="545"/>
      <c r="UUY47" s="545"/>
      <c r="UUZ47" s="545"/>
      <c r="UVA47" s="545"/>
      <c r="UVB47" s="545"/>
      <c r="UVC47" s="544"/>
      <c r="UVD47" s="545"/>
      <c r="UVE47" s="545"/>
      <c r="UVF47" s="545"/>
      <c r="UVG47" s="545"/>
      <c r="UVH47" s="545"/>
      <c r="UVI47" s="545"/>
      <c r="UVJ47" s="544"/>
      <c r="UVK47" s="545"/>
      <c r="UVL47" s="545"/>
      <c r="UVM47" s="545"/>
      <c r="UVN47" s="545"/>
      <c r="UVO47" s="545"/>
      <c r="UVP47" s="545"/>
      <c r="UVQ47" s="544"/>
      <c r="UVR47" s="545"/>
      <c r="UVS47" s="545"/>
      <c r="UVT47" s="545"/>
      <c r="UVU47" s="545"/>
      <c r="UVV47" s="545"/>
      <c r="UVW47" s="545"/>
      <c r="UVX47" s="544"/>
      <c r="UVY47" s="545"/>
      <c r="UVZ47" s="545"/>
      <c r="UWA47" s="545"/>
      <c r="UWB47" s="545"/>
      <c r="UWC47" s="545"/>
      <c r="UWD47" s="545"/>
      <c r="UWE47" s="544"/>
      <c r="UWF47" s="545"/>
      <c r="UWG47" s="545"/>
      <c r="UWH47" s="545"/>
      <c r="UWI47" s="545"/>
      <c r="UWJ47" s="545"/>
      <c r="UWK47" s="545"/>
      <c r="UWL47" s="544"/>
      <c r="UWM47" s="545"/>
      <c r="UWN47" s="545"/>
      <c r="UWO47" s="545"/>
      <c r="UWP47" s="545"/>
      <c r="UWQ47" s="545"/>
      <c r="UWR47" s="545"/>
      <c r="UWS47" s="544"/>
      <c r="UWT47" s="545"/>
      <c r="UWU47" s="545"/>
      <c r="UWV47" s="545"/>
      <c r="UWW47" s="545"/>
      <c r="UWX47" s="545"/>
      <c r="UWY47" s="545"/>
      <c r="UWZ47" s="544"/>
      <c r="UXA47" s="545"/>
      <c r="UXB47" s="545"/>
      <c r="UXC47" s="545"/>
      <c r="UXD47" s="545"/>
      <c r="UXE47" s="545"/>
      <c r="UXF47" s="545"/>
      <c r="UXG47" s="544"/>
      <c r="UXH47" s="545"/>
      <c r="UXI47" s="545"/>
      <c r="UXJ47" s="545"/>
      <c r="UXK47" s="545"/>
      <c r="UXL47" s="545"/>
      <c r="UXM47" s="545"/>
      <c r="UXN47" s="544"/>
      <c r="UXO47" s="545"/>
      <c r="UXP47" s="545"/>
      <c r="UXQ47" s="545"/>
      <c r="UXR47" s="545"/>
      <c r="UXS47" s="545"/>
      <c r="UXT47" s="545"/>
      <c r="UXU47" s="544"/>
      <c r="UXV47" s="545"/>
      <c r="UXW47" s="545"/>
      <c r="UXX47" s="545"/>
      <c r="UXY47" s="545"/>
      <c r="UXZ47" s="545"/>
      <c r="UYA47" s="545"/>
      <c r="UYB47" s="544"/>
      <c r="UYC47" s="545"/>
      <c r="UYD47" s="545"/>
      <c r="UYE47" s="545"/>
      <c r="UYF47" s="545"/>
      <c r="UYG47" s="545"/>
      <c r="UYH47" s="545"/>
      <c r="UYI47" s="544"/>
      <c r="UYJ47" s="545"/>
      <c r="UYK47" s="545"/>
      <c r="UYL47" s="545"/>
      <c r="UYM47" s="545"/>
      <c r="UYN47" s="545"/>
      <c r="UYO47" s="545"/>
      <c r="UYP47" s="544"/>
      <c r="UYQ47" s="545"/>
      <c r="UYR47" s="545"/>
      <c r="UYS47" s="545"/>
      <c r="UYT47" s="545"/>
      <c r="UYU47" s="545"/>
      <c r="UYV47" s="545"/>
      <c r="UYW47" s="544"/>
      <c r="UYX47" s="545"/>
      <c r="UYY47" s="545"/>
      <c r="UYZ47" s="545"/>
      <c r="UZA47" s="545"/>
      <c r="UZB47" s="545"/>
      <c r="UZC47" s="545"/>
      <c r="UZD47" s="544"/>
      <c r="UZE47" s="545"/>
      <c r="UZF47" s="545"/>
      <c r="UZG47" s="545"/>
      <c r="UZH47" s="545"/>
      <c r="UZI47" s="545"/>
      <c r="UZJ47" s="545"/>
      <c r="UZK47" s="544"/>
      <c r="UZL47" s="545"/>
      <c r="UZM47" s="545"/>
      <c r="UZN47" s="545"/>
      <c r="UZO47" s="545"/>
      <c r="UZP47" s="545"/>
      <c r="UZQ47" s="545"/>
      <c r="UZR47" s="544"/>
      <c r="UZS47" s="545"/>
      <c r="UZT47" s="545"/>
      <c r="UZU47" s="545"/>
      <c r="UZV47" s="545"/>
      <c r="UZW47" s="545"/>
      <c r="UZX47" s="545"/>
      <c r="UZY47" s="544"/>
      <c r="UZZ47" s="545"/>
      <c r="VAA47" s="545"/>
      <c r="VAB47" s="545"/>
      <c r="VAC47" s="545"/>
      <c r="VAD47" s="545"/>
      <c r="VAE47" s="545"/>
      <c r="VAF47" s="544"/>
      <c r="VAG47" s="545"/>
      <c r="VAH47" s="545"/>
      <c r="VAI47" s="545"/>
      <c r="VAJ47" s="545"/>
      <c r="VAK47" s="545"/>
      <c r="VAL47" s="545"/>
      <c r="VAM47" s="544"/>
      <c r="VAN47" s="545"/>
      <c r="VAO47" s="545"/>
      <c r="VAP47" s="545"/>
      <c r="VAQ47" s="545"/>
      <c r="VAR47" s="545"/>
      <c r="VAS47" s="545"/>
      <c r="VAT47" s="544"/>
      <c r="VAU47" s="545"/>
      <c r="VAV47" s="545"/>
      <c r="VAW47" s="545"/>
      <c r="VAX47" s="545"/>
      <c r="VAY47" s="545"/>
      <c r="VAZ47" s="545"/>
      <c r="VBA47" s="544"/>
      <c r="VBB47" s="545"/>
      <c r="VBC47" s="545"/>
      <c r="VBD47" s="545"/>
      <c r="VBE47" s="545"/>
      <c r="VBF47" s="545"/>
      <c r="VBG47" s="545"/>
      <c r="VBH47" s="544"/>
      <c r="VBI47" s="545"/>
      <c r="VBJ47" s="545"/>
      <c r="VBK47" s="545"/>
      <c r="VBL47" s="545"/>
      <c r="VBM47" s="545"/>
      <c r="VBN47" s="545"/>
      <c r="VBO47" s="544"/>
      <c r="VBP47" s="545"/>
      <c r="VBQ47" s="545"/>
      <c r="VBR47" s="545"/>
      <c r="VBS47" s="545"/>
      <c r="VBT47" s="545"/>
      <c r="VBU47" s="545"/>
      <c r="VBV47" s="544"/>
      <c r="VBW47" s="545"/>
      <c r="VBX47" s="545"/>
      <c r="VBY47" s="545"/>
      <c r="VBZ47" s="545"/>
      <c r="VCA47" s="545"/>
      <c r="VCB47" s="545"/>
      <c r="VCC47" s="544"/>
      <c r="VCD47" s="545"/>
      <c r="VCE47" s="545"/>
      <c r="VCF47" s="545"/>
      <c r="VCG47" s="545"/>
      <c r="VCH47" s="545"/>
      <c r="VCI47" s="545"/>
      <c r="VCJ47" s="544"/>
      <c r="VCK47" s="545"/>
      <c r="VCL47" s="545"/>
      <c r="VCM47" s="545"/>
      <c r="VCN47" s="545"/>
      <c r="VCO47" s="545"/>
      <c r="VCP47" s="545"/>
      <c r="VCQ47" s="544"/>
      <c r="VCR47" s="545"/>
      <c r="VCS47" s="545"/>
      <c r="VCT47" s="545"/>
      <c r="VCU47" s="545"/>
      <c r="VCV47" s="545"/>
      <c r="VCW47" s="545"/>
      <c r="VCX47" s="544"/>
      <c r="VCY47" s="545"/>
      <c r="VCZ47" s="545"/>
      <c r="VDA47" s="545"/>
      <c r="VDB47" s="545"/>
      <c r="VDC47" s="545"/>
      <c r="VDD47" s="545"/>
      <c r="VDE47" s="544"/>
      <c r="VDF47" s="545"/>
      <c r="VDG47" s="545"/>
      <c r="VDH47" s="545"/>
      <c r="VDI47" s="545"/>
      <c r="VDJ47" s="545"/>
      <c r="VDK47" s="545"/>
      <c r="VDL47" s="544"/>
      <c r="VDM47" s="545"/>
      <c r="VDN47" s="545"/>
      <c r="VDO47" s="545"/>
      <c r="VDP47" s="545"/>
      <c r="VDQ47" s="545"/>
      <c r="VDR47" s="545"/>
      <c r="VDS47" s="544"/>
      <c r="VDT47" s="545"/>
      <c r="VDU47" s="545"/>
      <c r="VDV47" s="545"/>
      <c r="VDW47" s="545"/>
      <c r="VDX47" s="545"/>
      <c r="VDY47" s="545"/>
      <c r="VDZ47" s="544"/>
      <c r="VEA47" s="545"/>
      <c r="VEB47" s="545"/>
      <c r="VEC47" s="545"/>
      <c r="VED47" s="545"/>
      <c r="VEE47" s="545"/>
      <c r="VEF47" s="545"/>
      <c r="VEG47" s="544"/>
      <c r="VEH47" s="545"/>
      <c r="VEI47" s="545"/>
      <c r="VEJ47" s="545"/>
      <c r="VEK47" s="545"/>
      <c r="VEL47" s="545"/>
      <c r="VEM47" s="545"/>
      <c r="VEN47" s="544"/>
      <c r="VEO47" s="545"/>
      <c r="VEP47" s="545"/>
      <c r="VEQ47" s="545"/>
      <c r="VER47" s="545"/>
      <c r="VES47" s="545"/>
      <c r="VET47" s="545"/>
      <c r="VEU47" s="544"/>
      <c r="VEV47" s="545"/>
      <c r="VEW47" s="545"/>
      <c r="VEX47" s="545"/>
      <c r="VEY47" s="545"/>
      <c r="VEZ47" s="545"/>
      <c r="VFA47" s="545"/>
      <c r="VFB47" s="544"/>
      <c r="VFC47" s="545"/>
      <c r="VFD47" s="545"/>
      <c r="VFE47" s="545"/>
      <c r="VFF47" s="545"/>
      <c r="VFG47" s="545"/>
      <c r="VFH47" s="545"/>
      <c r="VFI47" s="544"/>
      <c r="VFJ47" s="545"/>
      <c r="VFK47" s="545"/>
      <c r="VFL47" s="545"/>
      <c r="VFM47" s="545"/>
      <c r="VFN47" s="545"/>
      <c r="VFO47" s="545"/>
      <c r="VFP47" s="544"/>
      <c r="VFQ47" s="545"/>
      <c r="VFR47" s="545"/>
      <c r="VFS47" s="545"/>
      <c r="VFT47" s="545"/>
      <c r="VFU47" s="545"/>
      <c r="VFV47" s="545"/>
      <c r="VFW47" s="544"/>
      <c r="VFX47" s="545"/>
      <c r="VFY47" s="545"/>
      <c r="VFZ47" s="545"/>
      <c r="VGA47" s="545"/>
      <c r="VGB47" s="545"/>
      <c r="VGC47" s="545"/>
      <c r="VGD47" s="544"/>
      <c r="VGE47" s="545"/>
      <c r="VGF47" s="545"/>
      <c r="VGG47" s="545"/>
      <c r="VGH47" s="545"/>
      <c r="VGI47" s="545"/>
      <c r="VGJ47" s="545"/>
      <c r="VGK47" s="544"/>
      <c r="VGL47" s="545"/>
      <c r="VGM47" s="545"/>
      <c r="VGN47" s="545"/>
      <c r="VGO47" s="545"/>
      <c r="VGP47" s="545"/>
      <c r="VGQ47" s="545"/>
      <c r="VGR47" s="544"/>
      <c r="VGS47" s="545"/>
      <c r="VGT47" s="545"/>
      <c r="VGU47" s="545"/>
      <c r="VGV47" s="545"/>
      <c r="VGW47" s="545"/>
      <c r="VGX47" s="545"/>
      <c r="VGY47" s="544"/>
      <c r="VGZ47" s="545"/>
      <c r="VHA47" s="545"/>
      <c r="VHB47" s="545"/>
      <c r="VHC47" s="545"/>
      <c r="VHD47" s="545"/>
      <c r="VHE47" s="545"/>
      <c r="VHF47" s="544"/>
      <c r="VHG47" s="545"/>
      <c r="VHH47" s="545"/>
      <c r="VHI47" s="545"/>
      <c r="VHJ47" s="545"/>
      <c r="VHK47" s="545"/>
      <c r="VHL47" s="545"/>
      <c r="VHM47" s="544"/>
      <c r="VHN47" s="545"/>
      <c r="VHO47" s="545"/>
      <c r="VHP47" s="545"/>
      <c r="VHQ47" s="545"/>
      <c r="VHR47" s="545"/>
      <c r="VHS47" s="545"/>
      <c r="VHT47" s="544"/>
      <c r="VHU47" s="545"/>
      <c r="VHV47" s="545"/>
      <c r="VHW47" s="545"/>
      <c r="VHX47" s="545"/>
      <c r="VHY47" s="545"/>
      <c r="VHZ47" s="545"/>
      <c r="VIA47" s="544"/>
      <c r="VIB47" s="545"/>
      <c r="VIC47" s="545"/>
      <c r="VID47" s="545"/>
      <c r="VIE47" s="545"/>
      <c r="VIF47" s="545"/>
      <c r="VIG47" s="545"/>
      <c r="VIH47" s="544"/>
      <c r="VII47" s="545"/>
      <c r="VIJ47" s="545"/>
      <c r="VIK47" s="545"/>
      <c r="VIL47" s="545"/>
      <c r="VIM47" s="545"/>
      <c r="VIN47" s="545"/>
      <c r="VIO47" s="544"/>
      <c r="VIP47" s="545"/>
      <c r="VIQ47" s="545"/>
      <c r="VIR47" s="545"/>
      <c r="VIS47" s="545"/>
      <c r="VIT47" s="545"/>
      <c r="VIU47" s="545"/>
      <c r="VIV47" s="544"/>
      <c r="VIW47" s="545"/>
      <c r="VIX47" s="545"/>
      <c r="VIY47" s="545"/>
      <c r="VIZ47" s="545"/>
      <c r="VJA47" s="545"/>
      <c r="VJB47" s="545"/>
      <c r="VJC47" s="544"/>
      <c r="VJD47" s="545"/>
      <c r="VJE47" s="545"/>
      <c r="VJF47" s="545"/>
      <c r="VJG47" s="545"/>
      <c r="VJH47" s="545"/>
      <c r="VJI47" s="545"/>
      <c r="VJJ47" s="544"/>
      <c r="VJK47" s="545"/>
      <c r="VJL47" s="545"/>
      <c r="VJM47" s="545"/>
      <c r="VJN47" s="545"/>
      <c r="VJO47" s="545"/>
      <c r="VJP47" s="545"/>
      <c r="VJQ47" s="544"/>
      <c r="VJR47" s="545"/>
      <c r="VJS47" s="545"/>
      <c r="VJT47" s="545"/>
      <c r="VJU47" s="545"/>
      <c r="VJV47" s="545"/>
      <c r="VJW47" s="545"/>
      <c r="VJX47" s="544"/>
      <c r="VJY47" s="545"/>
      <c r="VJZ47" s="545"/>
      <c r="VKA47" s="545"/>
      <c r="VKB47" s="545"/>
      <c r="VKC47" s="545"/>
      <c r="VKD47" s="545"/>
      <c r="VKE47" s="544"/>
      <c r="VKF47" s="545"/>
      <c r="VKG47" s="545"/>
      <c r="VKH47" s="545"/>
      <c r="VKI47" s="545"/>
      <c r="VKJ47" s="545"/>
      <c r="VKK47" s="545"/>
      <c r="VKL47" s="544"/>
      <c r="VKM47" s="545"/>
      <c r="VKN47" s="545"/>
      <c r="VKO47" s="545"/>
      <c r="VKP47" s="545"/>
      <c r="VKQ47" s="545"/>
      <c r="VKR47" s="545"/>
      <c r="VKS47" s="544"/>
      <c r="VKT47" s="545"/>
      <c r="VKU47" s="545"/>
      <c r="VKV47" s="545"/>
      <c r="VKW47" s="545"/>
      <c r="VKX47" s="545"/>
      <c r="VKY47" s="545"/>
      <c r="VKZ47" s="544"/>
      <c r="VLA47" s="545"/>
      <c r="VLB47" s="545"/>
      <c r="VLC47" s="545"/>
      <c r="VLD47" s="545"/>
      <c r="VLE47" s="545"/>
      <c r="VLF47" s="545"/>
      <c r="VLG47" s="544"/>
      <c r="VLH47" s="545"/>
      <c r="VLI47" s="545"/>
      <c r="VLJ47" s="545"/>
      <c r="VLK47" s="545"/>
      <c r="VLL47" s="545"/>
      <c r="VLM47" s="545"/>
      <c r="VLN47" s="544"/>
      <c r="VLO47" s="545"/>
      <c r="VLP47" s="545"/>
      <c r="VLQ47" s="545"/>
      <c r="VLR47" s="545"/>
      <c r="VLS47" s="545"/>
      <c r="VLT47" s="545"/>
      <c r="VLU47" s="544"/>
      <c r="VLV47" s="545"/>
      <c r="VLW47" s="545"/>
      <c r="VLX47" s="545"/>
      <c r="VLY47" s="545"/>
      <c r="VLZ47" s="545"/>
      <c r="VMA47" s="545"/>
      <c r="VMB47" s="544"/>
      <c r="VMC47" s="545"/>
      <c r="VMD47" s="545"/>
      <c r="VME47" s="545"/>
      <c r="VMF47" s="545"/>
      <c r="VMG47" s="545"/>
      <c r="VMH47" s="545"/>
      <c r="VMI47" s="544"/>
      <c r="VMJ47" s="545"/>
      <c r="VMK47" s="545"/>
      <c r="VML47" s="545"/>
      <c r="VMM47" s="545"/>
      <c r="VMN47" s="545"/>
      <c r="VMO47" s="545"/>
      <c r="VMP47" s="544"/>
      <c r="VMQ47" s="545"/>
      <c r="VMR47" s="545"/>
      <c r="VMS47" s="545"/>
      <c r="VMT47" s="545"/>
      <c r="VMU47" s="545"/>
      <c r="VMV47" s="545"/>
      <c r="VMW47" s="544"/>
      <c r="VMX47" s="545"/>
      <c r="VMY47" s="545"/>
      <c r="VMZ47" s="545"/>
      <c r="VNA47" s="545"/>
      <c r="VNB47" s="545"/>
      <c r="VNC47" s="545"/>
      <c r="VND47" s="544"/>
      <c r="VNE47" s="545"/>
      <c r="VNF47" s="545"/>
      <c r="VNG47" s="545"/>
      <c r="VNH47" s="545"/>
      <c r="VNI47" s="545"/>
      <c r="VNJ47" s="545"/>
      <c r="VNK47" s="544"/>
      <c r="VNL47" s="545"/>
      <c r="VNM47" s="545"/>
      <c r="VNN47" s="545"/>
      <c r="VNO47" s="545"/>
      <c r="VNP47" s="545"/>
      <c r="VNQ47" s="545"/>
      <c r="VNR47" s="544"/>
      <c r="VNS47" s="545"/>
      <c r="VNT47" s="545"/>
      <c r="VNU47" s="545"/>
      <c r="VNV47" s="545"/>
      <c r="VNW47" s="545"/>
      <c r="VNX47" s="545"/>
      <c r="VNY47" s="544"/>
      <c r="VNZ47" s="545"/>
      <c r="VOA47" s="545"/>
      <c r="VOB47" s="545"/>
      <c r="VOC47" s="545"/>
      <c r="VOD47" s="545"/>
      <c r="VOE47" s="545"/>
      <c r="VOF47" s="544"/>
      <c r="VOG47" s="545"/>
      <c r="VOH47" s="545"/>
      <c r="VOI47" s="545"/>
      <c r="VOJ47" s="545"/>
      <c r="VOK47" s="545"/>
      <c r="VOL47" s="545"/>
      <c r="VOM47" s="544"/>
      <c r="VON47" s="545"/>
      <c r="VOO47" s="545"/>
      <c r="VOP47" s="545"/>
      <c r="VOQ47" s="545"/>
      <c r="VOR47" s="545"/>
      <c r="VOS47" s="545"/>
      <c r="VOT47" s="544"/>
      <c r="VOU47" s="545"/>
      <c r="VOV47" s="545"/>
      <c r="VOW47" s="545"/>
      <c r="VOX47" s="545"/>
      <c r="VOY47" s="545"/>
      <c r="VOZ47" s="545"/>
      <c r="VPA47" s="544"/>
      <c r="VPB47" s="545"/>
      <c r="VPC47" s="545"/>
      <c r="VPD47" s="545"/>
      <c r="VPE47" s="545"/>
      <c r="VPF47" s="545"/>
      <c r="VPG47" s="545"/>
      <c r="VPH47" s="544"/>
      <c r="VPI47" s="545"/>
      <c r="VPJ47" s="545"/>
      <c r="VPK47" s="545"/>
      <c r="VPL47" s="545"/>
      <c r="VPM47" s="545"/>
      <c r="VPN47" s="545"/>
      <c r="VPO47" s="544"/>
      <c r="VPP47" s="545"/>
      <c r="VPQ47" s="545"/>
      <c r="VPR47" s="545"/>
      <c r="VPS47" s="545"/>
      <c r="VPT47" s="545"/>
      <c r="VPU47" s="545"/>
      <c r="VPV47" s="544"/>
      <c r="VPW47" s="545"/>
      <c r="VPX47" s="545"/>
      <c r="VPY47" s="545"/>
      <c r="VPZ47" s="545"/>
      <c r="VQA47" s="545"/>
      <c r="VQB47" s="545"/>
      <c r="VQC47" s="544"/>
      <c r="VQD47" s="545"/>
      <c r="VQE47" s="545"/>
      <c r="VQF47" s="545"/>
      <c r="VQG47" s="545"/>
      <c r="VQH47" s="545"/>
      <c r="VQI47" s="545"/>
      <c r="VQJ47" s="544"/>
      <c r="VQK47" s="545"/>
      <c r="VQL47" s="545"/>
      <c r="VQM47" s="545"/>
      <c r="VQN47" s="545"/>
      <c r="VQO47" s="545"/>
      <c r="VQP47" s="545"/>
      <c r="VQQ47" s="544"/>
      <c r="VQR47" s="545"/>
      <c r="VQS47" s="545"/>
      <c r="VQT47" s="545"/>
      <c r="VQU47" s="545"/>
      <c r="VQV47" s="545"/>
      <c r="VQW47" s="545"/>
      <c r="VQX47" s="544"/>
      <c r="VQY47" s="545"/>
      <c r="VQZ47" s="545"/>
      <c r="VRA47" s="545"/>
      <c r="VRB47" s="545"/>
      <c r="VRC47" s="545"/>
      <c r="VRD47" s="545"/>
      <c r="VRE47" s="544"/>
      <c r="VRF47" s="545"/>
      <c r="VRG47" s="545"/>
      <c r="VRH47" s="545"/>
      <c r="VRI47" s="545"/>
      <c r="VRJ47" s="545"/>
      <c r="VRK47" s="545"/>
      <c r="VRL47" s="544"/>
      <c r="VRM47" s="545"/>
      <c r="VRN47" s="545"/>
      <c r="VRO47" s="545"/>
      <c r="VRP47" s="545"/>
      <c r="VRQ47" s="545"/>
      <c r="VRR47" s="545"/>
      <c r="VRS47" s="544"/>
      <c r="VRT47" s="545"/>
      <c r="VRU47" s="545"/>
      <c r="VRV47" s="545"/>
      <c r="VRW47" s="545"/>
      <c r="VRX47" s="545"/>
      <c r="VRY47" s="545"/>
      <c r="VRZ47" s="544"/>
      <c r="VSA47" s="545"/>
      <c r="VSB47" s="545"/>
      <c r="VSC47" s="545"/>
      <c r="VSD47" s="545"/>
      <c r="VSE47" s="545"/>
      <c r="VSF47" s="545"/>
      <c r="VSG47" s="544"/>
      <c r="VSH47" s="545"/>
      <c r="VSI47" s="545"/>
      <c r="VSJ47" s="545"/>
      <c r="VSK47" s="545"/>
      <c r="VSL47" s="545"/>
      <c r="VSM47" s="545"/>
      <c r="VSN47" s="544"/>
      <c r="VSO47" s="545"/>
      <c r="VSP47" s="545"/>
      <c r="VSQ47" s="545"/>
      <c r="VSR47" s="545"/>
      <c r="VSS47" s="545"/>
      <c r="VST47" s="545"/>
      <c r="VSU47" s="544"/>
      <c r="VSV47" s="545"/>
      <c r="VSW47" s="545"/>
      <c r="VSX47" s="545"/>
      <c r="VSY47" s="545"/>
      <c r="VSZ47" s="545"/>
      <c r="VTA47" s="545"/>
      <c r="VTB47" s="544"/>
      <c r="VTC47" s="545"/>
      <c r="VTD47" s="545"/>
      <c r="VTE47" s="545"/>
      <c r="VTF47" s="545"/>
      <c r="VTG47" s="545"/>
      <c r="VTH47" s="545"/>
      <c r="VTI47" s="544"/>
      <c r="VTJ47" s="545"/>
      <c r="VTK47" s="545"/>
      <c r="VTL47" s="545"/>
      <c r="VTM47" s="545"/>
      <c r="VTN47" s="545"/>
      <c r="VTO47" s="545"/>
      <c r="VTP47" s="544"/>
      <c r="VTQ47" s="545"/>
      <c r="VTR47" s="545"/>
      <c r="VTS47" s="545"/>
      <c r="VTT47" s="545"/>
      <c r="VTU47" s="545"/>
      <c r="VTV47" s="545"/>
      <c r="VTW47" s="544"/>
      <c r="VTX47" s="545"/>
      <c r="VTY47" s="545"/>
      <c r="VTZ47" s="545"/>
      <c r="VUA47" s="545"/>
      <c r="VUB47" s="545"/>
      <c r="VUC47" s="545"/>
      <c r="VUD47" s="544"/>
      <c r="VUE47" s="545"/>
      <c r="VUF47" s="545"/>
      <c r="VUG47" s="545"/>
      <c r="VUH47" s="545"/>
      <c r="VUI47" s="545"/>
      <c r="VUJ47" s="545"/>
      <c r="VUK47" s="544"/>
      <c r="VUL47" s="545"/>
      <c r="VUM47" s="545"/>
      <c r="VUN47" s="545"/>
      <c r="VUO47" s="545"/>
      <c r="VUP47" s="545"/>
      <c r="VUQ47" s="545"/>
      <c r="VUR47" s="544"/>
      <c r="VUS47" s="545"/>
      <c r="VUT47" s="545"/>
      <c r="VUU47" s="545"/>
      <c r="VUV47" s="545"/>
      <c r="VUW47" s="545"/>
      <c r="VUX47" s="545"/>
      <c r="VUY47" s="544"/>
      <c r="VUZ47" s="545"/>
      <c r="VVA47" s="545"/>
      <c r="VVB47" s="545"/>
      <c r="VVC47" s="545"/>
      <c r="VVD47" s="545"/>
      <c r="VVE47" s="545"/>
      <c r="VVF47" s="544"/>
      <c r="VVG47" s="545"/>
      <c r="VVH47" s="545"/>
      <c r="VVI47" s="545"/>
      <c r="VVJ47" s="545"/>
      <c r="VVK47" s="545"/>
      <c r="VVL47" s="545"/>
      <c r="VVM47" s="544"/>
      <c r="VVN47" s="545"/>
      <c r="VVO47" s="545"/>
      <c r="VVP47" s="545"/>
      <c r="VVQ47" s="545"/>
      <c r="VVR47" s="545"/>
      <c r="VVS47" s="545"/>
      <c r="VVT47" s="544"/>
      <c r="VVU47" s="545"/>
      <c r="VVV47" s="545"/>
      <c r="VVW47" s="545"/>
      <c r="VVX47" s="545"/>
      <c r="VVY47" s="545"/>
      <c r="VVZ47" s="545"/>
      <c r="VWA47" s="544"/>
      <c r="VWB47" s="545"/>
      <c r="VWC47" s="545"/>
      <c r="VWD47" s="545"/>
      <c r="VWE47" s="545"/>
      <c r="VWF47" s="545"/>
      <c r="VWG47" s="545"/>
      <c r="VWH47" s="544"/>
      <c r="VWI47" s="545"/>
      <c r="VWJ47" s="545"/>
      <c r="VWK47" s="545"/>
      <c r="VWL47" s="545"/>
      <c r="VWM47" s="545"/>
      <c r="VWN47" s="545"/>
      <c r="VWO47" s="544"/>
      <c r="VWP47" s="545"/>
      <c r="VWQ47" s="545"/>
      <c r="VWR47" s="545"/>
      <c r="VWS47" s="545"/>
      <c r="VWT47" s="545"/>
      <c r="VWU47" s="545"/>
      <c r="VWV47" s="544"/>
      <c r="VWW47" s="545"/>
      <c r="VWX47" s="545"/>
      <c r="VWY47" s="545"/>
      <c r="VWZ47" s="545"/>
      <c r="VXA47" s="545"/>
      <c r="VXB47" s="545"/>
      <c r="VXC47" s="544"/>
      <c r="VXD47" s="545"/>
      <c r="VXE47" s="545"/>
      <c r="VXF47" s="545"/>
      <c r="VXG47" s="545"/>
      <c r="VXH47" s="545"/>
      <c r="VXI47" s="545"/>
      <c r="VXJ47" s="544"/>
      <c r="VXK47" s="545"/>
      <c r="VXL47" s="545"/>
      <c r="VXM47" s="545"/>
      <c r="VXN47" s="545"/>
      <c r="VXO47" s="545"/>
      <c r="VXP47" s="545"/>
      <c r="VXQ47" s="544"/>
      <c r="VXR47" s="545"/>
      <c r="VXS47" s="545"/>
      <c r="VXT47" s="545"/>
      <c r="VXU47" s="545"/>
      <c r="VXV47" s="545"/>
      <c r="VXW47" s="545"/>
      <c r="VXX47" s="544"/>
      <c r="VXY47" s="545"/>
      <c r="VXZ47" s="545"/>
      <c r="VYA47" s="545"/>
      <c r="VYB47" s="545"/>
      <c r="VYC47" s="545"/>
      <c r="VYD47" s="545"/>
      <c r="VYE47" s="544"/>
      <c r="VYF47" s="545"/>
      <c r="VYG47" s="545"/>
      <c r="VYH47" s="545"/>
      <c r="VYI47" s="545"/>
      <c r="VYJ47" s="545"/>
      <c r="VYK47" s="545"/>
      <c r="VYL47" s="544"/>
      <c r="VYM47" s="545"/>
      <c r="VYN47" s="545"/>
      <c r="VYO47" s="545"/>
      <c r="VYP47" s="545"/>
      <c r="VYQ47" s="545"/>
      <c r="VYR47" s="545"/>
      <c r="VYS47" s="544"/>
      <c r="VYT47" s="545"/>
      <c r="VYU47" s="545"/>
      <c r="VYV47" s="545"/>
      <c r="VYW47" s="545"/>
      <c r="VYX47" s="545"/>
      <c r="VYY47" s="545"/>
      <c r="VYZ47" s="544"/>
      <c r="VZA47" s="545"/>
      <c r="VZB47" s="545"/>
      <c r="VZC47" s="545"/>
      <c r="VZD47" s="545"/>
      <c r="VZE47" s="545"/>
      <c r="VZF47" s="545"/>
      <c r="VZG47" s="544"/>
      <c r="VZH47" s="545"/>
      <c r="VZI47" s="545"/>
      <c r="VZJ47" s="545"/>
      <c r="VZK47" s="545"/>
      <c r="VZL47" s="545"/>
      <c r="VZM47" s="545"/>
      <c r="VZN47" s="544"/>
      <c r="VZO47" s="545"/>
      <c r="VZP47" s="545"/>
      <c r="VZQ47" s="545"/>
      <c r="VZR47" s="545"/>
      <c r="VZS47" s="545"/>
      <c r="VZT47" s="545"/>
      <c r="VZU47" s="544"/>
      <c r="VZV47" s="545"/>
      <c r="VZW47" s="545"/>
      <c r="VZX47" s="545"/>
      <c r="VZY47" s="545"/>
      <c r="VZZ47" s="545"/>
      <c r="WAA47" s="545"/>
      <c r="WAB47" s="544"/>
      <c r="WAC47" s="545"/>
      <c r="WAD47" s="545"/>
      <c r="WAE47" s="545"/>
      <c r="WAF47" s="545"/>
      <c r="WAG47" s="545"/>
      <c r="WAH47" s="545"/>
      <c r="WAI47" s="544"/>
      <c r="WAJ47" s="545"/>
      <c r="WAK47" s="545"/>
      <c r="WAL47" s="545"/>
      <c r="WAM47" s="545"/>
      <c r="WAN47" s="545"/>
      <c r="WAO47" s="545"/>
      <c r="WAP47" s="544"/>
      <c r="WAQ47" s="545"/>
      <c r="WAR47" s="545"/>
      <c r="WAS47" s="545"/>
      <c r="WAT47" s="545"/>
      <c r="WAU47" s="545"/>
      <c r="WAV47" s="545"/>
      <c r="WAW47" s="544"/>
      <c r="WAX47" s="545"/>
      <c r="WAY47" s="545"/>
      <c r="WAZ47" s="545"/>
      <c r="WBA47" s="545"/>
      <c r="WBB47" s="545"/>
      <c r="WBC47" s="545"/>
      <c r="WBD47" s="544"/>
      <c r="WBE47" s="545"/>
      <c r="WBF47" s="545"/>
      <c r="WBG47" s="545"/>
      <c r="WBH47" s="545"/>
      <c r="WBI47" s="545"/>
      <c r="WBJ47" s="545"/>
      <c r="WBK47" s="544"/>
      <c r="WBL47" s="545"/>
      <c r="WBM47" s="545"/>
      <c r="WBN47" s="545"/>
      <c r="WBO47" s="545"/>
      <c r="WBP47" s="545"/>
      <c r="WBQ47" s="545"/>
      <c r="WBR47" s="544"/>
      <c r="WBS47" s="545"/>
      <c r="WBT47" s="545"/>
      <c r="WBU47" s="545"/>
      <c r="WBV47" s="545"/>
      <c r="WBW47" s="545"/>
      <c r="WBX47" s="545"/>
      <c r="WBY47" s="544"/>
      <c r="WBZ47" s="545"/>
      <c r="WCA47" s="545"/>
      <c r="WCB47" s="545"/>
      <c r="WCC47" s="545"/>
      <c r="WCD47" s="545"/>
      <c r="WCE47" s="545"/>
      <c r="WCF47" s="544"/>
      <c r="WCG47" s="545"/>
      <c r="WCH47" s="545"/>
      <c r="WCI47" s="545"/>
      <c r="WCJ47" s="545"/>
      <c r="WCK47" s="545"/>
      <c r="WCL47" s="545"/>
      <c r="WCM47" s="544"/>
      <c r="WCN47" s="545"/>
      <c r="WCO47" s="545"/>
      <c r="WCP47" s="545"/>
      <c r="WCQ47" s="545"/>
      <c r="WCR47" s="545"/>
      <c r="WCS47" s="545"/>
      <c r="WCT47" s="544"/>
      <c r="WCU47" s="545"/>
      <c r="WCV47" s="545"/>
      <c r="WCW47" s="545"/>
      <c r="WCX47" s="545"/>
      <c r="WCY47" s="545"/>
      <c r="WCZ47" s="545"/>
      <c r="WDA47" s="544"/>
      <c r="WDB47" s="545"/>
      <c r="WDC47" s="545"/>
      <c r="WDD47" s="545"/>
      <c r="WDE47" s="545"/>
      <c r="WDF47" s="545"/>
      <c r="WDG47" s="545"/>
      <c r="WDH47" s="544"/>
      <c r="WDI47" s="545"/>
      <c r="WDJ47" s="545"/>
      <c r="WDK47" s="545"/>
      <c r="WDL47" s="545"/>
      <c r="WDM47" s="545"/>
      <c r="WDN47" s="545"/>
      <c r="WDO47" s="544"/>
      <c r="WDP47" s="545"/>
      <c r="WDQ47" s="545"/>
      <c r="WDR47" s="545"/>
      <c r="WDS47" s="545"/>
      <c r="WDT47" s="545"/>
      <c r="WDU47" s="545"/>
      <c r="WDV47" s="544"/>
      <c r="WDW47" s="545"/>
      <c r="WDX47" s="545"/>
      <c r="WDY47" s="545"/>
      <c r="WDZ47" s="545"/>
      <c r="WEA47" s="545"/>
      <c r="WEB47" s="545"/>
      <c r="WEC47" s="544"/>
      <c r="WED47" s="545"/>
      <c r="WEE47" s="545"/>
      <c r="WEF47" s="545"/>
      <c r="WEG47" s="545"/>
      <c r="WEH47" s="545"/>
      <c r="WEI47" s="545"/>
      <c r="WEJ47" s="544"/>
      <c r="WEK47" s="545"/>
      <c r="WEL47" s="545"/>
      <c r="WEM47" s="545"/>
      <c r="WEN47" s="545"/>
      <c r="WEO47" s="545"/>
      <c r="WEP47" s="545"/>
      <c r="WEQ47" s="544"/>
      <c r="WER47" s="545"/>
      <c r="WES47" s="545"/>
      <c r="WET47" s="545"/>
      <c r="WEU47" s="545"/>
      <c r="WEV47" s="545"/>
      <c r="WEW47" s="545"/>
      <c r="WEX47" s="544"/>
      <c r="WEY47" s="545"/>
      <c r="WEZ47" s="545"/>
      <c r="WFA47" s="545"/>
      <c r="WFB47" s="545"/>
      <c r="WFC47" s="545"/>
      <c r="WFD47" s="545"/>
      <c r="WFE47" s="544"/>
      <c r="WFF47" s="545"/>
      <c r="WFG47" s="545"/>
      <c r="WFH47" s="545"/>
      <c r="WFI47" s="545"/>
      <c r="WFJ47" s="545"/>
      <c r="WFK47" s="545"/>
      <c r="WFL47" s="544"/>
      <c r="WFM47" s="545"/>
      <c r="WFN47" s="545"/>
      <c r="WFO47" s="545"/>
      <c r="WFP47" s="545"/>
      <c r="WFQ47" s="545"/>
      <c r="WFR47" s="545"/>
      <c r="WFS47" s="544"/>
      <c r="WFT47" s="545"/>
      <c r="WFU47" s="545"/>
      <c r="WFV47" s="545"/>
      <c r="WFW47" s="545"/>
      <c r="WFX47" s="545"/>
      <c r="WFY47" s="545"/>
      <c r="WFZ47" s="544"/>
      <c r="WGA47" s="545"/>
      <c r="WGB47" s="545"/>
      <c r="WGC47" s="545"/>
      <c r="WGD47" s="545"/>
      <c r="WGE47" s="545"/>
      <c r="WGF47" s="545"/>
      <c r="WGG47" s="544"/>
      <c r="WGH47" s="545"/>
      <c r="WGI47" s="545"/>
      <c r="WGJ47" s="545"/>
      <c r="WGK47" s="545"/>
      <c r="WGL47" s="545"/>
      <c r="WGM47" s="545"/>
      <c r="WGN47" s="544"/>
      <c r="WGO47" s="545"/>
      <c r="WGP47" s="545"/>
      <c r="WGQ47" s="545"/>
      <c r="WGR47" s="545"/>
      <c r="WGS47" s="545"/>
      <c r="WGT47" s="545"/>
      <c r="WGU47" s="544"/>
      <c r="WGV47" s="545"/>
      <c r="WGW47" s="545"/>
      <c r="WGX47" s="545"/>
      <c r="WGY47" s="545"/>
      <c r="WGZ47" s="545"/>
      <c r="WHA47" s="545"/>
      <c r="WHB47" s="544"/>
      <c r="WHC47" s="545"/>
      <c r="WHD47" s="545"/>
      <c r="WHE47" s="545"/>
      <c r="WHF47" s="545"/>
      <c r="WHG47" s="545"/>
      <c r="WHH47" s="545"/>
      <c r="WHI47" s="544"/>
      <c r="WHJ47" s="545"/>
      <c r="WHK47" s="545"/>
      <c r="WHL47" s="545"/>
      <c r="WHM47" s="545"/>
      <c r="WHN47" s="545"/>
      <c r="WHO47" s="545"/>
      <c r="WHP47" s="544"/>
      <c r="WHQ47" s="545"/>
      <c r="WHR47" s="545"/>
      <c r="WHS47" s="545"/>
      <c r="WHT47" s="545"/>
      <c r="WHU47" s="545"/>
      <c r="WHV47" s="545"/>
      <c r="WHW47" s="544"/>
      <c r="WHX47" s="545"/>
      <c r="WHY47" s="545"/>
      <c r="WHZ47" s="545"/>
      <c r="WIA47" s="545"/>
      <c r="WIB47" s="545"/>
      <c r="WIC47" s="545"/>
      <c r="WID47" s="544"/>
      <c r="WIE47" s="545"/>
      <c r="WIF47" s="545"/>
      <c r="WIG47" s="545"/>
      <c r="WIH47" s="545"/>
      <c r="WII47" s="545"/>
      <c r="WIJ47" s="545"/>
      <c r="WIK47" s="544"/>
      <c r="WIL47" s="545"/>
      <c r="WIM47" s="545"/>
      <c r="WIN47" s="545"/>
      <c r="WIO47" s="545"/>
      <c r="WIP47" s="545"/>
      <c r="WIQ47" s="545"/>
      <c r="WIR47" s="544"/>
      <c r="WIS47" s="545"/>
      <c r="WIT47" s="545"/>
      <c r="WIU47" s="545"/>
      <c r="WIV47" s="545"/>
      <c r="WIW47" s="545"/>
      <c r="WIX47" s="545"/>
      <c r="WIY47" s="544"/>
      <c r="WIZ47" s="545"/>
      <c r="WJA47" s="545"/>
      <c r="WJB47" s="545"/>
      <c r="WJC47" s="545"/>
      <c r="WJD47" s="545"/>
      <c r="WJE47" s="545"/>
      <c r="WJF47" s="544"/>
      <c r="WJG47" s="545"/>
      <c r="WJH47" s="545"/>
      <c r="WJI47" s="545"/>
      <c r="WJJ47" s="545"/>
      <c r="WJK47" s="545"/>
      <c r="WJL47" s="545"/>
      <c r="WJM47" s="544"/>
      <c r="WJN47" s="545"/>
      <c r="WJO47" s="545"/>
      <c r="WJP47" s="545"/>
      <c r="WJQ47" s="545"/>
      <c r="WJR47" s="545"/>
      <c r="WJS47" s="545"/>
      <c r="WJT47" s="544"/>
      <c r="WJU47" s="545"/>
      <c r="WJV47" s="545"/>
      <c r="WJW47" s="545"/>
      <c r="WJX47" s="545"/>
      <c r="WJY47" s="545"/>
      <c r="WJZ47" s="545"/>
      <c r="WKA47" s="544"/>
      <c r="WKB47" s="545"/>
      <c r="WKC47" s="545"/>
      <c r="WKD47" s="545"/>
      <c r="WKE47" s="545"/>
      <c r="WKF47" s="545"/>
      <c r="WKG47" s="545"/>
      <c r="WKH47" s="544"/>
      <c r="WKI47" s="545"/>
      <c r="WKJ47" s="545"/>
      <c r="WKK47" s="545"/>
      <c r="WKL47" s="545"/>
      <c r="WKM47" s="545"/>
      <c r="WKN47" s="545"/>
      <c r="WKO47" s="544"/>
      <c r="WKP47" s="545"/>
      <c r="WKQ47" s="545"/>
      <c r="WKR47" s="545"/>
      <c r="WKS47" s="545"/>
      <c r="WKT47" s="545"/>
      <c r="WKU47" s="545"/>
      <c r="WKV47" s="544"/>
      <c r="WKW47" s="545"/>
      <c r="WKX47" s="545"/>
      <c r="WKY47" s="545"/>
      <c r="WKZ47" s="545"/>
      <c r="WLA47" s="545"/>
      <c r="WLB47" s="545"/>
      <c r="WLC47" s="544"/>
      <c r="WLD47" s="545"/>
      <c r="WLE47" s="545"/>
      <c r="WLF47" s="545"/>
      <c r="WLG47" s="545"/>
      <c r="WLH47" s="545"/>
      <c r="WLI47" s="545"/>
      <c r="WLJ47" s="544"/>
      <c r="WLK47" s="545"/>
      <c r="WLL47" s="545"/>
      <c r="WLM47" s="545"/>
      <c r="WLN47" s="545"/>
      <c r="WLO47" s="545"/>
      <c r="WLP47" s="545"/>
      <c r="WLQ47" s="544"/>
      <c r="WLR47" s="545"/>
      <c r="WLS47" s="545"/>
      <c r="WLT47" s="545"/>
      <c r="WLU47" s="545"/>
      <c r="WLV47" s="545"/>
      <c r="WLW47" s="545"/>
      <c r="WLX47" s="544"/>
      <c r="WLY47" s="545"/>
      <c r="WLZ47" s="545"/>
      <c r="WMA47" s="545"/>
      <c r="WMB47" s="545"/>
      <c r="WMC47" s="545"/>
      <c r="WMD47" s="545"/>
      <c r="WME47" s="544"/>
      <c r="WMF47" s="545"/>
      <c r="WMG47" s="545"/>
      <c r="WMH47" s="545"/>
      <c r="WMI47" s="545"/>
      <c r="WMJ47" s="545"/>
      <c r="WMK47" s="545"/>
      <c r="WML47" s="544"/>
      <c r="WMM47" s="545"/>
      <c r="WMN47" s="545"/>
      <c r="WMO47" s="545"/>
      <c r="WMP47" s="545"/>
      <c r="WMQ47" s="545"/>
      <c r="WMR47" s="545"/>
      <c r="WMS47" s="544"/>
      <c r="WMT47" s="545"/>
      <c r="WMU47" s="545"/>
      <c r="WMV47" s="545"/>
      <c r="WMW47" s="545"/>
      <c r="WMX47" s="545"/>
      <c r="WMY47" s="545"/>
      <c r="WMZ47" s="544"/>
      <c r="WNA47" s="545"/>
      <c r="WNB47" s="545"/>
      <c r="WNC47" s="545"/>
      <c r="WND47" s="545"/>
      <c r="WNE47" s="545"/>
      <c r="WNF47" s="545"/>
      <c r="WNG47" s="544"/>
      <c r="WNH47" s="545"/>
      <c r="WNI47" s="545"/>
      <c r="WNJ47" s="545"/>
      <c r="WNK47" s="545"/>
      <c r="WNL47" s="545"/>
      <c r="WNM47" s="545"/>
      <c r="WNN47" s="544"/>
      <c r="WNO47" s="545"/>
      <c r="WNP47" s="545"/>
      <c r="WNQ47" s="545"/>
      <c r="WNR47" s="545"/>
      <c r="WNS47" s="545"/>
      <c r="WNT47" s="545"/>
      <c r="WNU47" s="544"/>
      <c r="WNV47" s="545"/>
      <c r="WNW47" s="545"/>
      <c r="WNX47" s="545"/>
      <c r="WNY47" s="545"/>
      <c r="WNZ47" s="545"/>
      <c r="WOA47" s="545"/>
      <c r="WOB47" s="544"/>
      <c r="WOC47" s="545"/>
      <c r="WOD47" s="545"/>
      <c r="WOE47" s="545"/>
      <c r="WOF47" s="545"/>
      <c r="WOG47" s="545"/>
      <c r="WOH47" s="545"/>
      <c r="WOI47" s="544"/>
      <c r="WOJ47" s="545"/>
      <c r="WOK47" s="545"/>
      <c r="WOL47" s="545"/>
      <c r="WOM47" s="545"/>
      <c r="WON47" s="545"/>
      <c r="WOO47" s="545"/>
      <c r="WOP47" s="544"/>
      <c r="WOQ47" s="545"/>
      <c r="WOR47" s="545"/>
      <c r="WOS47" s="545"/>
      <c r="WOT47" s="545"/>
      <c r="WOU47" s="545"/>
      <c r="WOV47" s="545"/>
      <c r="WOW47" s="544"/>
      <c r="WOX47" s="545"/>
      <c r="WOY47" s="545"/>
      <c r="WOZ47" s="545"/>
      <c r="WPA47" s="545"/>
      <c r="WPB47" s="545"/>
      <c r="WPC47" s="545"/>
      <c r="WPD47" s="544"/>
      <c r="WPE47" s="545"/>
      <c r="WPF47" s="545"/>
      <c r="WPG47" s="545"/>
      <c r="WPH47" s="545"/>
      <c r="WPI47" s="545"/>
      <c r="WPJ47" s="545"/>
      <c r="WPK47" s="544"/>
      <c r="WPL47" s="545"/>
      <c r="WPM47" s="545"/>
      <c r="WPN47" s="545"/>
      <c r="WPO47" s="545"/>
      <c r="WPP47" s="545"/>
      <c r="WPQ47" s="545"/>
      <c r="WPR47" s="544"/>
      <c r="WPS47" s="545"/>
      <c r="WPT47" s="545"/>
      <c r="WPU47" s="545"/>
      <c r="WPV47" s="545"/>
      <c r="WPW47" s="545"/>
      <c r="WPX47" s="545"/>
      <c r="WPY47" s="544"/>
      <c r="WPZ47" s="545"/>
      <c r="WQA47" s="545"/>
      <c r="WQB47" s="545"/>
      <c r="WQC47" s="545"/>
      <c r="WQD47" s="545"/>
      <c r="WQE47" s="545"/>
      <c r="WQF47" s="544"/>
      <c r="WQG47" s="545"/>
      <c r="WQH47" s="545"/>
      <c r="WQI47" s="545"/>
      <c r="WQJ47" s="545"/>
      <c r="WQK47" s="545"/>
      <c r="WQL47" s="545"/>
      <c r="WQM47" s="544"/>
      <c r="WQN47" s="545"/>
      <c r="WQO47" s="545"/>
      <c r="WQP47" s="545"/>
      <c r="WQQ47" s="545"/>
      <c r="WQR47" s="545"/>
      <c r="WQS47" s="545"/>
      <c r="WQT47" s="544"/>
      <c r="WQU47" s="545"/>
      <c r="WQV47" s="545"/>
      <c r="WQW47" s="545"/>
      <c r="WQX47" s="545"/>
      <c r="WQY47" s="545"/>
      <c r="WQZ47" s="545"/>
      <c r="WRA47" s="544"/>
      <c r="WRB47" s="545"/>
      <c r="WRC47" s="545"/>
      <c r="WRD47" s="545"/>
      <c r="WRE47" s="545"/>
      <c r="WRF47" s="545"/>
      <c r="WRG47" s="545"/>
      <c r="WRH47" s="544"/>
      <c r="WRI47" s="545"/>
      <c r="WRJ47" s="545"/>
      <c r="WRK47" s="545"/>
      <c r="WRL47" s="545"/>
      <c r="WRM47" s="545"/>
      <c r="WRN47" s="545"/>
      <c r="WRO47" s="544"/>
      <c r="WRP47" s="545"/>
      <c r="WRQ47" s="545"/>
      <c r="WRR47" s="545"/>
      <c r="WRS47" s="545"/>
      <c r="WRT47" s="545"/>
      <c r="WRU47" s="545"/>
      <c r="WRV47" s="544"/>
      <c r="WRW47" s="545"/>
      <c r="WRX47" s="545"/>
      <c r="WRY47" s="545"/>
      <c r="WRZ47" s="545"/>
      <c r="WSA47" s="545"/>
      <c r="WSB47" s="545"/>
      <c r="WSC47" s="544"/>
      <c r="WSD47" s="545"/>
      <c r="WSE47" s="545"/>
      <c r="WSF47" s="545"/>
      <c r="WSG47" s="545"/>
      <c r="WSH47" s="545"/>
      <c r="WSI47" s="545"/>
      <c r="WSJ47" s="544"/>
      <c r="WSK47" s="545"/>
      <c r="WSL47" s="545"/>
      <c r="WSM47" s="545"/>
      <c r="WSN47" s="545"/>
      <c r="WSO47" s="545"/>
      <c r="WSP47" s="545"/>
      <c r="WSQ47" s="544"/>
      <c r="WSR47" s="545"/>
      <c r="WSS47" s="545"/>
      <c r="WST47" s="545"/>
      <c r="WSU47" s="545"/>
      <c r="WSV47" s="545"/>
      <c r="WSW47" s="545"/>
      <c r="WSX47" s="544"/>
      <c r="WSY47" s="545"/>
      <c r="WSZ47" s="545"/>
      <c r="WTA47" s="545"/>
      <c r="WTB47" s="545"/>
      <c r="WTC47" s="545"/>
      <c r="WTD47" s="545"/>
      <c r="WTE47" s="544"/>
      <c r="WTF47" s="545"/>
      <c r="WTG47" s="545"/>
      <c r="WTH47" s="545"/>
      <c r="WTI47" s="545"/>
      <c r="WTJ47" s="545"/>
      <c r="WTK47" s="545"/>
      <c r="WTL47" s="544"/>
      <c r="WTM47" s="545"/>
      <c r="WTN47" s="545"/>
      <c r="WTO47" s="545"/>
      <c r="WTP47" s="545"/>
      <c r="WTQ47" s="545"/>
      <c r="WTR47" s="545"/>
      <c r="WTS47" s="544"/>
      <c r="WTT47" s="545"/>
      <c r="WTU47" s="545"/>
      <c r="WTV47" s="545"/>
      <c r="WTW47" s="545"/>
      <c r="WTX47" s="545"/>
      <c r="WTY47" s="545"/>
      <c r="WTZ47" s="544"/>
      <c r="WUA47" s="545"/>
      <c r="WUB47" s="545"/>
      <c r="WUC47" s="545"/>
      <c r="WUD47" s="545"/>
      <c r="WUE47" s="545"/>
      <c r="WUF47" s="545"/>
      <c r="WUG47" s="544"/>
      <c r="WUH47" s="545"/>
      <c r="WUI47" s="545"/>
      <c r="WUJ47" s="545"/>
      <c r="WUK47" s="545"/>
      <c r="WUL47" s="545"/>
      <c r="WUM47" s="545"/>
      <c r="WUN47" s="544"/>
      <c r="WUO47" s="545"/>
      <c r="WUP47" s="545"/>
      <c r="WUQ47" s="545"/>
      <c r="WUR47" s="545"/>
      <c r="WUS47" s="545"/>
      <c r="WUT47" s="545"/>
      <c r="WUU47" s="544"/>
      <c r="WUV47" s="545"/>
      <c r="WUW47" s="545"/>
      <c r="WUX47" s="545"/>
      <c r="WUY47" s="545"/>
      <c r="WUZ47" s="545"/>
      <c r="WVA47" s="545"/>
      <c r="WVB47" s="544"/>
      <c r="WVC47" s="545"/>
      <c r="WVD47" s="545"/>
      <c r="WVE47" s="545"/>
      <c r="WVF47" s="545"/>
      <c r="WVG47" s="545"/>
      <c r="WVH47" s="545"/>
      <c r="WVI47" s="544"/>
      <c r="WVJ47" s="545"/>
      <c r="WVK47" s="545"/>
      <c r="WVL47" s="545"/>
      <c r="WVM47" s="545"/>
      <c r="WVN47" s="545"/>
      <c r="WVO47" s="545"/>
      <c r="WVP47" s="544"/>
      <c r="WVQ47" s="545"/>
      <c r="WVR47" s="545"/>
      <c r="WVS47" s="545"/>
      <c r="WVT47" s="545"/>
      <c r="WVU47" s="545"/>
      <c r="WVV47" s="545"/>
      <c r="WVW47" s="544"/>
      <c r="WVX47" s="545"/>
      <c r="WVY47" s="545"/>
      <c r="WVZ47" s="545"/>
      <c r="WWA47" s="545"/>
      <c r="WWB47" s="545"/>
      <c r="WWC47" s="545"/>
      <c r="WWD47" s="544"/>
      <c r="WWE47" s="545"/>
      <c r="WWF47" s="545"/>
      <c r="WWG47" s="545"/>
      <c r="WWH47" s="545"/>
      <c r="WWI47" s="545"/>
      <c r="WWJ47" s="545"/>
      <c r="WWK47" s="544"/>
      <c r="WWL47" s="545"/>
      <c r="WWM47" s="545"/>
      <c r="WWN47" s="545"/>
      <c r="WWO47" s="545"/>
      <c r="WWP47" s="545"/>
      <c r="WWQ47" s="545"/>
      <c r="WWR47" s="544"/>
      <c r="WWS47" s="545"/>
      <c r="WWT47" s="545"/>
      <c r="WWU47" s="545"/>
      <c r="WWV47" s="545"/>
      <c r="WWW47" s="545"/>
      <c r="WWX47" s="545"/>
      <c r="WWY47" s="544"/>
      <c r="WWZ47" s="545"/>
      <c r="WXA47" s="545"/>
      <c r="WXB47" s="545"/>
      <c r="WXC47" s="545"/>
      <c r="WXD47" s="545"/>
      <c r="WXE47" s="545"/>
      <c r="WXF47" s="544"/>
      <c r="WXG47" s="545"/>
      <c r="WXH47" s="545"/>
      <c r="WXI47" s="545"/>
      <c r="WXJ47" s="545"/>
      <c r="WXK47" s="545"/>
      <c r="WXL47" s="545"/>
      <c r="WXM47" s="544"/>
      <c r="WXN47" s="545"/>
      <c r="WXO47" s="545"/>
      <c r="WXP47" s="545"/>
      <c r="WXQ47" s="545"/>
      <c r="WXR47" s="545"/>
      <c r="WXS47" s="545"/>
      <c r="WXT47" s="544"/>
      <c r="WXU47" s="545"/>
      <c r="WXV47" s="545"/>
      <c r="WXW47" s="545"/>
      <c r="WXX47" s="545"/>
      <c r="WXY47" s="545"/>
      <c r="WXZ47" s="545"/>
      <c r="WYA47" s="544"/>
      <c r="WYB47" s="545"/>
      <c r="WYC47" s="545"/>
      <c r="WYD47" s="545"/>
      <c r="WYE47" s="545"/>
      <c r="WYF47" s="545"/>
      <c r="WYG47" s="545"/>
      <c r="WYH47" s="544"/>
      <c r="WYI47" s="545"/>
      <c r="WYJ47" s="545"/>
      <c r="WYK47" s="545"/>
      <c r="WYL47" s="545"/>
      <c r="WYM47" s="545"/>
      <c r="WYN47" s="545"/>
      <c r="WYO47" s="544"/>
      <c r="WYP47" s="545"/>
      <c r="WYQ47" s="545"/>
      <c r="WYR47" s="545"/>
      <c r="WYS47" s="545"/>
      <c r="WYT47" s="545"/>
      <c r="WYU47" s="545"/>
      <c r="WYV47" s="544"/>
      <c r="WYW47" s="545"/>
      <c r="WYX47" s="545"/>
      <c r="WYY47" s="545"/>
      <c r="WYZ47" s="545"/>
      <c r="WZA47" s="545"/>
      <c r="WZB47" s="545"/>
      <c r="WZC47" s="544"/>
      <c r="WZD47" s="545"/>
      <c r="WZE47" s="545"/>
      <c r="WZF47" s="545"/>
      <c r="WZG47" s="545"/>
      <c r="WZH47" s="545"/>
      <c r="WZI47" s="545"/>
      <c r="WZJ47" s="544"/>
      <c r="WZK47" s="545"/>
      <c r="WZL47" s="545"/>
      <c r="WZM47" s="545"/>
      <c r="WZN47" s="545"/>
      <c r="WZO47" s="545"/>
      <c r="WZP47" s="545"/>
      <c r="WZQ47" s="544"/>
      <c r="WZR47" s="545"/>
      <c r="WZS47" s="545"/>
      <c r="WZT47" s="545"/>
      <c r="WZU47" s="545"/>
      <c r="WZV47" s="545"/>
      <c r="WZW47" s="545"/>
      <c r="WZX47" s="544"/>
      <c r="WZY47" s="545"/>
      <c r="WZZ47" s="545"/>
      <c r="XAA47" s="545"/>
      <c r="XAB47" s="545"/>
      <c r="XAC47" s="545"/>
      <c r="XAD47" s="545"/>
      <c r="XAE47" s="544"/>
      <c r="XAF47" s="545"/>
      <c r="XAG47" s="545"/>
      <c r="XAH47" s="545"/>
      <c r="XAI47" s="545"/>
      <c r="XAJ47" s="545"/>
      <c r="XAK47" s="545"/>
      <c r="XAL47" s="544"/>
      <c r="XAM47" s="545"/>
      <c r="XAN47" s="545"/>
      <c r="XAO47" s="545"/>
      <c r="XAP47" s="545"/>
      <c r="XAQ47" s="545"/>
      <c r="XAR47" s="545"/>
      <c r="XAS47" s="544"/>
      <c r="XAT47" s="545"/>
      <c r="XAU47" s="545"/>
      <c r="XAV47" s="545"/>
      <c r="XAW47" s="545"/>
      <c r="XAX47" s="545"/>
      <c r="XAY47" s="545"/>
      <c r="XAZ47" s="544"/>
      <c r="XBA47" s="545"/>
      <c r="XBB47" s="545"/>
      <c r="XBC47" s="545"/>
      <c r="XBD47" s="545"/>
      <c r="XBE47" s="545"/>
      <c r="XBF47" s="545"/>
      <c r="XBG47" s="544"/>
      <c r="XBH47" s="545"/>
      <c r="XBI47" s="545"/>
      <c r="XBJ47" s="545"/>
      <c r="XBK47" s="545"/>
      <c r="XBL47" s="545"/>
      <c r="XBM47" s="545"/>
      <c r="XBN47" s="544"/>
      <c r="XBO47" s="545"/>
      <c r="XBP47" s="545"/>
      <c r="XBQ47" s="545"/>
      <c r="XBR47" s="545"/>
      <c r="XBS47" s="545"/>
      <c r="XBT47" s="545"/>
      <c r="XBU47" s="544"/>
      <c r="XBV47" s="545"/>
      <c r="XBW47" s="545"/>
      <c r="XBX47" s="545"/>
      <c r="XBY47" s="545"/>
      <c r="XBZ47" s="545"/>
      <c r="XCA47" s="545"/>
      <c r="XCB47" s="544"/>
      <c r="XCC47" s="545"/>
      <c r="XCD47" s="545"/>
      <c r="XCE47" s="545"/>
      <c r="XCF47" s="545"/>
      <c r="XCG47" s="545"/>
      <c r="XCH47" s="545"/>
      <c r="XCI47" s="544"/>
      <c r="XCJ47" s="545"/>
      <c r="XCK47" s="545"/>
      <c r="XCL47" s="545"/>
      <c r="XCM47" s="545"/>
      <c r="XCN47" s="545"/>
      <c r="XCO47" s="545"/>
      <c r="XCP47" s="544"/>
      <c r="XCQ47" s="545"/>
      <c r="XCR47" s="545"/>
      <c r="XCS47" s="545"/>
      <c r="XCT47" s="545"/>
      <c r="XCU47" s="545"/>
      <c r="XCV47" s="545"/>
      <c r="XCW47" s="544"/>
      <c r="XCX47" s="545"/>
      <c r="XCY47" s="545"/>
      <c r="XCZ47" s="545"/>
      <c r="XDA47" s="545"/>
      <c r="XDB47" s="545"/>
      <c r="XDC47" s="545"/>
      <c r="XDD47" s="544"/>
      <c r="XDE47" s="545"/>
      <c r="XDF47" s="545"/>
      <c r="XDG47" s="545"/>
      <c r="XDH47" s="545"/>
      <c r="XDI47" s="545"/>
      <c r="XDJ47" s="545"/>
      <c r="XDK47" s="544"/>
      <c r="XDL47" s="545"/>
      <c r="XDM47" s="545"/>
      <c r="XDN47" s="545"/>
      <c r="XDO47" s="545"/>
      <c r="XDP47" s="545"/>
      <c r="XDQ47" s="545"/>
      <c r="XDR47" s="544"/>
      <c r="XDS47" s="545"/>
      <c r="XDT47" s="545"/>
      <c r="XDU47" s="545"/>
      <c r="XDV47" s="545"/>
      <c r="XDW47" s="545"/>
      <c r="XDX47" s="545"/>
      <c r="XDY47" s="544"/>
      <c r="XDZ47" s="545"/>
      <c r="XEA47" s="545"/>
      <c r="XEB47" s="545"/>
      <c r="XEC47" s="545"/>
      <c r="XED47" s="545"/>
      <c r="XEE47" s="545"/>
      <c r="XEF47" s="544"/>
      <c r="XEG47" s="545"/>
      <c r="XEH47" s="545"/>
      <c r="XEI47" s="545"/>
      <c r="XEJ47" s="545"/>
      <c r="XEK47" s="545"/>
      <c r="XEL47" s="545"/>
      <c r="XEM47" s="544"/>
      <c r="XEN47" s="545"/>
      <c r="XEO47" s="545"/>
      <c r="XEP47" s="545"/>
      <c r="XEQ47" s="545"/>
      <c r="XER47" s="545"/>
      <c r="XES47" s="545"/>
      <c r="XET47" s="544"/>
      <c r="XEU47" s="545"/>
      <c r="XEV47" s="545"/>
      <c r="XEW47" s="545"/>
      <c r="XEX47" s="545"/>
      <c r="XEY47" s="545"/>
      <c r="XEZ47" s="545"/>
      <c r="XFA47" s="544"/>
      <c r="XFB47" s="545"/>
      <c r="XFC47" s="545"/>
      <c r="XFD47" s="545"/>
    </row>
    <row r="48" spans="1:16384" ht="15" customHeight="1">
      <c r="A48" s="213" t="s">
        <v>724</v>
      </c>
      <c r="B48" s="197" t="s">
        <v>725</v>
      </c>
      <c r="C48" s="198" t="s">
        <v>611</v>
      </c>
      <c r="D48" s="199">
        <v>85000</v>
      </c>
      <c r="E48" s="200">
        <v>0</v>
      </c>
      <c r="F48" s="201">
        <f t="shared" si="0"/>
        <v>85000</v>
      </c>
      <c r="G48" s="214" t="s">
        <v>726</v>
      </c>
    </row>
    <row r="49" spans="1:16384" ht="15" customHeight="1">
      <c r="A49" s="215" t="s">
        <v>727</v>
      </c>
      <c r="B49" s="202" t="s">
        <v>728</v>
      </c>
      <c r="C49" s="203" t="s">
        <v>611</v>
      </c>
      <c r="D49" s="204">
        <v>55000</v>
      </c>
      <c r="E49" s="205">
        <v>0</v>
      </c>
      <c r="F49" s="206">
        <f t="shared" si="0"/>
        <v>55000</v>
      </c>
      <c r="G49" s="216" t="s">
        <v>729</v>
      </c>
    </row>
    <row r="50" spans="1:16384" ht="15" customHeight="1">
      <c r="A50" s="213" t="s">
        <v>730</v>
      </c>
      <c r="B50" s="197" t="s">
        <v>731</v>
      </c>
      <c r="C50" s="198" t="s">
        <v>611</v>
      </c>
      <c r="D50" s="199">
        <v>65000</v>
      </c>
      <c r="E50" s="200">
        <v>0</v>
      </c>
      <c r="F50" s="201">
        <f t="shared" si="0"/>
        <v>65000</v>
      </c>
      <c r="G50" s="214" t="s">
        <v>732</v>
      </c>
    </row>
    <row r="51" spans="1:16384" ht="15" customHeight="1">
      <c r="A51" s="215" t="s">
        <v>733</v>
      </c>
      <c r="B51" s="202" t="s">
        <v>734</v>
      </c>
      <c r="C51" s="203" t="s">
        <v>611</v>
      </c>
      <c r="D51" s="204">
        <v>220000</v>
      </c>
      <c r="E51" s="205">
        <v>0</v>
      </c>
      <c r="F51" s="206">
        <f t="shared" si="0"/>
        <v>220000</v>
      </c>
      <c r="G51" s="216" t="s">
        <v>735</v>
      </c>
    </row>
    <row r="52" spans="1:16384" ht="15" customHeight="1">
      <c r="A52" s="213" t="s">
        <v>736</v>
      </c>
      <c r="B52" s="197" t="s">
        <v>737</v>
      </c>
      <c r="C52" s="198" t="s">
        <v>611</v>
      </c>
      <c r="D52" s="199">
        <v>95000</v>
      </c>
      <c r="E52" s="200">
        <v>0</v>
      </c>
      <c r="F52" s="201">
        <f t="shared" si="0"/>
        <v>95000</v>
      </c>
      <c r="G52" s="214" t="s">
        <v>738</v>
      </c>
    </row>
    <row r="53" spans="1:16384" ht="15" customHeight="1">
      <c r="A53" s="215" t="s">
        <v>739</v>
      </c>
      <c r="B53" s="202" t="s">
        <v>740</v>
      </c>
      <c r="C53" s="203" t="s">
        <v>741</v>
      </c>
      <c r="D53" s="207">
        <v>0.05</v>
      </c>
      <c r="E53" s="205">
        <v>0</v>
      </c>
      <c r="F53" s="208" cm="1">
        <f t="array" ref="F53">D53</f>
        <v>0.05</v>
      </c>
      <c r="G53" s="216" t="s">
        <v>742</v>
      </c>
    </row>
    <row r="54" spans="1:16384" customFormat="1" ht="18" customHeight="1">
      <c r="A54" s="537" t="s">
        <v>743</v>
      </c>
      <c r="B54" s="538"/>
      <c r="C54" s="538"/>
      <c r="D54" s="538"/>
      <c r="E54" s="538"/>
      <c r="F54" s="538"/>
      <c r="G54" s="539"/>
      <c r="O54" s="544"/>
      <c r="P54" s="545"/>
      <c r="Q54" s="545"/>
      <c r="R54" s="545"/>
      <c r="S54" s="545"/>
      <c r="T54" s="545"/>
      <c r="U54" s="545"/>
      <c r="V54" s="544"/>
      <c r="W54" s="545"/>
      <c r="X54" s="545"/>
      <c r="Y54" s="545"/>
      <c r="Z54" s="545"/>
      <c r="AA54" s="545"/>
      <c r="AB54" s="545"/>
      <c r="AC54" s="544"/>
      <c r="AD54" s="545"/>
      <c r="AE54" s="545"/>
      <c r="AF54" s="545"/>
      <c r="AG54" s="545"/>
      <c r="AH54" s="545"/>
      <c r="AI54" s="545"/>
      <c r="AJ54" s="544"/>
      <c r="AK54" s="545"/>
      <c r="AL54" s="545"/>
      <c r="AM54" s="545"/>
      <c r="AN54" s="545"/>
      <c r="AO54" s="545"/>
      <c r="AP54" s="545"/>
      <c r="AQ54" s="544"/>
      <c r="AR54" s="545"/>
      <c r="AS54" s="545"/>
      <c r="AT54" s="545"/>
      <c r="AU54" s="545"/>
      <c r="AV54" s="545"/>
      <c r="AW54" s="545"/>
      <c r="AX54" s="544"/>
      <c r="AY54" s="545"/>
      <c r="AZ54" s="545"/>
      <c r="BA54" s="545"/>
      <c r="BB54" s="545"/>
      <c r="BC54" s="545"/>
      <c r="BD54" s="545"/>
      <c r="BE54" s="544"/>
      <c r="BF54" s="545"/>
      <c r="BG54" s="545"/>
      <c r="BH54" s="545"/>
      <c r="BI54" s="545"/>
      <c r="BJ54" s="545"/>
      <c r="BK54" s="545"/>
      <c r="BL54" s="544"/>
      <c r="BM54" s="545"/>
      <c r="BN54" s="545"/>
      <c r="BO54" s="545"/>
      <c r="BP54" s="545"/>
      <c r="BQ54" s="545"/>
      <c r="BR54" s="545"/>
      <c r="BS54" s="544"/>
      <c r="BT54" s="545"/>
      <c r="BU54" s="545"/>
      <c r="BV54" s="545"/>
      <c r="BW54" s="545"/>
      <c r="BX54" s="545"/>
      <c r="BY54" s="545"/>
      <c r="BZ54" s="544"/>
      <c r="CA54" s="545"/>
      <c r="CB54" s="545"/>
      <c r="CC54" s="545"/>
      <c r="CD54" s="545"/>
      <c r="CE54" s="545"/>
      <c r="CF54" s="545"/>
      <c r="CG54" s="544"/>
      <c r="CH54" s="545"/>
      <c r="CI54" s="545"/>
      <c r="CJ54" s="545"/>
      <c r="CK54" s="545"/>
      <c r="CL54" s="545"/>
      <c r="CM54" s="545"/>
      <c r="CN54" s="544"/>
      <c r="CO54" s="545"/>
      <c r="CP54" s="545"/>
      <c r="CQ54" s="545"/>
      <c r="CR54" s="545"/>
      <c r="CS54" s="545"/>
      <c r="CT54" s="545"/>
      <c r="CU54" s="544"/>
      <c r="CV54" s="545"/>
      <c r="CW54" s="545"/>
      <c r="CX54" s="545"/>
      <c r="CY54" s="545"/>
      <c r="CZ54" s="545"/>
      <c r="DA54" s="545"/>
      <c r="DB54" s="544"/>
      <c r="DC54" s="545"/>
      <c r="DD54" s="545"/>
      <c r="DE54" s="545"/>
      <c r="DF54" s="545"/>
      <c r="DG54" s="545"/>
      <c r="DH54" s="545"/>
      <c r="DI54" s="544"/>
      <c r="DJ54" s="545"/>
      <c r="DK54" s="545"/>
      <c r="DL54" s="545"/>
      <c r="DM54" s="545"/>
      <c r="DN54" s="545"/>
      <c r="DO54" s="545"/>
      <c r="DP54" s="544"/>
      <c r="DQ54" s="545"/>
      <c r="DR54" s="545"/>
      <c r="DS54" s="545"/>
      <c r="DT54" s="545"/>
      <c r="DU54" s="545"/>
      <c r="DV54" s="545"/>
      <c r="DW54" s="544"/>
      <c r="DX54" s="545"/>
      <c r="DY54" s="545"/>
      <c r="DZ54" s="545"/>
      <c r="EA54" s="545"/>
      <c r="EB54" s="545"/>
      <c r="EC54" s="545"/>
      <c r="ED54" s="544"/>
      <c r="EE54" s="545"/>
      <c r="EF54" s="545"/>
      <c r="EG54" s="545"/>
      <c r="EH54" s="545"/>
      <c r="EI54" s="545"/>
      <c r="EJ54" s="545"/>
      <c r="EK54" s="544"/>
      <c r="EL54" s="545"/>
      <c r="EM54" s="545"/>
      <c r="EN54" s="545"/>
      <c r="EO54" s="545"/>
      <c r="EP54" s="545"/>
      <c r="EQ54" s="545"/>
      <c r="ER54" s="544"/>
      <c r="ES54" s="545"/>
      <c r="ET54" s="545"/>
      <c r="EU54" s="545"/>
      <c r="EV54" s="545"/>
      <c r="EW54" s="545"/>
      <c r="EX54" s="545"/>
      <c r="EY54" s="544"/>
      <c r="EZ54" s="545"/>
      <c r="FA54" s="545"/>
      <c r="FB54" s="545"/>
      <c r="FC54" s="545"/>
      <c r="FD54" s="545"/>
      <c r="FE54" s="545"/>
      <c r="FF54" s="544"/>
      <c r="FG54" s="545"/>
      <c r="FH54" s="545"/>
      <c r="FI54" s="545"/>
      <c r="FJ54" s="545"/>
      <c r="FK54" s="545"/>
      <c r="FL54" s="545"/>
      <c r="FM54" s="544"/>
      <c r="FN54" s="545"/>
      <c r="FO54" s="545"/>
      <c r="FP54" s="545"/>
      <c r="FQ54" s="545"/>
      <c r="FR54" s="545"/>
      <c r="FS54" s="545"/>
      <c r="FT54" s="544"/>
      <c r="FU54" s="545"/>
      <c r="FV54" s="545"/>
      <c r="FW54" s="545"/>
      <c r="FX54" s="545"/>
      <c r="FY54" s="545"/>
      <c r="FZ54" s="545"/>
      <c r="GA54" s="544"/>
      <c r="GB54" s="545"/>
      <c r="GC54" s="545"/>
      <c r="GD54" s="545"/>
      <c r="GE54" s="545"/>
      <c r="GF54" s="545"/>
      <c r="GG54" s="545"/>
      <c r="GH54" s="544"/>
      <c r="GI54" s="545"/>
      <c r="GJ54" s="545"/>
      <c r="GK54" s="545"/>
      <c r="GL54" s="545"/>
      <c r="GM54" s="545"/>
      <c r="GN54" s="545"/>
      <c r="GO54" s="544"/>
      <c r="GP54" s="545"/>
      <c r="GQ54" s="545"/>
      <c r="GR54" s="545"/>
      <c r="GS54" s="545"/>
      <c r="GT54" s="545"/>
      <c r="GU54" s="545"/>
      <c r="GV54" s="544"/>
      <c r="GW54" s="545"/>
      <c r="GX54" s="545"/>
      <c r="GY54" s="545"/>
      <c r="GZ54" s="545"/>
      <c r="HA54" s="545"/>
      <c r="HB54" s="545"/>
      <c r="HC54" s="544"/>
      <c r="HD54" s="545"/>
      <c r="HE54" s="545"/>
      <c r="HF54" s="545"/>
      <c r="HG54" s="545"/>
      <c r="HH54" s="545"/>
      <c r="HI54" s="545"/>
      <c r="HJ54" s="544"/>
      <c r="HK54" s="545"/>
      <c r="HL54" s="545"/>
      <c r="HM54" s="545"/>
      <c r="HN54" s="545"/>
      <c r="HO54" s="545"/>
      <c r="HP54" s="545"/>
      <c r="HQ54" s="544"/>
      <c r="HR54" s="545"/>
      <c r="HS54" s="545"/>
      <c r="HT54" s="545"/>
      <c r="HU54" s="545"/>
      <c r="HV54" s="545"/>
      <c r="HW54" s="545"/>
      <c r="HX54" s="544"/>
      <c r="HY54" s="545"/>
      <c r="HZ54" s="545"/>
      <c r="IA54" s="545"/>
      <c r="IB54" s="545"/>
      <c r="IC54" s="545"/>
      <c r="ID54" s="545"/>
      <c r="IE54" s="544"/>
      <c r="IF54" s="545"/>
      <c r="IG54" s="545"/>
      <c r="IH54" s="545"/>
      <c r="II54" s="545"/>
      <c r="IJ54" s="545"/>
      <c r="IK54" s="545"/>
      <c r="IL54" s="544"/>
      <c r="IM54" s="545"/>
      <c r="IN54" s="545"/>
      <c r="IO54" s="545"/>
      <c r="IP54" s="545"/>
      <c r="IQ54" s="545"/>
      <c r="IR54" s="545"/>
      <c r="IS54" s="544"/>
      <c r="IT54" s="545"/>
      <c r="IU54" s="545"/>
      <c r="IV54" s="545"/>
      <c r="IW54" s="545"/>
      <c r="IX54" s="545"/>
      <c r="IY54" s="545"/>
      <c r="IZ54" s="544"/>
      <c r="JA54" s="545"/>
      <c r="JB54" s="545"/>
      <c r="JC54" s="545"/>
      <c r="JD54" s="545"/>
      <c r="JE54" s="545"/>
      <c r="JF54" s="545"/>
      <c r="JG54" s="544"/>
      <c r="JH54" s="545"/>
      <c r="JI54" s="545"/>
      <c r="JJ54" s="545"/>
      <c r="JK54" s="545"/>
      <c r="JL54" s="545"/>
      <c r="JM54" s="545"/>
      <c r="JN54" s="544"/>
      <c r="JO54" s="545"/>
      <c r="JP54" s="545"/>
      <c r="JQ54" s="545"/>
      <c r="JR54" s="545"/>
      <c r="JS54" s="545"/>
      <c r="JT54" s="545"/>
      <c r="JU54" s="544"/>
      <c r="JV54" s="545"/>
      <c r="JW54" s="545"/>
      <c r="JX54" s="545"/>
      <c r="JY54" s="545"/>
      <c r="JZ54" s="545"/>
      <c r="KA54" s="545"/>
      <c r="KB54" s="544"/>
      <c r="KC54" s="545"/>
      <c r="KD54" s="545"/>
      <c r="KE54" s="545"/>
      <c r="KF54" s="545"/>
      <c r="KG54" s="545"/>
      <c r="KH54" s="545"/>
      <c r="KI54" s="544"/>
      <c r="KJ54" s="545"/>
      <c r="KK54" s="545"/>
      <c r="KL54" s="545"/>
      <c r="KM54" s="545"/>
      <c r="KN54" s="545"/>
      <c r="KO54" s="545"/>
      <c r="KP54" s="544"/>
      <c r="KQ54" s="545"/>
      <c r="KR54" s="545"/>
      <c r="KS54" s="545"/>
      <c r="KT54" s="545"/>
      <c r="KU54" s="545"/>
      <c r="KV54" s="545"/>
      <c r="KW54" s="544"/>
      <c r="KX54" s="545"/>
      <c r="KY54" s="545"/>
      <c r="KZ54" s="545"/>
      <c r="LA54" s="545"/>
      <c r="LB54" s="545"/>
      <c r="LC54" s="545"/>
      <c r="LD54" s="544"/>
      <c r="LE54" s="545"/>
      <c r="LF54" s="545"/>
      <c r="LG54" s="545"/>
      <c r="LH54" s="545"/>
      <c r="LI54" s="545"/>
      <c r="LJ54" s="545"/>
      <c r="LK54" s="544"/>
      <c r="LL54" s="545"/>
      <c r="LM54" s="545"/>
      <c r="LN54" s="545"/>
      <c r="LO54" s="545"/>
      <c r="LP54" s="545"/>
      <c r="LQ54" s="545"/>
      <c r="LR54" s="544"/>
      <c r="LS54" s="545"/>
      <c r="LT54" s="545"/>
      <c r="LU54" s="545"/>
      <c r="LV54" s="545"/>
      <c r="LW54" s="545"/>
      <c r="LX54" s="545"/>
      <c r="LY54" s="544"/>
      <c r="LZ54" s="545"/>
      <c r="MA54" s="545"/>
      <c r="MB54" s="545"/>
      <c r="MC54" s="545"/>
      <c r="MD54" s="545"/>
      <c r="ME54" s="545"/>
      <c r="MF54" s="544"/>
      <c r="MG54" s="545"/>
      <c r="MH54" s="545"/>
      <c r="MI54" s="545"/>
      <c r="MJ54" s="545"/>
      <c r="MK54" s="545"/>
      <c r="ML54" s="545"/>
      <c r="MM54" s="544"/>
      <c r="MN54" s="545"/>
      <c r="MO54" s="545"/>
      <c r="MP54" s="545"/>
      <c r="MQ54" s="545"/>
      <c r="MR54" s="545"/>
      <c r="MS54" s="545"/>
      <c r="MT54" s="544"/>
      <c r="MU54" s="545"/>
      <c r="MV54" s="545"/>
      <c r="MW54" s="545"/>
      <c r="MX54" s="545"/>
      <c r="MY54" s="545"/>
      <c r="MZ54" s="545"/>
      <c r="NA54" s="544"/>
      <c r="NB54" s="545"/>
      <c r="NC54" s="545"/>
      <c r="ND54" s="545"/>
      <c r="NE54" s="545"/>
      <c r="NF54" s="545"/>
      <c r="NG54" s="545"/>
      <c r="NH54" s="544"/>
      <c r="NI54" s="545"/>
      <c r="NJ54" s="545"/>
      <c r="NK54" s="545"/>
      <c r="NL54" s="545"/>
      <c r="NM54" s="545"/>
      <c r="NN54" s="545"/>
      <c r="NO54" s="544"/>
      <c r="NP54" s="545"/>
      <c r="NQ54" s="545"/>
      <c r="NR54" s="545"/>
      <c r="NS54" s="545"/>
      <c r="NT54" s="545"/>
      <c r="NU54" s="545"/>
      <c r="NV54" s="544"/>
      <c r="NW54" s="545"/>
      <c r="NX54" s="545"/>
      <c r="NY54" s="545"/>
      <c r="NZ54" s="545"/>
      <c r="OA54" s="545"/>
      <c r="OB54" s="545"/>
      <c r="OC54" s="544"/>
      <c r="OD54" s="545"/>
      <c r="OE54" s="545"/>
      <c r="OF54" s="545"/>
      <c r="OG54" s="545"/>
      <c r="OH54" s="545"/>
      <c r="OI54" s="545"/>
      <c r="OJ54" s="544"/>
      <c r="OK54" s="545"/>
      <c r="OL54" s="545"/>
      <c r="OM54" s="545"/>
      <c r="ON54" s="545"/>
      <c r="OO54" s="545"/>
      <c r="OP54" s="545"/>
      <c r="OQ54" s="544"/>
      <c r="OR54" s="545"/>
      <c r="OS54" s="545"/>
      <c r="OT54" s="545"/>
      <c r="OU54" s="545"/>
      <c r="OV54" s="545"/>
      <c r="OW54" s="545"/>
      <c r="OX54" s="544"/>
      <c r="OY54" s="545"/>
      <c r="OZ54" s="545"/>
      <c r="PA54" s="545"/>
      <c r="PB54" s="545"/>
      <c r="PC54" s="545"/>
      <c r="PD54" s="545"/>
      <c r="PE54" s="544"/>
      <c r="PF54" s="545"/>
      <c r="PG54" s="545"/>
      <c r="PH54" s="545"/>
      <c r="PI54" s="545"/>
      <c r="PJ54" s="545"/>
      <c r="PK54" s="545"/>
      <c r="PL54" s="544"/>
      <c r="PM54" s="545"/>
      <c r="PN54" s="545"/>
      <c r="PO54" s="545"/>
      <c r="PP54" s="545"/>
      <c r="PQ54" s="545"/>
      <c r="PR54" s="545"/>
      <c r="PS54" s="544"/>
      <c r="PT54" s="545"/>
      <c r="PU54" s="545"/>
      <c r="PV54" s="545"/>
      <c r="PW54" s="545"/>
      <c r="PX54" s="545"/>
      <c r="PY54" s="545"/>
      <c r="PZ54" s="544"/>
      <c r="QA54" s="545"/>
      <c r="QB54" s="545"/>
      <c r="QC54" s="545"/>
      <c r="QD54" s="545"/>
      <c r="QE54" s="545"/>
      <c r="QF54" s="545"/>
      <c r="QG54" s="544"/>
      <c r="QH54" s="545"/>
      <c r="QI54" s="545"/>
      <c r="QJ54" s="545"/>
      <c r="QK54" s="545"/>
      <c r="QL54" s="545"/>
      <c r="QM54" s="545"/>
      <c r="QN54" s="544"/>
      <c r="QO54" s="545"/>
      <c r="QP54" s="545"/>
      <c r="QQ54" s="545"/>
      <c r="QR54" s="545"/>
      <c r="QS54" s="545"/>
      <c r="QT54" s="545"/>
      <c r="QU54" s="544"/>
      <c r="QV54" s="545"/>
      <c r="QW54" s="545"/>
      <c r="QX54" s="545"/>
      <c r="QY54" s="545"/>
      <c r="QZ54" s="545"/>
      <c r="RA54" s="545"/>
      <c r="RB54" s="544"/>
      <c r="RC54" s="545"/>
      <c r="RD54" s="545"/>
      <c r="RE54" s="545"/>
      <c r="RF54" s="545"/>
      <c r="RG54" s="545"/>
      <c r="RH54" s="545"/>
      <c r="RI54" s="544"/>
      <c r="RJ54" s="545"/>
      <c r="RK54" s="545"/>
      <c r="RL54" s="545"/>
      <c r="RM54" s="545"/>
      <c r="RN54" s="545"/>
      <c r="RO54" s="545"/>
      <c r="RP54" s="544"/>
      <c r="RQ54" s="545"/>
      <c r="RR54" s="545"/>
      <c r="RS54" s="545"/>
      <c r="RT54" s="545"/>
      <c r="RU54" s="545"/>
      <c r="RV54" s="545"/>
      <c r="RW54" s="544"/>
      <c r="RX54" s="545"/>
      <c r="RY54" s="545"/>
      <c r="RZ54" s="545"/>
      <c r="SA54" s="545"/>
      <c r="SB54" s="545"/>
      <c r="SC54" s="545"/>
      <c r="SD54" s="544"/>
      <c r="SE54" s="545"/>
      <c r="SF54" s="545"/>
      <c r="SG54" s="545"/>
      <c r="SH54" s="545"/>
      <c r="SI54" s="545"/>
      <c r="SJ54" s="545"/>
      <c r="SK54" s="544"/>
      <c r="SL54" s="545"/>
      <c r="SM54" s="545"/>
      <c r="SN54" s="545"/>
      <c r="SO54" s="545"/>
      <c r="SP54" s="545"/>
      <c r="SQ54" s="545"/>
      <c r="SR54" s="544"/>
      <c r="SS54" s="545"/>
      <c r="ST54" s="545"/>
      <c r="SU54" s="545"/>
      <c r="SV54" s="545"/>
      <c r="SW54" s="545"/>
      <c r="SX54" s="545"/>
      <c r="SY54" s="544"/>
      <c r="SZ54" s="545"/>
      <c r="TA54" s="545"/>
      <c r="TB54" s="545"/>
      <c r="TC54" s="545"/>
      <c r="TD54" s="545"/>
      <c r="TE54" s="545"/>
      <c r="TF54" s="544"/>
      <c r="TG54" s="545"/>
      <c r="TH54" s="545"/>
      <c r="TI54" s="545"/>
      <c r="TJ54" s="545"/>
      <c r="TK54" s="545"/>
      <c r="TL54" s="545"/>
      <c r="TM54" s="544"/>
      <c r="TN54" s="545"/>
      <c r="TO54" s="545"/>
      <c r="TP54" s="545"/>
      <c r="TQ54" s="545"/>
      <c r="TR54" s="545"/>
      <c r="TS54" s="545"/>
      <c r="TT54" s="544"/>
      <c r="TU54" s="545"/>
      <c r="TV54" s="545"/>
      <c r="TW54" s="545"/>
      <c r="TX54" s="545"/>
      <c r="TY54" s="545"/>
      <c r="TZ54" s="545"/>
      <c r="UA54" s="544"/>
      <c r="UB54" s="545"/>
      <c r="UC54" s="545"/>
      <c r="UD54" s="545"/>
      <c r="UE54" s="545"/>
      <c r="UF54" s="545"/>
      <c r="UG54" s="545"/>
      <c r="UH54" s="544"/>
      <c r="UI54" s="545"/>
      <c r="UJ54" s="545"/>
      <c r="UK54" s="545"/>
      <c r="UL54" s="545"/>
      <c r="UM54" s="545"/>
      <c r="UN54" s="545"/>
      <c r="UO54" s="544"/>
      <c r="UP54" s="545"/>
      <c r="UQ54" s="545"/>
      <c r="UR54" s="545"/>
      <c r="US54" s="545"/>
      <c r="UT54" s="545"/>
      <c r="UU54" s="545"/>
      <c r="UV54" s="544"/>
      <c r="UW54" s="545"/>
      <c r="UX54" s="545"/>
      <c r="UY54" s="545"/>
      <c r="UZ54" s="545"/>
      <c r="VA54" s="545"/>
      <c r="VB54" s="545"/>
      <c r="VC54" s="544"/>
      <c r="VD54" s="545"/>
      <c r="VE54" s="545"/>
      <c r="VF54" s="545"/>
      <c r="VG54" s="545"/>
      <c r="VH54" s="545"/>
      <c r="VI54" s="545"/>
      <c r="VJ54" s="544"/>
      <c r="VK54" s="545"/>
      <c r="VL54" s="545"/>
      <c r="VM54" s="545"/>
      <c r="VN54" s="545"/>
      <c r="VO54" s="545"/>
      <c r="VP54" s="545"/>
      <c r="VQ54" s="544"/>
      <c r="VR54" s="545"/>
      <c r="VS54" s="545"/>
      <c r="VT54" s="545"/>
      <c r="VU54" s="545"/>
      <c r="VV54" s="545"/>
      <c r="VW54" s="545"/>
      <c r="VX54" s="544"/>
      <c r="VY54" s="545"/>
      <c r="VZ54" s="545"/>
      <c r="WA54" s="545"/>
      <c r="WB54" s="545"/>
      <c r="WC54" s="545"/>
      <c r="WD54" s="545"/>
      <c r="WE54" s="544"/>
      <c r="WF54" s="545"/>
      <c r="WG54" s="545"/>
      <c r="WH54" s="545"/>
      <c r="WI54" s="545"/>
      <c r="WJ54" s="545"/>
      <c r="WK54" s="545"/>
      <c r="WL54" s="544"/>
      <c r="WM54" s="545"/>
      <c r="WN54" s="545"/>
      <c r="WO54" s="545"/>
      <c r="WP54" s="545"/>
      <c r="WQ54" s="545"/>
      <c r="WR54" s="545"/>
      <c r="WS54" s="544"/>
      <c r="WT54" s="545"/>
      <c r="WU54" s="545"/>
      <c r="WV54" s="545"/>
      <c r="WW54" s="545"/>
      <c r="WX54" s="545"/>
      <c r="WY54" s="545"/>
      <c r="WZ54" s="544"/>
      <c r="XA54" s="545"/>
      <c r="XB54" s="545"/>
      <c r="XC54" s="545"/>
      <c r="XD54" s="545"/>
      <c r="XE54" s="545"/>
      <c r="XF54" s="545"/>
      <c r="XG54" s="544"/>
      <c r="XH54" s="545"/>
      <c r="XI54" s="545"/>
      <c r="XJ54" s="545"/>
      <c r="XK54" s="545"/>
      <c r="XL54" s="545"/>
      <c r="XM54" s="545"/>
      <c r="XN54" s="544"/>
      <c r="XO54" s="545"/>
      <c r="XP54" s="545"/>
      <c r="XQ54" s="545"/>
      <c r="XR54" s="545"/>
      <c r="XS54" s="545"/>
      <c r="XT54" s="545"/>
      <c r="XU54" s="544"/>
      <c r="XV54" s="545"/>
      <c r="XW54" s="545"/>
      <c r="XX54" s="545"/>
      <c r="XY54" s="545"/>
      <c r="XZ54" s="545"/>
      <c r="YA54" s="545"/>
      <c r="YB54" s="544"/>
      <c r="YC54" s="545"/>
      <c r="YD54" s="545"/>
      <c r="YE54" s="545"/>
      <c r="YF54" s="545"/>
      <c r="YG54" s="545"/>
      <c r="YH54" s="545"/>
      <c r="YI54" s="544"/>
      <c r="YJ54" s="545"/>
      <c r="YK54" s="545"/>
      <c r="YL54" s="545"/>
      <c r="YM54" s="545"/>
      <c r="YN54" s="545"/>
      <c r="YO54" s="545"/>
      <c r="YP54" s="544"/>
      <c r="YQ54" s="545"/>
      <c r="YR54" s="545"/>
      <c r="YS54" s="545"/>
      <c r="YT54" s="545"/>
      <c r="YU54" s="545"/>
      <c r="YV54" s="545"/>
      <c r="YW54" s="544"/>
      <c r="YX54" s="545"/>
      <c r="YY54" s="545"/>
      <c r="YZ54" s="545"/>
      <c r="ZA54" s="545"/>
      <c r="ZB54" s="545"/>
      <c r="ZC54" s="545"/>
      <c r="ZD54" s="544"/>
      <c r="ZE54" s="545"/>
      <c r="ZF54" s="545"/>
      <c r="ZG54" s="545"/>
      <c r="ZH54" s="545"/>
      <c r="ZI54" s="545"/>
      <c r="ZJ54" s="545"/>
      <c r="ZK54" s="544"/>
      <c r="ZL54" s="545"/>
      <c r="ZM54" s="545"/>
      <c r="ZN54" s="545"/>
      <c r="ZO54" s="545"/>
      <c r="ZP54" s="545"/>
      <c r="ZQ54" s="545"/>
      <c r="ZR54" s="544"/>
      <c r="ZS54" s="545"/>
      <c r="ZT54" s="545"/>
      <c r="ZU54" s="545"/>
      <c r="ZV54" s="545"/>
      <c r="ZW54" s="545"/>
      <c r="ZX54" s="545"/>
      <c r="ZY54" s="544"/>
      <c r="ZZ54" s="545"/>
      <c r="AAA54" s="545"/>
      <c r="AAB54" s="545"/>
      <c r="AAC54" s="545"/>
      <c r="AAD54" s="545"/>
      <c r="AAE54" s="545"/>
      <c r="AAF54" s="544"/>
      <c r="AAG54" s="545"/>
      <c r="AAH54" s="545"/>
      <c r="AAI54" s="545"/>
      <c r="AAJ54" s="545"/>
      <c r="AAK54" s="545"/>
      <c r="AAL54" s="545"/>
      <c r="AAM54" s="544"/>
      <c r="AAN54" s="545"/>
      <c r="AAO54" s="545"/>
      <c r="AAP54" s="545"/>
      <c r="AAQ54" s="545"/>
      <c r="AAR54" s="545"/>
      <c r="AAS54" s="545"/>
      <c r="AAT54" s="544"/>
      <c r="AAU54" s="545"/>
      <c r="AAV54" s="545"/>
      <c r="AAW54" s="545"/>
      <c r="AAX54" s="545"/>
      <c r="AAY54" s="545"/>
      <c r="AAZ54" s="545"/>
      <c r="ABA54" s="544"/>
      <c r="ABB54" s="545"/>
      <c r="ABC54" s="545"/>
      <c r="ABD54" s="545"/>
      <c r="ABE54" s="545"/>
      <c r="ABF54" s="545"/>
      <c r="ABG54" s="545"/>
      <c r="ABH54" s="544"/>
      <c r="ABI54" s="545"/>
      <c r="ABJ54" s="545"/>
      <c r="ABK54" s="545"/>
      <c r="ABL54" s="545"/>
      <c r="ABM54" s="545"/>
      <c r="ABN54" s="545"/>
      <c r="ABO54" s="544"/>
      <c r="ABP54" s="545"/>
      <c r="ABQ54" s="545"/>
      <c r="ABR54" s="545"/>
      <c r="ABS54" s="545"/>
      <c r="ABT54" s="545"/>
      <c r="ABU54" s="545"/>
      <c r="ABV54" s="544"/>
      <c r="ABW54" s="545"/>
      <c r="ABX54" s="545"/>
      <c r="ABY54" s="545"/>
      <c r="ABZ54" s="545"/>
      <c r="ACA54" s="545"/>
      <c r="ACB54" s="545"/>
      <c r="ACC54" s="544"/>
      <c r="ACD54" s="545"/>
      <c r="ACE54" s="545"/>
      <c r="ACF54" s="545"/>
      <c r="ACG54" s="545"/>
      <c r="ACH54" s="545"/>
      <c r="ACI54" s="545"/>
      <c r="ACJ54" s="544"/>
      <c r="ACK54" s="545"/>
      <c r="ACL54" s="545"/>
      <c r="ACM54" s="545"/>
      <c r="ACN54" s="545"/>
      <c r="ACO54" s="545"/>
      <c r="ACP54" s="545"/>
      <c r="ACQ54" s="544"/>
      <c r="ACR54" s="545"/>
      <c r="ACS54" s="545"/>
      <c r="ACT54" s="545"/>
      <c r="ACU54" s="545"/>
      <c r="ACV54" s="545"/>
      <c r="ACW54" s="545"/>
      <c r="ACX54" s="544"/>
      <c r="ACY54" s="545"/>
      <c r="ACZ54" s="545"/>
      <c r="ADA54" s="545"/>
      <c r="ADB54" s="545"/>
      <c r="ADC54" s="545"/>
      <c r="ADD54" s="545"/>
      <c r="ADE54" s="544"/>
      <c r="ADF54" s="545"/>
      <c r="ADG54" s="545"/>
      <c r="ADH54" s="545"/>
      <c r="ADI54" s="545"/>
      <c r="ADJ54" s="545"/>
      <c r="ADK54" s="545"/>
      <c r="ADL54" s="544"/>
      <c r="ADM54" s="545"/>
      <c r="ADN54" s="545"/>
      <c r="ADO54" s="545"/>
      <c r="ADP54" s="545"/>
      <c r="ADQ54" s="545"/>
      <c r="ADR54" s="545"/>
      <c r="ADS54" s="544"/>
      <c r="ADT54" s="545"/>
      <c r="ADU54" s="545"/>
      <c r="ADV54" s="545"/>
      <c r="ADW54" s="545"/>
      <c r="ADX54" s="545"/>
      <c r="ADY54" s="545"/>
      <c r="ADZ54" s="544"/>
      <c r="AEA54" s="545"/>
      <c r="AEB54" s="545"/>
      <c r="AEC54" s="545"/>
      <c r="AED54" s="545"/>
      <c r="AEE54" s="545"/>
      <c r="AEF54" s="545"/>
      <c r="AEG54" s="544"/>
      <c r="AEH54" s="545"/>
      <c r="AEI54" s="545"/>
      <c r="AEJ54" s="545"/>
      <c r="AEK54" s="545"/>
      <c r="AEL54" s="545"/>
      <c r="AEM54" s="545"/>
      <c r="AEN54" s="544"/>
      <c r="AEO54" s="545"/>
      <c r="AEP54" s="545"/>
      <c r="AEQ54" s="545"/>
      <c r="AER54" s="545"/>
      <c r="AES54" s="545"/>
      <c r="AET54" s="545"/>
      <c r="AEU54" s="544"/>
      <c r="AEV54" s="545"/>
      <c r="AEW54" s="545"/>
      <c r="AEX54" s="545"/>
      <c r="AEY54" s="545"/>
      <c r="AEZ54" s="545"/>
      <c r="AFA54" s="545"/>
      <c r="AFB54" s="544"/>
      <c r="AFC54" s="545"/>
      <c r="AFD54" s="545"/>
      <c r="AFE54" s="545"/>
      <c r="AFF54" s="545"/>
      <c r="AFG54" s="545"/>
      <c r="AFH54" s="545"/>
      <c r="AFI54" s="544"/>
      <c r="AFJ54" s="545"/>
      <c r="AFK54" s="545"/>
      <c r="AFL54" s="545"/>
      <c r="AFM54" s="545"/>
      <c r="AFN54" s="545"/>
      <c r="AFO54" s="545"/>
      <c r="AFP54" s="544"/>
      <c r="AFQ54" s="545"/>
      <c r="AFR54" s="545"/>
      <c r="AFS54" s="545"/>
      <c r="AFT54" s="545"/>
      <c r="AFU54" s="545"/>
      <c r="AFV54" s="545"/>
      <c r="AFW54" s="544"/>
      <c r="AFX54" s="545"/>
      <c r="AFY54" s="545"/>
      <c r="AFZ54" s="545"/>
      <c r="AGA54" s="545"/>
      <c r="AGB54" s="545"/>
      <c r="AGC54" s="545"/>
      <c r="AGD54" s="544"/>
      <c r="AGE54" s="545"/>
      <c r="AGF54" s="545"/>
      <c r="AGG54" s="545"/>
      <c r="AGH54" s="545"/>
      <c r="AGI54" s="545"/>
      <c r="AGJ54" s="545"/>
      <c r="AGK54" s="544"/>
      <c r="AGL54" s="545"/>
      <c r="AGM54" s="545"/>
      <c r="AGN54" s="545"/>
      <c r="AGO54" s="545"/>
      <c r="AGP54" s="545"/>
      <c r="AGQ54" s="545"/>
      <c r="AGR54" s="544"/>
      <c r="AGS54" s="545"/>
      <c r="AGT54" s="545"/>
      <c r="AGU54" s="545"/>
      <c r="AGV54" s="545"/>
      <c r="AGW54" s="545"/>
      <c r="AGX54" s="545"/>
      <c r="AGY54" s="544"/>
      <c r="AGZ54" s="545"/>
      <c r="AHA54" s="545"/>
      <c r="AHB54" s="545"/>
      <c r="AHC54" s="545"/>
      <c r="AHD54" s="545"/>
      <c r="AHE54" s="545"/>
      <c r="AHF54" s="544"/>
      <c r="AHG54" s="545"/>
      <c r="AHH54" s="545"/>
      <c r="AHI54" s="545"/>
      <c r="AHJ54" s="545"/>
      <c r="AHK54" s="545"/>
      <c r="AHL54" s="545"/>
      <c r="AHM54" s="544"/>
      <c r="AHN54" s="545"/>
      <c r="AHO54" s="545"/>
      <c r="AHP54" s="545"/>
      <c r="AHQ54" s="545"/>
      <c r="AHR54" s="545"/>
      <c r="AHS54" s="545"/>
      <c r="AHT54" s="544"/>
      <c r="AHU54" s="545"/>
      <c r="AHV54" s="545"/>
      <c r="AHW54" s="545"/>
      <c r="AHX54" s="545"/>
      <c r="AHY54" s="545"/>
      <c r="AHZ54" s="545"/>
      <c r="AIA54" s="544"/>
      <c r="AIB54" s="545"/>
      <c r="AIC54" s="545"/>
      <c r="AID54" s="545"/>
      <c r="AIE54" s="545"/>
      <c r="AIF54" s="545"/>
      <c r="AIG54" s="545"/>
      <c r="AIH54" s="544"/>
      <c r="AII54" s="545"/>
      <c r="AIJ54" s="545"/>
      <c r="AIK54" s="545"/>
      <c r="AIL54" s="545"/>
      <c r="AIM54" s="545"/>
      <c r="AIN54" s="545"/>
      <c r="AIO54" s="544"/>
      <c r="AIP54" s="545"/>
      <c r="AIQ54" s="545"/>
      <c r="AIR54" s="545"/>
      <c r="AIS54" s="545"/>
      <c r="AIT54" s="545"/>
      <c r="AIU54" s="545"/>
      <c r="AIV54" s="544"/>
      <c r="AIW54" s="545"/>
      <c r="AIX54" s="545"/>
      <c r="AIY54" s="545"/>
      <c r="AIZ54" s="545"/>
      <c r="AJA54" s="545"/>
      <c r="AJB54" s="545"/>
      <c r="AJC54" s="544"/>
      <c r="AJD54" s="545"/>
      <c r="AJE54" s="545"/>
      <c r="AJF54" s="545"/>
      <c r="AJG54" s="545"/>
      <c r="AJH54" s="545"/>
      <c r="AJI54" s="545"/>
      <c r="AJJ54" s="544"/>
      <c r="AJK54" s="545"/>
      <c r="AJL54" s="545"/>
      <c r="AJM54" s="545"/>
      <c r="AJN54" s="545"/>
      <c r="AJO54" s="545"/>
      <c r="AJP54" s="545"/>
      <c r="AJQ54" s="544"/>
      <c r="AJR54" s="545"/>
      <c r="AJS54" s="545"/>
      <c r="AJT54" s="545"/>
      <c r="AJU54" s="545"/>
      <c r="AJV54" s="545"/>
      <c r="AJW54" s="545"/>
      <c r="AJX54" s="544"/>
      <c r="AJY54" s="545"/>
      <c r="AJZ54" s="545"/>
      <c r="AKA54" s="545"/>
      <c r="AKB54" s="545"/>
      <c r="AKC54" s="545"/>
      <c r="AKD54" s="545"/>
      <c r="AKE54" s="544"/>
      <c r="AKF54" s="545"/>
      <c r="AKG54" s="545"/>
      <c r="AKH54" s="545"/>
      <c r="AKI54" s="545"/>
      <c r="AKJ54" s="545"/>
      <c r="AKK54" s="545"/>
      <c r="AKL54" s="544"/>
      <c r="AKM54" s="545"/>
      <c r="AKN54" s="545"/>
      <c r="AKO54" s="545"/>
      <c r="AKP54" s="545"/>
      <c r="AKQ54" s="545"/>
      <c r="AKR54" s="545"/>
      <c r="AKS54" s="544"/>
      <c r="AKT54" s="545"/>
      <c r="AKU54" s="545"/>
      <c r="AKV54" s="545"/>
      <c r="AKW54" s="545"/>
      <c r="AKX54" s="545"/>
      <c r="AKY54" s="545"/>
      <c r="AKZ54" s="544"/>
      <c r="ALA54" s="545"/>
      <c r="ALB54" s="545"/>
      <c r="ALC54" s="545"/>
      <c r="ALD54" s="545"/>
      <c r="ALE54" s="545"/>
      <c r="ALF54" s="545"/>
      <c r="ALG54" s="544"/>
      <c r="ALH54" s="545"/>
      <c r="ALI54" s="545"/>
      <c r="ALJ54" s="545"/>
      <c r="ALK54" s="545"/>
      <c r="ALL54" s="545"/>
      <c r="ALM54" s="545"/>
      <c r="ALN54" s="544"/>
      <c r="ALO54" s="545"/>
      <c r="ALP54" s="545"/>
      <c r="ALQ54" s="545"/>
      <c r="ALR54" s="545"/>
      <c r="ALS54" s="545"/>
      <c r="ALT54" s="545"/>
      <c r="ALU54" s="544"/>
      <c r="ALV54" s="545"/>
      <c r="ALW54" s="545"/>
      <c r="ALX54" s="545"/>
      <c r="ALY54" s="545"/>
      <c r="ALZ54" s="545"/>
      <c r="AMA54" s="545"/>
      <c r="AMB54" s="544"/>
      <c r="AMC54" s="545"/>
      <c r="AMD54" s="545"/>
      <c r="AME54" s="545"/>
      <c r="AMF54" s="545"/>
      <c r="AMG54" s="545"/>
      <c r="AMH54" s="545"/>
      <c r="AMI54" s="544"/>
      <c r="AMJ54" s="545"/>
      <c r="AMK54" s="545"/>
      <c r="AML54" s="545"/>
      <c r="AMM54" s="545"/>
      <c r="AMN54" s="545"/>
      <c r="AMO54" s="545"/>
      <c r="AMP54" s="544"/>
      <c r="AMQ54" s="545"/>
      <c r="AMR54" s="545"/>
      <c r="AMS54" s="545"/>
      <c r="AMT54" s="545"/>
      <c r="AMU54" s="545"/>
      <c r="AMV54" s="545"/>
      <c r="AMW54" s="544"/>
      <c r="AMX54" s="545"/>
      <c r="AMY54" s="545"/>
      <c r="AMZ54" s="545"/>
      <c r="ANA54" s="545"/>
      <c r="ANB54" s="545"/>
      <c r="ANC54" s="545"/>
      <c r="AND54" s="544"/>
      <c r="ANE54" s="545"/>
      <c r="ANF54" s="545"/>
      <c r="ANG54" s="545"/>
      <c r="ANH54" s="545"/>
      <c r="ANI54" s="545"/>
      <c r="ANJ54" s="545"/>
      <c r="ANK54" s="544"/>
      <c r="ANL54" s="545"/>
      <c r="ANM54" s="545"/>
      <c r="ANN54" s="545"/>
      <c r="ANO54" s="545"/>
      <c r="ANP54" s="545"/>
      <c r="ANQ54" s="545"/>
      <c r="ANR54" s="544"/>
      <c r="ANS54" s="545"/>
      <c r="ANT54" s="545"/>
      <c r="ANU54" s="545"/>
      <c r="ANV54" s="545"/>
      <c r="ANW54" s="545"/>
      <c r="ANX54" s="545"/>
      <c r="ANY54" s="544"/>
      <c r="ANZ54" s="545"/>
      <c r="AOA54" s="545"/>
      <c r="AOB54" s="545"/>
      <c r="AOC54" s="545"/>
      <c r="AOD54" s="545"/>
      <c r="AOE54" s="545"/>
      <c r="AOF54" s="544"/>
      <c r="AOG54" s="545"/>
      <c r="AOH54" s="545"/>
      <c r="AOI54" s="545"/>
      <c r="AOJ54" s="545"/>
      <c r="AOK54" s="545"/>
      <c r="AOL54" s="545"/>
      <c r="AOM54" s="544"/>
      <c r="AON54" s="545"/>
      <c r="AOO54" s="545"/>
      <c r="AOP54" s="545"/>
      <c r="AOQ54" s="545"/>
      <c r="AOR54" s="545"/>
      <c r="AOS54" s="545"/>
      <c r="AOT54" s="544"/>
      <c r="AOU54" s="545"/>
      <c r="AOV54" s="545"/>
      <c r="AOW54" s="545"/>
      <c r="AOX54" s="545"/>
      <c r="AOY54" s="545"/>
      <c r="AOZ54" s="545"/>
      <c r="APA54" s="544"/>
      <c r="APB54" s="545"/>
      <c r="APC54" s="545"/>
      <c r="APD54" s="545"/>
      <c r="APE54" s="545"/>
      <c r="APF54" s="545"/>
      <c r="APG54" s="545"/>
      <c r="APH54" s="544"/>
      <c r="API54" s="545"/>
      <c r="APJ54" s="545"/>
      <c r="APK54" s="545"/>
      <c r="APL54" s="545"/>
      <c r="APM54" s="545"/>
      <c r="APN54" s="545"/>
      <c r="APO54" s="544"/>
      <c r="APP54" s="545"/>
      <c r="APQ54" s="545"/>
      <c r="APR54" s="545"/>
      <c r="APS54" s="545"/>
      <c r="APT54" s="545"/>
      <c r="APU54" s="545"/>
      <c r="APV54" s="544"/>
      <c r="APW54" s="545"/>
      <c r="APX54" s="545"/>
      <c r="APY54" s="545"/>
      <c r="APZ54" s="545"/>
      <c r="AQA54" s="545"/>
      <c r="AQB54" s="545"/>
      <c r="AQC54" s="544"/>
      <c r="AQD54" s="545"/>
      <c r="AQE54" s="545"/>
      <c r="AQF54" s="545"/>
      <c r="AQG54" s="545"/>
      <c r="AQH54" s="545"/>
      <c r="AQI54" s="545"/>
      <c r="AQJ54" s="544"/>
      <c r="AQK54" s="545"/>
      <c r="AQL54" s="545"/>
      <c r="AQM54" s="545"/>
      <c r="AQN54" s="545"/>
      <c r="AQO54" s="545"/>
      <c r="AQP54" s="545"/>
      <c r="AQQ54" s="544"/>
      <c r="AQR54" s="545"/>
      <c r="AQS54" s="545"/>
      <c r="AQT54" s="545"/>
      <c r="AQU54" s="545"/>
      <c r="AQV54" s="545"/>
      <c r="AQW54" s="545"/>
      <c r="AQX54" s="544"/>
      <c r="AQY54" s="545"/>
      <c r="AQZ54" s="545"/>
      <c r="ARA54" s="545"/>
      <c r="ARB54" s="545"/>
      <c r="ARC54" s="545"/>
      <c r="ARD54" s="545"/>
      <c r="ARE54" s="544"/>
      <c r="ARF54" s="545"/>
      <c r="ARG54" s="545"/>
      <c r="ARH54" s="545"/>
      <c r="ARI54" s="545"/>
      <c r="ARJ54" s="545"/>
      <c r="ARK54" s="545"/>
      <c r="ARL54" s="544"/>
      <c r="ARM54" s="545"/>
      <c r="ARN54" s="545"/>
      <c r="ARO54" s="545"/>
      <c r="ARP54" s="545"/>
      <c r="ARQ54" s="545"/>
      <c r="ARR54" s="545"/>
      <c r="ARS54" s="544"/>
      <c r="ART54" s="545"/>
      <c r="ARU54" s="545"/>
      <c r="ARV54" s="545"/>
      <c r="ARW54" s="545"/>
      <c r="ARX54" s="545"/>
      <c r="ARY54" s="545"/>
      <c r="ARZ54" s="544"/>
      <c r="ASA54" s="545"/>
      <c r="ASB54" s="545"/>
      <c r="ASC54" s="545"/>
      <c r="ASD54" s="545"/>
      <c r="ASE54" s="545"/>
      <c r="ASF54" s="545"/>
      <c r="ASG54" s="544"/>
      <c r="ASH54" s="545"/>
      <c r="ASI54" s="545"/>
      <c r="ASJ54" s="545"/>
      <c r="ASK54" s="545"/>
      <c r="ASL54" s="545"/>
      <c r="ASM54" s="545"/>
      <c r="ASN54" s="544"/>
      <c r="ASO54" s="545"/>
      <c r="ASP54" s="545"/>
      <c r="ASQ54" s="545"/>
      <c r="ASR54" s="545"/>
      <c r="ASS54" s="545"/>
      <c r="AST54" s="545"/>
      <c r="ASU54" s="544"/>
      <c r="ASV54" s="545"/>
      <c r="ASW54" s="545"/>
      <c r="ASX54" s="545"/>
      <c r="ASY54" s="545"/>
      <c r="ASZ54" s="545"/>
      <c r="ATA54" s="545"/>
      <c r="ATB54" s="544"/>
      <c r="ATC54" s="545"/>
      <c r="ATD54" s="545"/>
      <c r="ATE54" s="545"/>
      <c r="ATF54" s="545"/>
      <c r="ATG54" s="545"/>
      <c r="ATH54" s="545"/>
      <c r="ATI54" s="544"/>
      <c r="ATJ54" s="545"/>
      <c r="ATK54" s="545"/>
      <c r="ATL54" s="545"/>
      <c r="ATM54" s="545"/>
      <c r="ATN54" s="545"/>
      <c r="ATO54" s="545"/>
      <c r="ATP54" s="544"/>
      <c r="ATQ54" s="545"/>
      <c r="ATR54" s="545"/>
      <c r="ATS54" s="545"/>
      <c r="ATT54" s="545"/>
      <c r="ATU54" s="545"/>
      <c r="ATV54" s="545"/>
      <c r="ATW54" s="544"/>
      <c r="ATX54" s="545"/>
      <c r="ATY54" s="545"/>
      <c r="ATZ54" s="545"/>
      <c r="AUA54" s="545"/>
      <c r="AUB54" s="545"/>
      <c r="AUC54" s="545"/>
      <c r="AUD54" s="544"/>
      <c r="AUE54" s="545"/>
      <c r="AUF54" s="545"/>
      <c r="AUG54" s="545"/>
      <c r="AUH54" s="545"/>
      <c r="AUI54" s="545"/>
      <c r="AUJ54" s="545"/>
      <c r="AUK54" s="544"/>
      <c r="AUL54" s="545"/>
      <c r="AUM54" s="545"/>
      <c r="AUN54" s="545"/>
      <c r="AUO54" s="545"/>
      <c r="AUP54" s="545"/>
      <c r="AUQ54" s="545"/>
      <c r="AUR54" s="544"/>
      <c r="AUS54" s="545"/>
      <c r="AUT54" s="545"/>
      <c r="AUU54" s="545"/>
      <c r="AUV54" s="545"/>
      <c r="AUW54" s="545"/>
      <c r="AUX54" s="545"/>
      <c r="AUY54" s="544"/>
      <c r="AUZ54" s="545"/>
      <c r="AVA54" s="545"/>
      <c r="AVB54" s="545"/>
      <c r="AVC54" s="545"/>
      <c r="AVD54" s="545"/>
      <c r="AVE54" s="545"/>
      <c r="AVF54" s="544"/>
      <c r="AVG54" s="545"/>
      <c r="AVH54" s="545"/>
      <c r="AVI54" s="545"/>
      <c r="AVJ54" s="545"/>
      <c r="AVK54" s="545"/>
      <c r="AVL54" s="545"/>
      <c r="AVM54" s="544"/>
      <c r="AVN54" s="545"/>
      <c r="AVO54" s="545"/>
      <c r="AVP54" s="545"/>
      <c r="AVQ54" s="545"/>
      <c r="AVR54" s="545"/>
      <c r="AVS54" s="545"/>
      <c r="AVT54" s="544"/>
      <c r="AVU54" s="545"/>
      <c r="AVV54" s="545"/>
      <c r="AVW54" s="545"/>
      <c r="AVX54" s="545"/>
      <c r="AVY54" s="545"/>
      <c r="AVZ54" s="545"/>
      <c r="AWA54" s="544"/>
      <c r="AWB54" s="545"/>
      <c r="AWC54" s="545"/>
      <c r="AWD54" s="545"/>
      <c r="AWE54" s="545"/>
      <c r="AWF54" s="545"/>
      <c r="AWG54" s="545"/>
      <c r="AWH54" s="544"/>
      <c r="AWI54" s="545"/>
      <c r="AWJ54" s="545"/>
      <c r="AWK54" s="545"/>
      <c r="AWL54" s="545"/>
      <c r="AWM54" s="545"/>
      <c r="AWN54" s="545"/>
      <c r="AWO54" s="544"/>
      <c r="AWP54" s="545"/>
      <c r="AWQ54" s="545"/>
      <c r="AWR54" s="545"/>
      <c r="AWS54" s="545"/>
      <c r="AWT54" s="545"/>
      <c r="AWU54" s="545"/>
      <c r="AWV54" s="544"/>
      <c r="AWW54" s="545"/>
      <c r="AWX54" s="545"/>
      <c r="AWY54" s="545"/>
      <c r="AWZ54" s="545"/>
      <c r="AXA54" s="545"/>
      <c r="AXB54" s="545"/>
      <c r="AXC54" s="544"/>
      <c r="AXD54" s="545"/>
      <c r="AXE54" s="545"/>
      <c r="AXF54" s="545"/>
      <c r="AXG54" s="545"/>
      <c r="AXH54" s="545"/>
      <c r="AXI54" s="545"/>
      <c r="AXJ54" s="544"/>
      <c r="AXK54" s="545"/>
      <c r="AXL54" s="545"/>
      <c r="AXM54" s="545"/>
      <c r="AXN54" s="545"/>
      <c r="AXO54" s="545"/>
      <c r="AXP54" s="545"/>
      <c r="AXQ54" s="544"/>
      <c r="AXR54" s="545"/>
      <c r="AXS54" s="545"/>
      <c r="AXT54" s="545"/>
      <c r="AXU54" s="545"/>
      <c r="AXV54" s="545"/>
      <c r="AXW54" s="545"/>
      <c r="AXX54" s="544"/>
      <c r="AXY54" s="545"/>
      <c r="AXZ54" s="545"/>
      <c r="AYA54" s="545"/>
      <c r="AYB54" s="545"/>
      <c r="AYC54" s="545"/>
      <c r="AYD54" s="545"/>
      <c r="AYE54" s="544"/>
      <c r="AYF54" s="545"/>
      <c r="AYG54" s="545"/>
      <c r="AYH54" s="545"/>
      <c r="AYI54" s="545"/>
      <c r="AYJ54" s="545"/>
      <c r="AYK54" s="545"/>
      <c r="AYL54" s="544"/>
      <c r="AYM54" s="545"/>
      <c r="AYN54" s="545"/>
      <c r="AYO54" s="545"/>
      <c r="AYP54" s="545"/>
      <c r="AYQ54" s="545"/>
      <c r="AYR54" s="545"/>
      <c r="AYS54" s="544"/>
      <c r="AYT54" s="545"/>
      <c r="AYU54" s="545"/>
      <c r="AYV54" s="545"/>
      <c r="AYW54" s="545"/>
      <c r="AYX54" s="545"/>
      <c r="AYY54" s="545"/>
      <c r="AYZ54" s="544"/>
      <c r="AZA54" s="545"/>
      <c r="AZB54" s="545"/>
      <c r="AZC54" s="545"/>
      <c r="AZD54" s="545"/>
      <c r="AZE54" s="545"/>
      <c r="AZF54" s="545"/>
      <c r="AZG54" s="544"/>
      <c r="AZH54" s="545"/>
      <c r="AZI54" s="545"/>
      <c r="AZJ54" s="545"/>
      <c r="AZK54" s="545"/>
      <c r="AZL54" s="545"/>
      <c r="AZM54" s="545"/>
      <c r="AZN54" s="544"/>
      <c r="AZO54" s="545"/>
      <c r="AZP54" s="545"/>
      <c r="AZQ54" s="545"/>
      <c r="AZR54" s="545"/>
      <c r="AZS54" s="545"/>
      <c r="AZT54" s="545"/>
      <c r="AZU54" s="544"/>
      <c r="AZV54" s="545"/>
      <c r="AZW54" s="545"/>
      <c r="AZX54" s="545"/>
      <c r="AZY54" s="545"/>
      <c r="AZZ54" s="545"/>
      <c r="BAA54" s="545"/>
      <c r="BAB54" s="544"/>
      <c r="BAC54" s="545"/>
      <c r="BAD54" s="545"/>
      <c r="BAE54" s="545"/>
      <c r="BAF54" s="545"/>
      <c r="BAG54" s="545"/>
      <c r="BAH54" s="545"/>
      <c r="BAI54" s="544"/>
      <c r="BAJ54" s="545"/>
      <c r="BAK54" s="545"/>
      <c r="BAL54" s="545"/>
      <c r="BAM54" s="545"/>
      <c r="BAN54" s="545"/>
      <c r="BAO54" s="545"/>
      <c r="BAP54" s="544"/>
      <c r="BAQ54" s="545"/>
      <c r="BAR54" s="545"/>
      <c r="BAS54" s="545"/>
      <c r="BAT54" s="545"/>
      <c r="BAU54" s="545"/>
      <c r="BAV54" s="545"/>
      <c r="BAW54" s="544"/>
      <c r="BAX54" s="545"/>
      <c r="BAY54" s="545"/>
      <c r="BAZ54" s="545"/>
      <c r="BBA54" s="545"/>
      <c r="BBB54" s="545"/>
      <c r="BBC54" s="545"/>
      <c r="BBD54" s="544"/>
      <c r="BBE54" s="545"/>
      <c r="BBF54" s="545"/>
      <c r="BBG54" s="545"/>
      <c r="BBH54" s="545"/>
      <c r="BBI54" s="545"/>
      <c r="BBJ54" s="545"/>
      <c r="BBK54" s="544"/>
      <c r="BBL54" s="545"/>
      <c r="BBM54" s="545"/>
      <c r="BBN54" s="545"/>
      <c r="BBO54" s="545"/>
      <c r="BBP54" s="545"/>
      <c r="BBQ54" s="545"/>
      <c r="BBR54" s="544"/>
      <c r="BBS54" s="545"/>
      <c r="BBT54" s="545"/>
      <c r="BBU54" s="545"/>
      <c r="BBV54" s="545"/>
      <c r="BBW54" s="545"/>
      <c r="BBX54" s="545"/>
      <c r="BBY54" s="544"/>
      <c r="BBZ54" s="545"/>
      <c r="BCA54" s="545"/>
      <c r="BCB54" s="545"/>
      <c r="BCC54" s="545"/>
      <c r="BCD54" s="545"/>
      <c r="BCE54" s="545"/>
      <c r="BCF54" s="544"/>
      <c r="BCG54" s="545"/>
      <c r="BCH54" s="545"/>
      <c r="BCI54" s="545"/>
      <c r="BCJ54" s="545"/>
      <c r="BCK54" s="545"/>
      <c r="BCL54" s="545"/>
      <c r="BCM54" s="544"/>
      <c r="BCN54" s="545"/>
      <c r="BCO54" s="545"/>
      <c r="BCP54" s="545"/>
      <c r="BCQ54" s="545"/>
      <c r="BCR54" s="545"/>
      <c r="BCS54" s="545"/>
      <c r="BCT54" s="544"/>
      <c r="BCU54" s="545"/>
      <c r="BCV54" s="545"/>
      <c r="BCW54" s="545"/>
      <c r="BCX54" s="545"/>
      <c r="BCY54" s="545"/>
      <c r="BCZ54" s="545"/>
      <c r="BDA54" s="544"/>
      <c r="BDB54" s="545"/>
      <c r="BDC54" s="545"/>
      <c r="BDD54" s="545"/>
      <c r="BDE54" s="545"/>
      <c r="BDF54" s="545"/>
      <c r="BDG54" s="545"/>
      <c r="BDH54" s="544"/>
      <c r="BDI54" s="545"/>
      <c r="BDJ54" s="545"/>
      <c r="BDK54" s="545"/>
      <c r="BDL54" s="545"/>
      <c r="BDM54" s="545"/>
      <c r="BDN54" s="545"/>
      <c r="BDO54" s="544"/>
      <c r="BDP54" s="545"/>
      <c r="BDQ54" s="545"/>
      <c r="BDR54" s="545"/>
      <c r="BDS54" s="545"/>
      <c r="BDT54" s="545"/>
      <c r="BDU54" s="545"/>
      <c r="BDV54" s="544"/>
      <c r="BDW54" s="545"/>
      <c r="BDX54" s="545"/>
      <c r="BDY54" s="545"/>
      <c r="BDZ54" s="545"/>
      <c r="BEA54" s="545"/>
      <c r="BEB54" s="545"/>
      <c r="BEC54" s="544"/>
      <c r="BED54" s="545"/>
      <c r="BEE54" s="545"/>
      <c r="BEF54" s="545"/>
      <c r="BEG54" s="545"/>
      <c r="BEH54" s="545"/>
      <c r="BEI54" s="545"/>
      <c r="BEJ54" s="544"/>
      <c r="BEK54" s="545"/>
      <c r="BEL54" s="545"/>
      <c r="BEM54" s="545"/>
      <c r="BEN54" s="545"/>
      <c r="BEO54" s="545"/>
      <c r="BEP54" s="545"/>
      <c r="BEQ54" s="544"/>
      <c r="BER54" s="545"/>
      <c r="BES54" s="545"/>
      <c r="BET54" s="545"/>
      <c r="BEU54" s="545"/>
      <c r="BEV54" s="545"/>
      <c r="BEW54" s="545"/>
      <c r="BEX54" s="544"/>
      <c r="BEY54" s="545"/>
      <c r="BEZ54" s="545"/>
      <c r="BFA54" s="545"/>
      <c r="BFB54" s="545"/>
      <c r="BFC54" s="545"/>
      <c r="BFD54" s="545"/>
      <c r="BFE54" s="544"/>
      <c r="BFF54" s="545"/>
      <c r="BFG54" s="545"/>
      <c r="BFH54" s="545"/>
      <c r="BFI54" s="545"/>
      <c r="BFJ54" s="545"/>
      <c r="BFK54" s="545"/>
      <c r="BFL54" s="544"/>
      <c r="BFM54" s="545"/>
      <c r="BFN54" s="545"/>
      <c r="BFO54" s="545"/>
      <c r="BFP54" s="545"/>
      <c r="BFQ54" s="545"/>
      <c r="BFR54" s="545"/>
      <c r="BFS54" s="544"/>
      <c r="BFT54" s="545"/>
      <c r="BFU54" s="545"/>
      <c r="BFV54" s="545"/>
      <c r="BFW54" s="545"/>
      <c r="BFX54" s="545"/>
      <c r="BFY54" s="545"/>
      <c r="BFZ54" s="544"/>
      <c r="BGA54" s="545"/>
      <c r="BGB54" s="545"/>
      <c r="BGC54" s="545"/>
      <c r="BGD54" s="545"/>
      <c r="BGE54" s="545"/>
      <c r="BGF54" s="545"/>
      <c r="BGG54" s="544"/>
      <c r="BGH54" s="545"/>
      <c r="BGI54" s="545"/>
      <c r="BGJ54" s="545"/>
      <c r="BGK54" s="545"/>
      <c r="BGL54" s="545"/>
      <c r="BGM54" s="545"/>
      <c r="BGN54" s="544"/>
      <c r="BGO54" s="545"/>
      <c r="BGP54" s="545"/>
      <c r="BGQ54" s="545"/>
      <c r="BGR54" s="545"/>
      <c r="BGS54" s="545"/>
      <c r="BGT54" s="545"/>
      <c r="BGU54" s="544"/>
      <c r="BGV54" s="545"/>
      <c r="BGW54" s="545"/>
      <c r="BGX54" s="545"/>
      <c r="BGY54" s="545"/>
      <c r="BGZ54" s="545"/>
      <c r="BHA54" s="545"/>
      <c r="BHB54" s="544"/>
      <c r="BHC54" s="545"/>
      <c r="BHD54" s="545"/>
      <c r="BHE54" s="545"/>
      <c r="BHF54" s="545"/>
      <c r="BHG54" s="545"/>
      <c r="BHH54" s="545"/>
      <c r="BHI54" s="544"/>
      <c r="BHJ54" s="545"/>
      <c r="BHK54" s="545"/>
      <c r="BHL54" s="545"/>
      <c r="BHM54" s="545"/>
      <c r="BHN54" s="545"/>
      <c r="BHO54" s="545"/>
      <c r="BHP54" s="544"/>
      <c r="BHQ54" s="545"/>
      <c r="BHR54" s="545"/>
      <c r="BHS54" s="545"/>
      <c r="BHT54" s="545"/>
      <c r="BHU54" s="545"/>
      <c r="BHV54" s="545"/>
      <c r="BHW54" s="544"/>
      <c r="BHX54" s="545"/>
      <c r="BHY54" s="545"/>
      <c r="BHZ54" s="545"/>
      <c r="BIA54" s="545"/>
      <c r="BIB54" s="545"/>
      <c r="BIC54" s="545"/>
      <c r="BID54" s="544"/>
      <c r="BIE54" s="545"/>
      <c r="BIF54" s="545"/>
      <c r="BIG54" s="545"/>
      <c r="BIH54" s="545"/>
      <c r="BII54" s="545"/>
      <c r="BIJ54" s="545"/>
      <c r="BIK54" s="544"/>
      <c r="BIL54" s="545"/>
      <c r="BIM54" s="545"/>
      <c r="BIN54" s="545"/>
      <c r="BIO54" s="545"/>
      <c r="BIP54" s="545"/>
      <c r="BIQ54" s="545"/>
      <c r="BIR54" s="544"/>
      <c r="BIS54" s="545"/>
      <c r="BIT54" s="545"/>
      <c r="BIU54" s="545"/>
      <c r="BIV54" s="545"/>
      <c r="BIW54" s="545"/>
      <c r="BIX54" s="545"/>
      <c r="BIY54" s="544"/>
      <c r="BIZ54" s="545"/>
      <c r="BJA54" s="545"/>
      <c r="BJB54" s="545"/>
      <c r="BJC54" s="545"/>
      <c r="BJD54" s="545"/>
      <c r="BJE54" s="545"/>
      <c r="BJF54" s="544"/>
      <c r="BJG54" s="545"/>
      <c r="BJH54" s="545"/>
      <c r="BJI54" s="545"/>
      <c r="BJJ54" s="545"/>
      <c r="BJK54" s="545"/>
      <c r="BJL54" s="545"/>
      <c r="BJM54" s="544"/>
      <c r="BJN54" s="545"/>
      <c r="BJO54" s="545"/>
      <c r="BJP54" s="545"/>
      <c r="BJQ54" s="545"/>
      <c r="BJR54" s="545"/>
      <c r="BJS54" s="545"/>
      <c r="BJT54" s="544"/>
      <c r="BJU54" s="545"/>
      <c r="BJV54" s="545"/>
      <c r="BJW54" s="545"/>
      <c r="BJX54" s="545"/>
      <c r="BJY54" s="545"/>
      <c r="BJZ54" s="545"/>
      <c r="BKA54" s="544"/>
      <c r="BKB54" s="545"/>
      <c r="BKC54" s="545"/>
      <c r="BKD54" s="545"/>
      <c r="BKE54" s="545"/>
      <c r="BKF54" s="545"/>
      <c r="BKG54" s="545"/>
      <c r="BKH54" s="544"/>
      <c r="BKI54" s="545"/>
      <c r="BKJ54" s="545"/>
      <c r="BKK54" s="545"/>
      <c r="BKL54" s="545"/>
      <c r="BKM54" s="545"/>
      <c r="BKN54" s="545"/>
      <c r="BKO54" s="544"/>
      <c r="BKP54" s="545"/>
      <c r="BKQ54" s="545"/>
      <c r="BKR54" s="545"/>
      <c r="BKS54" s="545"/>
      <c r="BKT54" s="545"/>
      <c r="BKU54" s="545"/>
      <c r="BKV54" s="544"/>
      <c r="BKW54" s="545"/>
      <c r="BKX54" s="545"/>
      <c r="BKY54" s="545"/>
      <c r="BKZ54" s="545"/>
      <c r="BLA54" s="545"/>
      <c r="BLB54" s="545"/>
      <c r="BLC54" s="544"/>
      <c r="BLD54" s="545"/>
      <c r="BLE54" s="545"/>
      <c r="BLF54" s="545"/>
      <c r="BLG54" s="545"/>
      <c r="BLH54" s="545"/>
      <c r="BLI54" s="545"/>
      <c r="BLJ54" s="544"/>
      <c r="BLK54" s="545"/>
      <c r="BLL54" s="545"/>
      <c r="BLM54" s="545"/>
      <c r="BLN54" s="545"/>
      <c r="BLO54" s="545"/>
      <c r="BLP54" s="545"/>
      <c r="BLQ54" s="544"/>
      <c r="BLR54" s="545"/>
      <c r="BLS54" s="545"/>
      <c r="BLT54" s="545"/>
      <c r="BLU54" s="545"/>
      <c r="BLV54" s="545"/>
      <c r="BLW54" s="545"/>
      <c r="BLX54" s="544"/>
      <c r="BLY54" s="545"/>
      <c r="BLZ54" s="545"/>
      <c r="BMA54" s="545"/>
      <c r="BMB54" s="545"/>
      <c r="BMC54" s="545"/>
      <c r="BMD54" s="545"/>
      <c r="BME54" s="544"/>
      <c r="BMF54" s="545"/>
      <c r="BMG54" s="545"/>
      <c r="BMH54" s="545"/>
      <c r="BMI54" s="545"/>
      <c r="BMJ54" s="545"/>
      <c r="BMK54" s="545"/>
      <c r="BML54" s="544"/>
      <c r="BMM54" s="545"/>
      <c r="BMN54" s="545"/>
      <c r="BMO54" s="545"/>
      <c r="BMP54" s="545"/>
      <c r="BMQ54" s="545"/>
      <c r="BMR54" s="545"/>
      <c r="BMS54" s="544"/>
      <c r="BMT54" s="545"/>
      <c r="BMU54" s="545"/>
      <c r="BMV54" s="545"/>
      <c r="BMW54" s="545"/>
      <c r="BMX54" s="545"/>
      <c r="BMY54" s="545"/>
      <c r="BMZ54" s="544"/>
      <c r="BNA54" s="545"/>
      <c r="BNB54" s="545"/>
      <c r="BNC54" s="545"/>
      <c r="BND54" s="545"/>
      <c r="BNE54" s="545"/>
      <c r="BNF54" s="545"/>
      <c r="BNG54" s="544"/>
      <c r="BNH54" s="545"/>
      <c r="BNI54" s="545"/>
      <c r="BNJ54" s="545"/>
      <c r="BNK54" s="545"/>
      <c r="BNL54" s="545"/>
      <c r="BNM54" s="545"/>
      <c r="BNN54" s="544"/>
      <c r="BNO54" s="545"/>
      <c r="BNP54" s="545"/>
      <c r="BNQ54" s="545"/>
      <c r="BNR54" s="545"/>
      <c r="BNS54" s="545"/>
      <c r="BNT54" s="545"/>
      <c r="BNU54" s="544"/>
      <c r="BNV54" s="545"/>
      <c r="BNW54" s="545"/>
      <c r="BNX54" s="545"/>
      <c r="BNY54" s="545"/>
      <c r="BNZ54" s="545"/>
      <c r="BOA54" s="545"/>
      <c r="BOB54" s="544"/>
      <c r="BOC54" s="545"/>
      <c r="BOD54" s="545"/>
      <c r="BOE54" s="545"/>
      <c r="BOF54" s="545"/>
      <c r="BOG54" s="545"/>
      <c r="BOH54" s="545"/>
      <c r="BOI54" s="544"/>
      <c r="BOJ54" s="545"/>
      <c r="BOK54" s="545"/>
      <c r="BOL54" s="545"/>
      <c r="BOM54" s="545"/>
      <c r="BON54" s="545"/>
      <c r="BOO54" s="545"/>
      <c r="BOP54" s="544"/>
      <c r="BOQ54" s="545"/>
      <c r="BOR54" s="545"/>
      <c r="BOS54" s="545"/>
      <c r="BOT54" s="545"/>
      <c r="BOU54" s="545"/>
      <c r="BOV54" s="545"/>
      <c r="BOW54" s="544"/>
      <c r="BOX54" s="545"/>
      <c r="BOY54" s="545"/>
      <c r="BOZ54" s="545"/>
      <c r="BPA54" s="545"/>
      <c r="BPB54" s="545"/>
      <c r="BPC54" s="545"/>
      <c r="BPD54" s="544"/>
      <c r="BPE54" s="545"/>
      <c r="BPF54" s="545"/>
      <c r="BPG54" s="545"/>
      <c r="BPH54" s="545"/>
      <c r="BPI54" s="545"/>
      <c r="BPJ54" s="545"/>
      <c r="BPK54" s="544"/>
      <c r="BPL54" s="545"/>
      <c r="BPM54" s="545"/>
      <c r="BPN54" s="545"/>
      <c r="BPO54" s="545"/>
      <c r="BPP54" s="545"/>
      <c r="BPQ54" s="545"/>
      <c r="BPR54" s="544"/>
      <c r="BPS54" s="545"/>
      <c r="BPT54" s="545"/>
      <c r="BPU54" s="545"/>
      <c r="BPV54" s="545"/>
      <c r="BPW54" s="545"/>
      <c r="BPX54" s="545"/>
      <c r="BPY54" s="544"/>
      <c r="BPZ54" s="545"/>
      <c r="BQA54" s="545"/>
      <c r="BQB54" s="545"/>
      <c r="BQC54" s="545"/>
      <c r="BQD54" s="545"/>
      <c r="BQE54" s="545"/>
      <c r="BQF54" s="544"/>
      <c r="BQG54" s="545"/>
      <c r="BQH54" s="545"/>
      <c r="BQI54" s="545"/>
      <c r="BQJ54" s="545"/>
      <c r="BQK54" s="545"/>
      <c r="BQL54" s="545"/>
      <c r="BQM54" s="544"/>
      <c r="BQN54" s="545"/>
      <c r="BQO54" s="545"/>
      <c r="BQP54" s="545"/>
      <c r="BQQ54" s="545"/>
      <c r="BQR54" s="545"/>
      <c r="BQS54" s="545"/>
      <c r="BQT54" s="544"/>
      <c r="BQU54" s="545"/>
      <c r="BQV54" s="545"/>
      <c r="BQW54" s="545"/>
      <c r="BQX54" s="545"/>
      <c r="BQY54" s="545"/>
      <c r="BQZ54" s="545"/>
      <c r="BRA54" s="544"/>
      <c r="BRB54" s="545"/>
      <c r="BRC54" s="545"/>
      <c r="BRD54" s="545"/>
      <c r="BRE54" s="545"/>
      <c r="BRF54" s="545"/>
      <c r="BRG54" s="545"/>
      <c r="BRH54" s="544"/>
      <c r="BRI54" s="545"/>
      <c r="BRJ54" s="545"/>
      <c r="BRK54" s="545"/>
      <c r="BRL54" s="545"/>
      <c r="BRM54" s="545"/>
      <c r="BRN54" s="545"/>
      <c r="BRO54" s="544"/>
      <c r="BRP54" s="545"/>
      <c r="BRQ54" s="545"/>
      <c r="BRR54" s="545"/>
      <c r="BRS54" s="545"/>
      <c r="BRT54" s="545"/>
      <c r="BRU54" s="545"/>
      <c r="BRV54" s="544"/>
      <c r="BRW54" s="545"/>
      <c r="BRX54" s="545"/>
      <c r="BRY54" s="545"/>
      <c r="BRZ54" s="545"/>
      <c r="BSA54" s="545"/>
      <c r="BSB54" s="545"/>
      <c r="BSC54" s="544"/>
      <c r="BSD54" s="545"/>
      <c r="BSE54" s="545"/>
      <c r="BSF54" s="545"/>
      <c r="BSG54" s="545"/>
      <c r="BSH54" s="545"/>
      <c r="BSI54" s="545"/>
      <c r="BSJ54" s="544"/>
      <c r="BSK54" s="545"/>
      <c r="BSL54" s="545"/>
      <c r="BSM54" s="545"/>
      <c r="BSN54" s="545"/>
      <c r="BSO54" s="545"/>
      <c r="BSP54" s="545"/>
      <c r="BSQ54" s="544"/>
      <c r="BSR54" s="545"/>
      <c r="BSS54" s="545"/>
      <c r="BST54" s="545"/>
      <c r="BSU54" s="545"/>
      <c r="BSV54" s="545"/>
      <c r="BSW54" s="545"/>
      <c r="BSX54" s="544"/>
      <c r="BSY54" s="545"/>
      <c r="BSZ54" s="545"/>
      <c r="BTA54" s="545"/>
      <c r="BTB54" s="545"/>
      <c r="BTC54" s="545"/>
      <c r="BTD54" s="545"/>
      <c r="BTE54" s="544"/>
      <c r="BTF54" s="545"/>
      <c r="BTG54" s="545"/>
      <c r="BTH54" s="545"/>
      <c r="BTI54" s="545"/>
      <c r="BTJ54" s="545"/>
      <c r="BTK54" s="545"/>
      <c r="BTL54" s="544"/>
      <c r="BTM54" s="545"/>
      <c r="BTN54" s="545"/>
      <c r="BTO54" s="545"/>
      <c r="BTP54" s="545"/>
      <c r="BTQ54" s="545"/>
      <c r="BTR54" s="545"/>
      <c r="BTS54" s="544"/>
      <c r="BTT54" s="545"/>
      <c r="BTU54" s="545"/>
      <c r="BTV54" s="545"/>
      <c r="BTW54" s="545"/>
      <c r="BTX54" s="545"/>
      <c r="BTY54" s="545"/>
      <c r="BTZ54" s="544"/>
      <c r="BUA54" s="545"/>
      <c r="BUB54" s="545"/>
      <c r="BUC54" s="545"/>
      <c r="BUD54" s="545"/>
      <c r="BUE54" s="545"/>
      <c r="BUF54" s="545"/>
      <c r="BUG54" s="544"/>
      <c r="BUH54" s="545"/>
      <c r="BUI54" s="545"/>
      <c r="BUJ54" s="545"/>
      <c r="BUK54" s="545"/>
      <c r="BUL54" s="545"/>
      <c r="BUM54" s="545"/>
      <c r="BUN54" s="544"/>
      <c r="BUO54" s="545"/>
      <c r="BUP54" s="545"/>
      <c r="BUQ54" s="545"/>
      <c r="BUR54" s="545"/>
      <c r="BUS54" s="545"/>
      <c r="BUT54" s="545"/>
      <c r="BUU54" s="544"/>
      <c r="BUV54" s="545"/>
      <c r="BUW54" s="545"/>
      <c r="BUX54" s="545"/>
      <c r="BUY54" s="545"/>
      <c r="BUZ54" s="545"/>
      <c r="BVA54" s="545"/>
      <c r="BVB54" s="544"/>
      <c r="BVC54" s="545"/>
      <c r="BVD54" s="545"/>
      <c r="BVE54" s="545"/>
      <c r="BVF54" s="545"/>
      <c r="BVG54" s="545"/>
      <c r="BVH54" s="545"/>
      <c r="BVI54" s="544"/>
      <c r="BVJ54" s="545"/>
      <c r="BVK54" s="545"/>
      <c r="BVL54" s="545"/>
      <c r="BVM54" s="545"/>
      <c r="BVN54" s="545"/>
      <c r="BVO54" s="545"/>
      <c r="BVP54" s="544"/>
      <c r="BVQ54" s="545"/>
      <c r="BVR54" s="545"/>
      <c r="BVS54" s="545"/>
      <c r="BVT54" s="545"/>
      <c r="BVU54" s="545"/>
      <c r="BVV54" s="545"/>
      <c r="BVW54" s="544"/>
      <c r="BVX54" s="545"/>
      <c r="BVY54" s="545"/>
      <c r="BVZ54" s="545"/>
      <c r="BWA54" s="545"/>
      <c r="BWB54" s="545"/>
      <c r="BWC54" s="545"/>
      <c r="BWD54" s="544"/>
      <c r="BWE54" s="545"/>
      <c r="BWF54" s="545"/>
      <c r="BWG54" s="545"/>
      <c r="BWH54" s="545"/>
      <c r="BWI54" s="545"/>
      <c r="BWJ54" s="545"/>
      <c r="BWK54" s="544"/>
      <c r="BWL54" s="545"/>
      <c r="BWM54" s="545"/>
      <c r="BWN54" s="545"/>
      <c r="BWO54" s="545"/>
      <c r="BWP54" s="545"/>
      <c r="BWQ54" s="545"/>
      <c r="BWR54" s="544"/>
      <c r="BWS54" s="545"/>
      <c r="BWT54" s="545"/>
      <c r="BWU54" s="545"/>
      <c r="BWV54" s="545"/>
      <c r="BWW54" s="545"/>
      <c r="BWX54" s="545"/>
      <c r="BWY54" s="544"/>
      <c r="BWZ54" s="545"/>
      <c r="BXA54" s="545"/>
      <c r="BXB54" s="545"/>
      <c r="BXC54" s="545"/>
      <c r="BXD54" s="545"/>
      <c r="BXE54" s="545"/>
      <c r="BXF54" s="544"/>
      <c r="BXG54" s="545"/>
      <c r="BXH54" s="545"/>
      <c r="BXI54" s="545"/>
      <c r="BXJ54" s="545"/>
      <c r="BXK54" s="545"/>
      <c r="BXL54" s="545"/>
      <c r="BXM54" s="544"/>
      <c r="BXN54" s="545"/>
      <c r="BXO54" s="545"/>
      <c r="BXP54" s="545"/>
      <c r="BXQ54" s="545"/>
      <c r="BXR54" s="545"/>
      <c r="BXS54" s="545"/>
      <c r="BXT54" s="544"/>
      <c r="BXU54" s="545"/>
      <c r="BXV54" s="545"/>
      <c r="BXW54" s="545"/>
      <c r="BXX54" s="545"/>
      <c r="BXY54" s="545"/>
      <c r="BXZ54" s="545"/>
      <c r="BYA54" s="544"/>
      <c r="BYB54" s="545"/>
      <c r="BYC54" s="545"/>
      <c r="BYD54" s="545"/>
      <c r="BYE54" s="545"/>
      <c r="BYF54" s="545"/>
      <c r="BYG54" s="545"/>
      <c r="BYH54" s="544"/>
      <c r="BYI54" s="545"/>
      <c r="BYJ54" s="545"/>
      <c r="BYK54" s="545"/>
      <c r="BYL54" s="545"/>
      <c r="BYM54" s="545"/>
      <c r="BYN54" s="545"/>
      <c r="BYO54" s="544"/>
      <c r="BYP54" s="545"/>
      <c r="BYQ54" s="545"/>
      <c r="BYR54" s="545"/>
      <c r="BYS54" s="545"/>
      <c r="BYT54" s="545"/>
      <c r="BYU54" s="545"/>
      <c r="BYV54" s="544"/>
      <c r="BYW54" s="545"/>
      <c r="BYX54" s="545"/>
      <c r="BYY54" s="545"/>
      <c r="BYZ54" s="545"/>
      <c r="BZA54" s="545"/>
      <c r="BZB54" s="545"/>
      <c r="BZC54" s="544"/>
      <c r="BZD54" s="545"/>
      <c r="BZE54" s="545"/>
      <c r="BZF54" s="545"/>
      <c r="BZG54" s="545"/>
      <c r="BZH54" s="545"/>
      <c r="BZI54" s="545"/>
      <c r="BZJ54" s="544"/>
      <c r="BZK54" s="545"/>
      <c r="BZL54" s="545"/>
      <c r="BZM54" s="545"/>
      <c r="BZN54" s="545"/>
      <c r="BZO54" s="545"/>
      <c r="BZP54" s="545"/>
      <c r="BZQ54" s="544"/>
      <c r="BZR54" s="545"/>
      <c r="BZS54" s="545"/>
      <c r="BZT54" s="545"/>
      <c r="BZU54" s="545"/>
      <c r="BZV54" s="545"/>
      <c r="BZW54" s="545"/>
      <c r="BZX54" s="544"/>
      <c r="BZY54" s="545"/>
      <c r="BZZ54" s="545"/>
      <c r="CAA54" s="545"/>
      <c r="CAB54" s="545"/>
      <c r="CAC54" s="545"/>
      <c r="CAD54" s="545"/>
      <c r="CAE54" s="544"/>
      <c r="CAF54" s="545"/>
      <c r="CAG54" s="545"/>
      <c r="CAH54" s="545"/>
      <c r="CAI54" s="545"/>
      <c r="CAJ54" s="545"/>
      <c r="CAK54" s="545"/>
      <c r="CAL54" s="544"/>
      <c r="CAM54" s="545"/>
      <c r="CAN54" s="545"/>
      <c r="CAO54" s="545"/>
      <c r="CAP54" s="545"/>
      <c r="CAQ54" s="545"/>
      <c r="CAR54" s="545"/>
      <c r="CAS54" s="544"/>
      <c r="CAT54" s="545"/>
      <c r="CAU54" s="545"/>
      <c r="CAV54" s="545"/>
      <c r="CAW54" s="545"/>
      <c r="CAX54" s="545"/>
      <c r="CAY54" s="545"/>
      <c r="CAZ54" s="544"/>
      <c r="CBA54" s="545"/>
      <c r="CBB54" s="545"/>
      <c r="CBC54" s="545"/>
      <c r="CBD54" s="545"/>
      <c r="CBE54" s="545"/>
      <c r="CBF54" s="545"/>
      <c r="CBG54" s="544"/>
      <c r="CBH54" s="545"/>
      <c r="CBI54" s="545"/>
      <c r="CBJ54" s="545"/>
      <c r="CBK54" s="545"/>
      <c r="CBL54" s="545"/>
      <c r="CBM54" s="545"/>
      <c r="CBN54" s="544"/>
      <c r="CBO54" s="545"/>
      <c r="CBP54" s="545"/>
      <c r="CBQ54" s="545"/>
      <c r="CBR54" s="545"/>
      <c r="CBS54" s="545"/>
      <c r="CBT54" s="545"/>
      <c r="CBU54" s="544"/>
      <c r="CBV54" s="545"/>
      <c r="CBW54" s="545"/>
      <c r="CBX54" s="545"/>
      <c r="CBY54" s="545"/>
      <c r="CBZ54" s="545"/>
      <c r="CCA54" s="545"/>
      <c r="CCB54" s="544"/>
      <c r="CCC54" s="545"/>
      <c r="CCD54" s="545"/>
      <c r="CCE54" s="545"/>
      <c r="CCF54" s="545"/>
      <c r="CCG54" s="545"/>
      <c r="CCH54" s="545"/>
      <c r="CCI54" s="544"/>
      <c r="CCJ54" s="545"/>
      <c r="CCK54" s="545"/>
      <c r="CCL54" s="545"/>
      <c r="CCM54" s="545"/>
      <c r="CCN54" s="545"/>
      <c r="CCO54" s="545"/>
      <c r="CCP54" s="544"/>
      <c r="CCQ54" s="545"/>
      <c r="CCR54" s="545"/>
      <c r="CCS54" s="545"/>
      <c r="CCT54" s="545"/>
      <c r="CCU54" s="545"/>
      <c r="CCV54" s="545"/>
      <c r="CCW54" s="544"/>
      <c r="CCX54" s="545"/>
      <c r="CCY54" s="545"/>
      <c r="CCZ54" s="545"/>
      <c r="CDA54" s="545"/>
      <c r="CDB54" s="545"/>
      <c r="CDC54" s="545"/>
      <c r="CDD54" s="544"/>
      <c r="CDE54" s="545"/>
      <c r="CDF54" s="545"/>
      <c r="CDG54" s="545"/>
      <c r="CDH54" s="545"/>
      <c r="CDI54" s="545"/>
      <c r="CDJ54" s="545"/>
      <c r="CDK54" s="544"/>
      <c r="CDL54" s="545"/>
      <c r="CDM54" s="545"/>
      <c r="CDN54" s="545"/>
      <c r="CDO54" s="545"/>
      <c r="CDP54" s="545"/>
      <c r="CDQ54" s="545"/>
      <c r="CDR54" s="544"/>
      <c r="CDS54" s="545"/>
      <c r="CDT54" s="545"/>
      <c r="CDU54" s="545"/>
      <c r="CDV54" s="545"/>
      <c r="CDW54" s="545"/>
      <c r="CDX54" s="545"/>
      <c r="CDY54" s="544"/>
      <c r="CDZ54" s="545"/>
      <c r="CEA54" s="545"/>
      <c r="CEB54" s="545"/>
      <c r="CEC54" s="545"/>
      <c r="CED54" s="545"/>
      <c r="CEE54" s="545"/>
      <c r="CEF54" s="544"/>
      <c r="CEG54" s="545"/>
      <c r="CEH54" s="545"/>
      <c r="CEI54" s="545"/>
      <c r="CEJ54" s="545"/>
      <c r="CEK54" s="545"/>
      <c r="CEL54" s="545"/>
      <c r="CEM54" s="544"/>
      <c r="CEN54" s="545"/>
      <c r="CEO54" s="545"/>
      <c r="CEP54" s="545"/>
      <c r="CEQ54" s="545"/>
      <c r="CER54" s="545"/>
      <c r="CES54" s="545"/>
      <c r="CET54" s="544"/>
      <c r="CEU54" s="545"/>
      <c r="CEV54" s="545"/>
      <c r="CEW54" s="545"/>
      <c r="CEX54" s="545"/>
      <c r="CEY54" s="545"/>
      <c r="CEZ54" s="545"/>
      <c r="CFA54" s="544"/>
      <c r="CFB54" s="545"/>
      <c r="CFC54" s="545"/>
      <c r="CFD54" s="545"/>
      <c r="CFE54" s="545"/>
      <c r="CFF54" s="545"/>
      <c r="CFG54" s="545"/>
      <c r="CFH54" s="544"/>
      <c r="CFI54" s="545"/>
      <c r="CFJ54" s="545"/>
      <c r="CFK54" s="545"/>
      <c r="CFL54" s="545"/>
      <c r="CFM54" s="545"/>
      <c r="CFN54" s="545"/>
      <c r="CFO54" s="544"/>
      <c r="CFP54" s="545"/>
      <c r="CFQ54" s="545"/>
      <c r="CFR54" s="545"/>
      <c r="CFS54" s="545"/>
      <c r="CFT54" s="545"/>
      <c r="CFU54" s="545"/>
      <c r="CFV54" s="544"/>
      <c r="CFW54" s="545"/>
      <c r="CFX54" s="545"/>
      <c r="CFY54" s="545"/>
      <c r="CFZ54" s="545"/>
      <c r="CGA54" s="545"/>
      <c r="CGB54" s="545"/>
      <c r="CGC54" s="544"/>
      <c r="CGD54" s="545"/>
      <c r="CGE54" s="545"/>
      <c r="CGF54" s="545"/>
      <c r="CGG54" s="545"/>
      <c r="CGH54" s="545"/>
      <c r="CGI54" s="545"/>
      <c r="CGJ54" s="544"/>
      <c r="CGK54" s="545"/>
      <c r="CGL54" s="545"/>
      <c r="CGM54" s="545"/>
      <c r="CGN54" s="545"/>
      <c r="CGO54" s="545"/>
      <c r="CGP54" s="545"/>
      <c r="CGQ54" s="544"/>
      <c r="CGR54" s="545"/>
      <c r="CGS54" s="545"/>
      <c r="CGT54" s="545"/>
      <c r="CGU54" s="545"/>
      <c r="CGV54" s="545"/>
      <c r="CGW54" s="545"/>
      <c r="CGX54" s="544"/>
      <c r="CGY54" s="545"/>
      <c r="CGZ54" s="545"/>
      <c r="CHA54" s="545"/>
      <c r="CHB54" s="545"/>
      <c r="CHC54" s="545"/>
      <c r="CHD54" s="545"/>
      <c r="CHE54" s="544"/>
      <c r="CHF54" s="545"/>
      <c r="CHG54" s="545"/>
      <c r="CHH54" s="545"/>
      <c r="CHI54" s="545"/>
      <c r="CHJ54" s="545"/>
      <c r="CHK54" s="545"/>
      <c r="CHL54" s="544"/>
      <c r="CHM54" s="545"/>
      <c r="CHN54" s="545"/>
      <c r="CHO54" s="545"/>
      <c r="CHP54" s="545"/>
      <c r="CHQ54" s="545"/>
      <c r="CHR54" s="545"/>
      <c r="CHS54" s="544"/>
      <c r="CHT54" s="545"/>
      <c r="CHU54" s="545"/>
      <c r="CHV54" s="545"/>
      <c r="CHW54" s="545"/>
      <c r="CHX54" s="545"/>
      <c r="CHY54" s="545"/>
      <c r="CHZ54" s="544"/>
      <c r="CIA54" s="545"/>
      <c r="CIB54" s="545"/>
      <c r="CIC54" s="545"/>
      <c r="CID54" s="545"/>
      <c r="CIE54" s="545"/>
      <c r="CIF54" s="545"/>
      <c r="CIG54" s="544"/>
      <c r="CIH54" s="545"/>
      <c r="CII54" s="545"/>
      <c r="CIJ54" s="545"/>
      <c r="CIK54" s="545"/>
      <c r="CIL54" s="545"/>
      <c r="CIM54" s="545"/>
      <c r="CIN54" s="544"/>
      <c r="CIO54" s="545"/>
      <c r="CIP54" s="545"/>
      <c r="CIQ54" s="545"/>
      <c r="CIR54" s="545"/>
      <c r="CIS54" s="545"/>
      <c r="CIT54" s="545"/>
      <c r="CIU54" s="544"/>
      <c r="CIV54" s="545"/>
      <c r="CIW54" s="545"/>
      <c r="CIX54" s="545"/>
      <c r="CIY54" s="545"/>
      <c r="CIZ54" s="545"/>
      <c r="CJA54" s="545"/>
      <c r="CJB54" s="544"/>
      <c r="CJC54" s="545"/>
      <c r="CJD54" s="545"/>
      <c r="CJE54" s="545"/>
      <c r="CJF54" s="545"/>
      <c r="CJG54" s="545"/>
      <c r="CJH54" s="545"/>
      <c r="CJI54" s="544"/>
      <c r="CJJ54" s="545"/>
      <c r="CJK54" s="545"/>
      <c r="CJL54" s="545"/>
      <c r="CJM54" s="545"/>
      <c r="CJN54" s="545"/>
      <c r="CJO54" s="545"/>
      <c r="CJP54" s="544"/>
      <c r="CJQ54" s="545"/>
      <c r="CJR54" s="545"/>
      <c r="CJS54" s="545"/>
      <c r="CJT54" s="545"/>
      <c r="CJU54" s="545"/>
      <c r="CJV54" s="545"/>
      <c r="CJW54" s="544"/>
      <c r="CJX54" s="545"/>
      <c r="CJY54" s="545"/>
      <c r="CJZ54" s="545"/>
      <c r="CKA54" s="545"/>
      <c r="CKB54" s="545"/>
      <c r="CKC54" s="545"/>
      <c r="CKD54" s="544"/>
      <c r="CKE54" s="545"/>
      <c r="CKF54" s="545"/>
      <c r="CKG54" s="545"/>
      <c r="CKH54" s="545"/>
      <c r="CKI54" s="545"/>
      <c r="CKJ54" s="545"/>
      <c r="CKK54" s="544"/>
      <c r="CKL54" s="545"/>
      <c r="CKM54" s="545"/>
      <c r="CKN54" s="545"/>
      <c r="CKO54" s="545"/>
      <c r="CKP54" s="545"/>
      <c r="CKQ54" s="545"/>
      <c r="CKR54" s="544"/>
      <c r="CKS54" s="545"/>
      <c r="CKT54" s="545"/>
      <c r="CKU54" s="545"/>
      <c r="CKV54" s="545"/>
      <c r="CKW54" s="545"/>
      <c r="CKX54" s="545"/>
      <c r="CKY54" s="544"/>
      <c r="CKZ54" s="545"/>
      <c r="CLA54" s="545"/>
      <c r="CLB54" s="545"/>
      <c r="CLC54" s="545"/>
      <c r="CLD54" s="545"/>
      <c r="CLE54" s="545"/>
      <c r="CLF54" s="544"/>
      <c r="CLG54" s="545"/>
      <c r="CLH54" s="545"/>
      <c r="CLI54" s="545"/>
      <c r="CLJ54" s="545"/>
      <c r="CLK54" s="545"/>
      <c r="CLL54" s="545"/>
      <c r="CLM54" s="544"/>
      <c r="CLN54" s="545"/>
      <c r="CLO54" s="545"/>
      <c r="CLP54" s="545"/>
      <c r="CLQ54" s="545"/>
      <c r="CLR54" s="545"/>
      <c r="CLS54" s="545"/>
      <c r="CLT54" s="544"/>
      <c r="CLU54" s="545"/>
      <c r="CLV54" s="545"/>
      <c r="CLW54" s="545"/>
      <c r="CLX54" s="545"/>
      <c r="CLY54" s="545"/>
      <c r="CLZ54" s="545"/>
      <c r="CMA54" s="544"/>
      <c r="CMB54" s="545"/>
      <c r="CMC54" s="545"/>
      <c r="CMD54" s="545"/>
      <c r="CME54" s="545"/>
      <c r="CMF54" s="545"/>
      <c r="CMG54" s="545"/>
      <c r="CMH54" s="544"/>
      <c r="CMI54" s="545"/>
      <c r="CMJ54" s="545"/>
      <c r="CMK54" s="545"/>
      <c r="CML54" s="545"/>
      <c r="CMM54" s="545"/>
      <c r="CMN54" s="545"/>
      <c r="CMO54" s="544"/>
      <c r="CMP54" s="545"/>
      <c r="CMQ54" s="545"/>
      <c r="CMR54" s="545"/>
      <c r="CMS54" s="545"/>
      <c r="CMT54" s="545"/>
      <c r="CMU54" s="545"/>
      <c r="CMV54" s="544"/>
      <c r="CMW54" s="545"/>
      <c r="CMX54" s="545"/>
      <c r="CMY54" s="545"/>
      <c r="CMZ54" s="545"/>
      <c r="CNA54" s="545"/>
      <c r="CNB54" s="545"/>
      <c r="CNC54" s="544"/>
      <c r="CND54" s="545"/>
      <c r="CNE54" s="545"/>
      <c r="CNF54" s="545"/>
      <c r="CNG54" s="545"/>
      <c r="CNH54" s="545"/>
      <c r="CNI54" s="545"/>
      <c r="CNJ54" s="544"/>
      <c r="CNK54" s="545"/>
      <c r="CNL54" s="545"/>
      <c r="CNM54" s="545"/>
      <c r="CNN54" s="545"/>
      <c r="CNO54" s="545"/>
      <c r="CNP54" s="545"/>
      <c r="CNQ54" s="544"/>
      <c r="CNR54" s="545"/>
      <c r="CNS54" s="545"/>
      <c r="CNT54" s="545"/>
      <c r="CNU54" s="545"/>
      <c r="CNV54" s="545"/>
      <c r="CNW54" s="545"/>
      <c r="CNX54" s="544"/>
      <c r="CNY54" s="545"/>
      <c r="CNZ54" s="545"/>
      <c r="COA54" s="545"/>
      <c r="COB54" s="545"/>
      <c r="COC54" s="545"/>
      <c r="COD54" s="545"/>
      <c r="COE54" s="544"/>
      <c r="COF54" s="545"/>
      <c r="COG54" s="545"/>
      <c r="COH54" s="545"/>
      <c r="COI54" s="545"/>
      <c r="COJ54" s="545"/>
      <c r="COK54" s="545"/>
      <c r="COL54" s="544"/>
      <c r="COM54" s="545"/>
      <c r="CON54" s="545"/>
      <c r="COO54" s="545"/>
      <c r="COP54" s="545"/>
      <c r="COQ54" s="545"/>
      <c r="COR54" s="545"/>
      <c r="COS54" s="544"/>
      <c r="COT54" s="545"/>
      <c r="COU54" s="545"/>
      <c r="COV54" s="545"/>
      <c r="COW54" s="545"/>
      <c r="COX54" s="545"/>
      <c r="COY54" s="545"/>
      <c r="COZ54" s="544"/>
      <c r="CPA54" s="545"/>
      <c r="CPB54" s="545"/>
      <c r="CPC54" s="545"/>
      <c r="CPD54" s="545"/>
      <c r="CPE54" s="545"/>
      <c r="CPF54" s="545"/>
      <c r="CPG54" s="544"/>
      <c r="CPH54" s="545"/>
      <c r="CPI54" s="545"/>
      <c r="CPJ54" s="545"/>
      <c r="CPK54" s="545"/>
      <c r="CPL54" s="545"/>
      <c r="CPM54" s="545"/>
      <c r="CPN54" s="544"/>
      <c r="CPO54" s="545"/>
      <c r="CPP54" s="545"/>
      <c r="CPQ54" s="545"/>
      <c r="CPR54" s="545"/>
      <c r="CPS54" s="545"/>
      <c r="CPT54" s="545"/>
      <c r="CPU54" s="544"/>
      <c r="CPV54" s="545"/>
      <c r="CPW54" s="545"/>
      <c r="CPX54" s="545"/>
      <c r="CPY54" s="545"/>
      <c r="CPZ54" s="545"/>
      <c r="CQA54" s="545"/>
      <c r="CQB54" s="544"/>
      <c r="CQC54" s="545"/>
      <c r="CQD54" s="545"/>
      <c r="CQE54" s="545"/>
      <c r="CQF54" s="545"/>
      <c r="CQG54" s="545"/>
      <c r="CQH54" s="545"/>
      <c r="CQI54" s="544"/>
      <c r="CQJ54" s="545"/>
      <c r="CQK54" s="545"/>
      <c r="CQL54" s="545"/>
      <c r="CQM54" s="545"/>
      <c r="CQN54" s="545"/>
      <c r="CQO54" s="545"/>
      <c r="CQP54" s="544"/>
      <c r="CQQ54" s="545"/>
      <c r="CQR54" s="545"/>
      <c r="CQS54" s="545"/>
      <c r="CQT54" s="545"/>
      <c r="CQU54" s="545"/>
      <c r="CQV54" s="545"/>
      <c r="CQW54" s="544"/>
      <c r="CQX54" s="545"/>
      <c r="CQY54" s="545"/>
      <c r="CQZ54" s="545"/>
      <c r="CRA54" s="545"/>
      <c r="CRB54" s="545"/>
      <c r="CRC54" s="545"/>
      <c r="CRD54" s="544"/>
      <c r="CRE54" s="545"/>
      <c r="CRF54" s="545"/>
      <c r="CRG54" s="545"/>
      <c r="CRH54" s="545"/>
      <c r="CRI54" s="545"/>
      <c r="CRJ54" s="545"/>
      <c r="CRK54" s="544"/>
      <c r="CRL54" s="545"/>
      <c r="CRM54" s="545"/>
      <c r="CRN54" s="545"/>
      <c r="CRO54" s="545"/>
      <c r="CRP54" s="545"/>
      <c r="CRQ54" s="545"/>
      <c r="CRR54" s="544"/>
      <c r="CRS54" s="545"/>
      <c r="CRT54" s="545"/>
      <c r="CRU54" s="545"/>
      <c r="CRV54" s="545"/>
      <c r="CRW54" s="545"/>
      <c r="CRX54" s="545"/>
      <c r="CRY54" s="544"/>
      <c r="CRZ54" s="545"/>
      <c r="CSA54" s="545"/>
      <c r="CSB54" s="545"/>
      <c r="CSC54" s="545"/>
      <c r="CSD54" s="545"/>
      <c r="CSE54" s="545"/>
      <c r="CSF54" s="544"/>
      <c r="CSG54" s="545"/>
      <c r="CSH54" s="545"/>
      <c r="CSI54" s="545"/>
      <c r="CSJ54" s="545"/>
      <c r="CSK54" s="545"/>
      <c r="CSL54" s="545"/>
      <c r="CSM54" s="544"/>
      <c r="CSN54" s="545"/>
      <c r="CSO54" s="545"/>
      <c r="CSP54" s="545"/>
      <c r="CSQ54" s="545"/>
      <c r="CSR54" s="545"/>
      <c r="CSS54" s="545"/>
      <c r="CST54" s="544"/>
      <c r="CSU54" s="545"/>
      <c r="CSV54" s="545"/>
      <c r="CSW54" s="545"/>
      <c r="CSX54" s="545"/>
      <c r="CSY54" s="545"/>
      <c r="CSZ54" s="545"/>
      <c r="CTA54" s="544"/>
      <c r="CTB54" s="545"/>
      <c r="CTC54" s="545"/>
      <c r="CTD54" s="545"/>
      <c r="CTE54" s="545"/>
      <c r="CTF54" s="545"/>
      <c r="CTG54" s="545"/>
      <c r="CTH54" s="544"/>
      <c r="CTI54" s="545"/>
      <c r="CTJ54" s="545"/>
      <c r="CTK54" s="545"/>
      <c r="CTL54" s="545"/>
      <c r="CTM54" s="545"/>
      <c r="CTN54" s="545"/>
      <c r="CTO54" s="544"/>
      <c r="CTP54" s="545"/>
      <c r="CTQ54" s="545"/>
      <c r="CTR54" s="545"/>
      <c r="CTS54" s="545"/>
      <c r="CTT54" s="545"/>
      <c r="CTU54" s="545"/>
      <c r="CTV54" s="544"/>
      <c r="CTW54" s="545"/>
      <c r="CTX54" s="545"/>
      <c r="CTY54" s="545"/>
      <c r="CTZ54" s="545"/>
      <c r="CUA54" s="545"/>
      <c r="CUB54" s="545"/>
      <c r="CUC54" s="544"/>
      <c r="CUD54" s="545"/>
      <c r="CUE54" s="545"/>
      <c r="CUF54" s="545"/>
      <c r="CUG54" s="545"/>
      <c r="CUH54" s="545"/>
      <c r="CUI54" s="545"/>
      <c r="CUJ54" s="544"/>
      <c r="CUK54" s="545"/>
      <c r="CUL54" s="545"/>
      <c r="CUM54" s="545"/>
      <c r="CUN54" s="545"/>
      <c r="CUO54" s="545"/>
      <c r="CUP54" s="545"/>
      <c r="CUQ54" s="544"/>
      <c r="CUR54" s="545"/>
      <c r="CUS54" s="545"/>
      <c r="CUT54" s="545"/>
      <c r="CUU54" s="545"/>
      <c r="CUV54" s="545"/>
      <c r="CUW54" s="545"/>
      <c r="CUX54" s="544"/>
      <c r="CUY54" s="545"/>
      <c r="CUZ54" s="545"/>
      <c r="CVA54" s="545"/>
      <c r="CVB54" s="545"/>
      <c r="CVC54" s="545"/>
      <c r="CVD54" s="545"/>
      <c r="CVE54" s="544"/>
      <c r="CVF54" s="545"/>
      <c r="CVG54" s="545"/>
      <c r="CVH54" s="545"/>
      <c r="CVI54" s="545"/>
      <c r="CVJ54" s="545"/>
      <c r="CVK54" s="545"/>
      <c r="CVL54" s="544"/>
      <c r="CVM54" s="545"/>
      <c r="CVN54" s="545"/>
      <c r="CVO54" s="545"/>
      <c r="CVP54" s="545"/>
      <c r="CVQ54" s="545"/>
      <c r="CVR54" s="545"/>
      <c r="CVS54" s="544"/>
      <c r="CVT54" s="545"/>
      <c r="CVU54" s="545"/>
      <c r="CVV54" s="545"/>
      <c r="CVW54" s="545"/>
      <c r="CVX54" s="545"/>
      <c r="CVY54" s="545"/>
      <c r="CVZ54" s="544"/>
      <c r="CWA54" s="545"/>
      <c r="CWB54" s="545"/>
      <c r="CWC54" s="545"/>
      <c r="CWD54" s="545"/>
      <c r="CWE54" s="545"/>
      <c r="CWF54" s="545"/>
      <c r="CWG54" s="544"/>
      <c r="CWH54" s="545"/>
      <c r="CWI54" s="545"/>
      <c r="CWJ54" s="545"/>
      <c r="CWK54" s="545"/>
      <c r="CWL54" s="545"/>
      <c r="CWM54" s="545"/>
      <c r="CWN54" s="544"/>
      <c r="CWO54" s="545"/>
      <c r="CWP54" s="545"/>
      <c r="CWQ54" s="545"/>
      <c r="CWR54" s="545"/>
      <c r="CWS54" s="545"/>
      <c r="CWT54" s="545"/>
      <c r="CWU54" s="544"/>
      <c r="CWV54" s="545"/>
      <c r="CWW54" s="545"/>
      <c r="CWX54" s="545"/>
      <c r="CWY54" s="545"/>
      <c r="CWZ54" s="545"/>
      <c r="CXA54" s="545"/>
      <c r="CXB54" s="544"/>
      <c r="CXC54" s="545"/>
      <c r="CXD54" s="545"/>
      <c r="CXE54" s="545"/>
      <c r="CXF54" s="545"/>
      <c r="CXG54" s="545"/>
      <c r="CXH54" s="545"/>
      <c r="CXI54" s="544"/>
      <c r="CXJ54" s="545"/>
      <c r="CXK54" s="545"/>
      <c r="CXL54" s="545"/>
      <c r="CXM54" s="545"/>
      <c r="CXN54" s="545"/>
      <c r="CXO54" s="545"/>
      <c r="CXP54" s="544"/>
      <c r="CXQ54" s="545"/>
      <c r="CXR54" s="545"/>
      <c r="CXS54" s="545"/>
      <c r="CXT54" s="545"/>
      <c r="CXU54" s="545"/>
      <c r="CXV54" s="545"/>
      <c r="CXW54" s="544"/>
      <c r="CXX54" s="545"/>
      <c r="CXY54" s="545"/>
      <c r="CXZ54" s="545"/>
      <c r="CYA54" s="545"/>
      <c r="CYB54" s="545"/>
      <c r="CYC54" s="545"/>
      <c r="CYD54" s="544"/>
      <c r="CYE54" s="545"/>
      <c r="CYF54" s="545"/>
      <c r="CYG54" s="545"/>
      <c r="CYH54" s="545"/>
      <c r="CYI54" s="545"/>
      <c r="CYJ54" s="545"/>
      <c r="CYK54" s="544"/>
      <c r="CYL54" s="545"/>
      <c r="CYM54" s="545"/>
      <c r="CYN54" s="545"/>
      <c r="CYO54" s="545"/>
      <c r="CYP54" s="545"/>
      <c r="CYQ54" s="545"/>
      <c r="CYR54" s="544"/>
      <c r="CYS54" s="545"/>
      <c r="CYT54" s="545"/>
      <c r="CYU54" s="545"/>
      <c r="CYV54" s="545"/>
      <c r="CYW54" s="545"/>
      <c r="CYX54" s="545"/>
      <c r="CYY54" s="544"/>
      <c r="CYZ54" s="545"/>
      <c r="CZA54" s="545"/>
      <c r="CZB54" s="545"/>
      <c r="CZC54" s="545"/>
      <c r="CZD54" s="545"/>
      <c r="CZE54" s="545"/>
      <c r="CZF54" s="544"/>
      <c r="CZG54" s="545"/>
      <c r="CZH54" s="545"/>
      <c r="CZI54" s="545"/>
      <c r="CZJ54" s="545"/>
      <c r="CZK54" s="545"/>
      <c r="CZL54" s="545"/>
      <c r="CZM54" s="544"/>
      <c r="CZN54" s="545"/>
      <c r="CZO54" s="545"/>
      <c r="CZP54" s="545"/>
      <c r="CZQ54" s="545"/>
      <c r="CZR54" s="545"/>
      <c r="CZS54" s="545"/>
      <c r="CZT54" s="544"/>
      <c r="CZU54" s="545"/>
      <c r="CZV54" s="545"/>
      <c r="CZW54" s="545"/>
      <c r="CZX54" s="545"/>
      <c r="CZY54" s="545"/>
      <c r="CZZ54" s="545"/>
      <c r="DAA54" s="544"/>
      <c r="DAB54" s="545"/>
      <c r="DAC54" s="545"/>
      <c r="DAD54" s="545"/>
      <c r="DAE54" s="545"/>
      <c r="DAF54" s="545"/>
      <c r="DAG54" s="545"/>
      <c r="DAH54" s="544"/>
      <c r="DAI54" s="545"/>
      <c r="DAJ54" s="545"/>
      <c r="DAK54" s="545"/>
      <c r="DAL54" s="545"/>
      <c r="DAM54" s="545"/>
      <c r="DAN54" s="545"/>
      <c r="DAO54" s="544"/>
      <c r="DAP54" s="545"/>
      <c r="DAQ54" s="545"/>
      <c r="DAR54" s="545"/>
      <c r="DAS54" s="545"/>
      <c r="DAT54" s="545"/>
      <c r="DAU54" s="545"/>
      <c r="DAV54" s="544"/>
      <c r="DAW54" s="545"/>
      <c r="DAX54" s="545"/>
      <c r="DAY54" s="545"/>
      <c r="DAZ54" s="545"/>
      <c r="DBA54" s="545"/>
      <c r="DBB54" s="545"/>
      <c r="DBC54" s="544"/>
      <c r="DBD54" s="545"/>
      <c r="DBE54" s="545"/>
      <c r="DBF54" s="545"/>
      <c r="DBG54" s="545"/>
      <c r="DBH54" s="545"/>
      <c r="DBI54" s="545"/>
      <c r="DBJ54" s="544"/>
      <c r="DBK54" s="545"/>
      <c r="DBL54" s="545"/>
      <c r="DBM54" s="545"/>
      <c r="DBN54" s="545"/>
      <c r="DBO54" s="545"/>
      <c r="DBP54" s="545"/>
      <c r="DBQ54" s="544"/>
      <c r="DBR54" s="545"/>
      <c r="DBS54" s="545"/>
      <c r="DBT54" s="545"/>
      <c r="DBU54" s="545"/>
      <c r="DBV54" s="545"/>
      <c r="DBW54" s="545"/>
      <c r="DBX54" s="544"/>
      <c r="DBY54" s="545"/>
      <c r="DBZ54" s="545"/>
      <c r="DCA54" s="545"/>
      <c r="DCB54" s="545"/>
      <c r="DCC54" s="545"/>
      <c r="DCD54" s="545"/>
      <c r="DCE54" s="544"/>
      <c r="DCF54" s="545"/>
      <c r="DCG54" s="545"/>
      <c r="DCH54" s="545"/>
      <c r="DCI54" s="545"/>
      <c r="DCJ54" s="545"/>
      <c r="DCK54" s="545"/>
      <c r="DCL54" s="544"/>
      <c r="DCM54" s="545"/>
      <c r="DCN54" s="545"/>
      <c r="DCO54" s="545"/>
      <c r="DCP54" s="545"/>
      <c r="DCQ54" s="545"/>
      <c r="DCR54" s="545"/>
      <c r="DCS54" s="544"/>
      <c r="DCT54" s="545"/>
      <c r="DCU54" s="545"/>
      <c r="DCV54" s="545"/>
      <c r="DCW54" s="545"/>
      <c r="DCX54" s="545"/>
      <c r="DCY54" s="545"/>
      <c r="DCZ54" s="544"/>
      <c r="DDA54" s="545"/>
      <c r="DDB54" s="545"/>
      <c r="DDC54" s="545"/>
      <c r="DDD54" s="545"/>
      <c r="DDE54" s="545"/>
      <c r="DDF54" s="545"/>
      <c r="DDG54" s="544"/>
      <c r="DDH54" s="545"/>
      <c r="DDI54" s="545"/>
      <c r="DDJ54" s="545"/>
      <c r="DDK54" s="545"/>
      <c r="DDL54" s="545"/>
      <c r="DDM54" s="545"/>
      <c r="DDN54" s="544"/>
      <c r="DDO54" s="545"/>
      <c r="DDP54" s="545"/>
      <c r="DDQ54" s="545"/>
      <c r="DDR54" s="545"/>
      <c r="DDS54" s="545"/>
      <c r="DDT54" s="545"/>
      <c r="DDU54" s="544"/>
      <c r="DDV54" s="545"/>
      <c r="DDW54" s="545"/>
      <c r="DDX54" s="545"/>
      <c r="DDY54" s="545"/>
      <c r="DDZ54" s="545"/>
      <c r="DEA54" s="545"/>
      <c r="DEB54" s="544"/>
      <c r="DEC54" s="545"/>
      <c r="DED54" s="545"/>
      <c r="DEE54" s="545"/>
      <c r="DEF54" s="545"/>
      <c r="DEG54" s="545"/>
      <c r="DEH54" s="545"/>
      <c r="DEI54" s="544"/>
      <c r="DEJ54" s="545"/>
      <c r="DEK54" s="545"/>
      <c r="DEL54" s="545"/>
      <c r="DEM54" s="545"/>
      <c r="DEN54" s="545"/>
      <c r="DEO54" s="545"/>
      <c r="DEP54" s="544"/>
      <c r="DEQ54" s="545"/>
      <c r="DER54" s="545"/>
      <c r="DES54" s="545"/>
      <c r="DET54" s="545"/>
      <c r="DEU54" s="545"/>
      <c r="DEV54" s="545"/>
      <c r="DEW54" s="544"/>
      <c r="DEX54" s="545"/>
      <c r="DEY54" s="545"/>
      <c r="DEZ54" s="545"/>
      <c r="DFA54" s="545"/>
      <c r="DFB54" s="545"/>
      <c r="DFC54" s="545"/>
      <c r="DFD54" s="544"/>
      <c r="DFE54" s="545"/>
      <c r="DFF54" s="545"/>
      <c r="DFG54" s="545"/>
      <c r="DFH54" s="545"/>
      <c r="DFI54" s="545"/>
      <c r="DFJ54" s="545"/>
      <c r="DFK54" s="544"/>
      <c r="DFL54" s="545"/>
      <c r="DFM54" s="545"/>
      <c r="DFN54" s="545"/>
      <c r="DFO54" s="545"/>
      <c r="DFP54" s="545"/>
      <c r="DFQ54" s="545"/>
      <c r="DFR54" s="544"/>
      <c r="DFS54" s="545"/>
      <c r="DFT54" s="545"/>
      <c r="DFU54" s="545"/>
      <c r="DFV54" s="545"/>
      <c r="DFW54" s="545"/>
      <c r="DFX54" s="545"/>
      <c r="DFY54" s="544"/>
      <c r="DFZ54" s="545"/>
      <c r="DGA54" s="545"/>
      <c r="DGB54" s="545"/>
      <c r="DGC54" s="545"/>
      <c r="DGD54" s="545"/>
      <c r="DGE54" s="545"/>
      <c r="DGF54" s="544"/>
      <c r="DGG54" s="545"/>
      <c r="DGH54" s="545"/>
      <c r="DGI54" s="545"/>
      <c r="DGJ54" s="545"/>
      <c r="DGK54" s="545"/>
      <c r="DGL54" s="545"/>
      <c r="DGM54" s="544"/>
      <c r="DGN54" s="545"/>
      <c r="DGO54" s="545"/>
      <c r="DGP54" s="545"/>
      <c r="DGQ54" s="545"/>
      <c r="DGR54" s="545"/>
      <c r="DGS54" s="545"/>
      <c r="DGT54" s="544"/>
      <c r="DGU54" s="545"/>
      <c r="DGV54" s="545"/>
      <c r="DGW54" s="545"/>
      <c r="DGX54" s="545"/>
      <c r="DGY54" s="545"/>
      <c r="DGZ54" s="545"/>
      <c r="DHA54" s="544"/>
      <c r="DHB54" s="545"/>
      <c r="DHC54" s="545"/>
      <c r="DHD54" s="545"/>
      <c r="DHE54" s="545"/>
      <c r="DHF54" s="545"/>
      <c r="DHG54" s="545"/>
      <c r="DHH54" s="544"/>
      <c r="DHI54" s="545"/>
      <c r="DHJ54" s="545"/>
      <c r="DHK54" s="545"/>
      <c r="DHL54" s="545"/>
      <c r="DHM54" s="545"/>
      <c r="DHN54" s="545"/>
      <c r="DHO54" s="544"/>
      <c r="DHP54" s="545"/>
      <c r="DHQ54" s="545"/>
      <c r="DHR54" s="545"/>
      <c r="DHS54" s="545"/>
      <c r="DHT54" s="545"/>
      <c r="DHU54" s="545"/>
      <c r="DHV54" s="544"/>
      <c r="DHW54" s="545"/>
      <c r="DHX54" s="545"/>
      <c r="DHY54" s="545"/>
      <c r="DHZ54" s="545"/>
      <c r="DIA54" s="545"/>
      <c r="DIB54" s="545"/>
      <c r="DIC54" s="544"/>
      <c r="DID54" s="545"/>
      <c r="DIE54" s="545"/>
      <c r="DIF54" s="545"/>
      <c r="DIG54" s="545"/>
      <c r="DIH54" s="545"/>
      <c r="DII54" s="545"/>
      <c r="DIJ54" s="544"/>
      <c r="DIK54" s="545"/>
      <c r="DIL54" s="545"/>
      <c r="DIM54" s="545"/>
      <c r="DIN54" s="545"/>
      <c r="DIO54" s="545"/>
      <c r="DIP54" s="545"/>
      <c r="DIQ54" s="544"/>
      <c r="DIR54" s="545"/>
      <c r="DIS54" s="545"/>
      <c r="DIT54" s="545"/>
      <c r="DIU54" s="545"/>
      <c r="DIV54" s="545"/>
      <c r="DIW54" s="545"/>
      <c r="DIX54" s="544"/>
      <c r="DIY54" s="545"/>
      <c r="DIZ54" s="545"/>
      <c r="DJA54" s="545"/>
      <c r="DJB54" s="545"/>
      <c r="DJC54" s="545"/>
      <c r="DJD54" s="545"/>
      <c r="DJE54" s="544"/>
      <c r="DJF54" s="545"/>
      <c r="DJG54" s="545"/>
      <c r="DJH54" s="545"/>
      <c r="DJI54" s="545"/>
      <c r="DJJ54" s="545"/>
      <c r="DJK54" s="545"/>
      <c r="DJL54" s="544"/>
      <c r="DJM54" s="545"/>
      <c r="DJN54" s="545"/>
      <c r="DJO54" s="545"/>
      <c r="DJP54" s="545"/>
      <c r="DJQ54" s="545"/>
      <c r="DJR54" s="545"/>
      <c r="DJS54" s="544"/>
      <c r="DJT54" s="545"/>
      <c r="DJU54" s="545"/>
      <c r="DJV54" s="545"/>
      <c r="DJW54" s="545"/>
      <c r="DJX54" s="545"/>
      <c r="DJY54" s="545"/>
      <c r="DJZ54" s="544"/>
      <c r="DKA54" s="545"/>
      <c r="DKB54" s="545"/>
      <c r="DKC54" s="545"/>
      <c r="DKD54" s="545"/>
      <c r="DKE54" s="545"/>
      <c r="DKF54" s="545"/>
      <c r="DKG54" s="544"/>
      <c r="DKH54" s="545"/>
      <c r="DKI54" s="545"/>
      <c r="DKJ54" s="545"/>
      <c r="DKK54" s="545"/>
      <c r="DKL54" s="545"/>
      <c r="DKM54" s="545"/>
      <c r="DKN54" s="544"/>
      <c r="DKO54" s="545"/>
      <c r="DKP54" s="545"/>
      <c r="DKQ54" s="545"/>
      <c r="DKR54" s="545"/>
      <c r="DKS54" s="545"/>
      <c r="DKT54" s="545"/>
      <c r="DKU54" s="544"/>
      <c r="DKV54" s="545"/>
      <c r="DKW54" s="545"/>
      <c r="DKX54" s="545"/>
      <c r="DKY54" s="545"/>
      <c r="DKZ54" s="545"/>
      <c r="DLA54" s="545"/>
      <c r="DLB54" s="544"/>
      <c r="DLC54" s="545"/>
      <c r="DLD54" s="545"/>
      <c r="DLE54" s="545"/>
      <c r="DLF54" s="545"/>
      <c r="DLG54" s="545"/>
      <c r="DLH54" s="545"/>
      <c r="DLI54" s="544"/>
      <c r="DLJ54" s="545"/>
      <c r="DLK54" s="545"/>
      <c r="DLL54" s="545"/>
      <c r="DLM54" s="545"/>
      <c r="DLN54" s="545"/>
      <c r="DLO54" s="545"/>
      <c r="DLP54" s="544"/>
      <c r="DLQ54" s="545"/>
      <c r="DLR54" s="545"/>
      <c r="DLS54" s="545"/>
      <c r="DLT54" s="545"/>
      <c r="DLU54" s="545"/>
      <c r="DLV54" s="545"/>
      <c r="DLW54" s="544"/>
      <c r="DLX54" s="545"/>
      <c r="DLY54" s="545"/>
      <c r="DLZ54" s="545"/>
      <c r="DMA54" s="545"/>
      <c r="DMB54" s="545"/>
      <c r="DMC54" s="545"/>
      <c r="DMD54" s="544"/>
      <c r="DME54" s="545"/>
      <c r="DMF54" s="545"/>
      <c r="DMG54" s="545"/>
      <c r="DMH54" s="545"/>
      <c r="DMI54" s="545"/>
      <c r="DMJ54" s="545"/>
      <c r="DMK54" s="544"/>
      <c r="DML54" s="545"/>
      <c r="DMM54" s="545"/>
      <c r="DMN54" s="545"/>
      <c r="DMO54" s="545"/>
      <c r="DMP54" s="545"/>
      <c r="DMQ54" s="545"/>
      <c r="DMR54" s="544"/>
      <c r="DMS54" s="545"/>
      <c r="DMT54" s="545"/>
      <c r="DMU54" s="545"/>
      <c r="DMV54" s="545"/>
      <c r="DMW54" s="545"/>
      <c r="DMX54" s="545"/>
      <c r="DMY54" s="544"/>
      <c r="DMZ54" s="545"/>
      <c r="DNA54" s="545"/>
      <c r="DNB54" s="545"/>
      <c r="DNC54" s="545"/>
      <c r="DND54" s="545"/>
      <c r="DNE54" s="545"/>
      <c r="DNF54" s="544"/>
      <c r="DNG54" s="545"/>
      <c r="DNH54" s="545"/>
      <c r="DNI54" s="545"/>
      <c r="DNJ54" s="545"/>
      <c r="DNK54" s="545"/>
      <c r="DNL54" s="545"/>
      <c r="DNM54" s="544"/>
      <c r="DNN54" s="545"/>
      <c r="DNO54" s="545"/>
      <c r="DNP54" s="545"/>
      <c r="DNQ54" s="545"/>
      <c r="DNR54" s="545"/>
      <c r="DNS54" s="545"/>
      <c r="DNT54" s="544"/>
      <c r="DNU54" s="545"/>
      <c r="DNV54" s="545"/>
      <c r="DNW54" s="545"/>
      <c r="DNX54" s="545"/>
      <c r="DNY54" s="545"/>
      <c r="DNZ54" s="545"/>
      <c r="DOA54" s="544"/>
      <c r="DOB54" s="545"/>
      <c r="DOC54" s="545"/>
      <c r="DOD54" s="545"/>
      <c r="DOE54" s="545"/>
      <c r="DOF54" s="545"/>
      <c r="DOG54" s="545"/>
      <c r="DOH54" s="544"/>
      <c r="DOI54" s="545"/>
      <c r="DOJ54" s="545"/>
      <c r="DOK54" s="545"/>
      <c r="DOL54" s="545"/>
      <c r="DOM54" s="545"/>
      <c r="DON54" s="545"/>
      <c r="DOO54" s="544"/>
      <c r="DOP54" s="545"/>
      <c r="DOQ54" s="545"/>
      <c r="DOR54" s="545"/>
      <c r="DOS54" s="545"/>
      <c r="DOT54" s="545"/>
      <c r="DOU54" s="545"/>
      <c r="DOV54" s="544"/>
      <c r="DOW54" s="545"/>
      <c r="DOX54" s="545"/>
      <c r="DOY54" s="545"/>
      <c r="DOZ54" s="545"/>
      <c r="DPA54" s="545"/>
      <c r="DPB54" s="545"/>
      <c r="DPC54" s="544"/>
      <c r="DPD54" s="545"/>
      <c r="DPE54" s="545"/>
      <c r="DPF54" s="545"/>
      <c r="DPG54" s="545"/>
      <c r="DPH54" s="545"/>
      <c r="DPI54" s="545"/>
      <c r="DPJ54" s="544"/>
      <c r="DPK54" s="545"/>
      <c r="DPL54" s="545"/>
      <c r="DPM54" s="545"/>
      <c r="DPN54" s="545"/>
      <c r="DPO54" s="545"/>
      <c r="DPP54" s="545"/>
      <c r="DPQ54" s="544"/>
      <c r="DPR54" s="545"/>
      <c r="DPS54" s="545"/>
      <c r="DPT54" s="545"/>
      <c r="DPU54" s="545"/>
      <c r="DPV54" s="545"/>
      <c r="DPW54" s="545"/>
      <c r="DPX54" s="544"/>
      <c r="DPY54" s="545"/>
      <c r="DPZ54" s="545"/>
      <c r="DQA54" s="545"/>
      <c r="DQB54" s="545"/>
      <c r="DQC54" s="545"/>
      <c r="DQD54" s="545"/>
      <c r="DQE54" s="544"/>
      <c r="DQF54" s="545"/>
      <c r="DQG54" s="545"/>
      <c r="DQH54" s="545"/>
      <c r="DQI54" s="545"/>
      <c r="DQJ54" s="545"/>
      <c r="DQK54" s="545"/>
      <c r="DQL54" s="544"/>
      <c r="DQM54" s="545"/>
      <c r="DQN54" s="545"/>
      <c r="DQO54" s="545"/>
      <c r="DQP54" s="545"/>
      <c r="DQQ54" s="545"/>
      <c r="DQR54" s="545"/>
      <c r="DQS54" s="544"/>
      <c r="DQT54" s="545"/>
      <c r="DQU54" s="545"/>
      <c r="DQV54" s="545"/>
      <c r="DQW54" s="545"/>
      <c r="DQX54" s="545"/>
      <c r="DQY54" s="545"/>
      <c r="DQZ54" s="544"/>
      <c r="DRA54" s="545"/>
      <c r="DRB54" s="545"/>
      <c r="DRC54" s="545"/>
      <c r="DRD54" s="545"/>
      <c r="DRE54" s="545"/>
      <c r="DRF54" s="545"/>
      <c r="DRG54" s="544"/>
      <c r="DRH54" s="545"/>
      <c r="DRI54" s="545"/>
      <c r="DRJ54" s="545"/>
      <c r="DRK54" s="545"/>
      <c r="DRL54" s="545"/>
      <c r="DRM54" s="545"/>
      <c r="DRN54" s="544"/>
      <c r="DRO54" s="545"/>
      <c r="DRP54" s="545"/>
      <c r="DRQ54" s="545"/>
      <c r="DRR54" s="545"/>
      <c r="DRS54" s="545"/>
      <c r="DRT54" s="545"/>
      <c r="DRU54" s="544"/>
      <c r="DRV54" s="545"/>
      <c r="DRW54" s="545"/>
      <c r="DRX54" s="545"/>
      <c r="DRY54" s="545"/>
      <c r="DRZ54" s="545"/>
      <c r="DSA54" s="545"/>
      <c r="DSB54" s="544"/>
      <c r="DSC54" s="545"/>
      <c r="DSD54" s="545"/>
      <c r="DSE54" s="545"/>
      <c r="DSF54" s="545"/>
      <c r="DSG54" s="545"/>
      <c r="DSH54" s="545"/>
      <c r="DSI54" s="544"/>
      <c r="DSJ54" s="545"/>
      <c r="DSK54" s="545"/>
      <c r="DSL54" s="545"/>
      <c r="DSM54" s="545"/>
      <c r="DSN54" s="545"/>
      <c r="DSO54" s="545"/>
      <c r="DSP54" s="544"/>
      <c r="DSQ54" s="545"/>
      <c r="DSR54" s="545"/>
      <c r="DSS54" s="545"/>
      <c r="DST54" s="545"/>
      <c r="DSU54" s="545"/>
      <c r="DSV54" s="545"/>
      <c r="DSW54" s="544"/>
      <c r="DSX54" s="545"/>
      <c r="DSY54" s="545"/>
      <c r="DSZ54" s="545"/>
      <c r="DTA54" s="545"/>
      <c r="DTB54" s="545"/>
      <c r="DTC54" s="545"/>
      <c r="DTD54" s="544"/>
      <c r="DTE54" s="545"/>
      <c r="DTF54" s="545"/>
      <c r="DTG54" s="545"/>
      <c r="DTH54" s="545"/>
      <c r="DTI54" s="545"/>
      <c r="DTJ54" s="545"/>
      <c r="DTK54" s="544"/>
      <c r="DTL54" s="545"/>
      <c r="DTM54" s="545"/>
      <c r="DTN54" s="545"/>
      <c r="DTO54" s="545"/>
      <c r="DTP54" s="545"/>
      <c r="DTQ54" s="545"/>
      <c r="DTR54" s="544"/>
      <c r="DTS54" s="545"/>
      <c r="DTT54" s="545"/>
      <c r="DTU54" s="545"/>
      <c r="DTV54" s="545"/>
      <c r="DTW54" s="545"/>
      <c r="DTX54" s="545"/>
      <c r="DTY54" s="544"/>
      <c r="DTZ54" s="545"/>
      <c r="DUA54" s="545"/>
      <c r="DUB54" s="545"/>
      <c r="DUC54" s="545"/>
      <c r="DUD54" s="545"/>
      <c r="DUE54" s="545"/>
      <c r="DUF54" s="544"/>
      <c r="DUG54" s="545"/>
      <c r="DUH54" s="545"/>
      <c r="DUI54" s="545"/>
      <c r="DUJ54" s="545"/>
      <c r="DUK54" s="545"/>
      <c r="DUL54" s="545"/>
      <c r="DUM54" s="544"/>
      <c r="DUN54" s="545"/>
      <c r="DUO54" s="545"/>
      <c r="DUP54" s="545"/>
      <c r="DUQ54" s="545"/>
      <c r="DUR54" s="545"/>
      <c r="DUS54" s="545"/>
      <c r="DUT54" s="544"/>
      <c r="DUU54" s="545"/>
      <c r="DUV54" s="545"/>
      <c r="DUW54" s="545"/>
      <c r="DUX54" s="545"/>
      <c r="DUY54" s="545"/>
      <c r="DUZ54" s="545"/>
      <c r="DVA54" s="544"/>
      <c r="DVB54" s="545"/>
      <c r="DVC54" s="545"/>
      <c r="DVD54" s="545"/>
      <c r="DVE54" s="545"/>
      <c r="DVF54" s="545"/>
      <c r="DVG54" s="545"/>
      <c r="DVH54" s="544"/>
      <c r="DVI54" s="545"/>
      <c r="DVJ54" s="545"/>
      <c r="DVK54" s="545"/>
      <c r="DVL54" s="545"/>
      <c r="DVM54" s="545"/>
      <c r="DVN54" s="545"/>
      <c r="DVO54" s="544"/>
      <c r="DVP54" s="545"/>
      <c r="DVQ54" s="545"/>
      <c r="DVR54" s="545"/>
      <c r="DVS54" s="545"/>
      <c r="DVT54" s="545"/>
      <c r="DVU54" s="545"/>
      <c r="DVV54" s="544"/>
      <c r="DVW54" s="545"/>
      <c r="DVX54" s="545"/>
      <c r="DVY54" s="545"/>
      <c r="DVZ54" s="545"/>
      <c r="DWA54" s="545"/>
      <c r="DWB54" s="545"/>
      <c r="DWC54" s="544"/>
      <c r="DWD54" s="545"/>
      <c r="DWE54" s="545"/>
      <c r="DWF54" s="545"/>
      <c r="DWG54" s="545"/>
      <c r="DWH54" s="545"/>
      <c r="DWI54" s="545"/>
      <c r="DWJ54" s="544"/>
      <c r="DWK54" s="545"/>
      <c r="DWL54" s="545"/>
      <c r="DWM54" s="545"/>
      <c r="DWN54" s="545"/>
      <c r="DWO54" s="545"/>
      <c r="DWP54" s="545"/>
      <c r="DWQ54" s="544"/>
      <c r="DWR54" s="545"/>
      <c r="DWS54" s="545"/>
      <c r="DWT54" s="545"/>
      <c r="DWU54" s="545"/>
      <c r="DWV54" s="545"/>
      <c r="DWW54" s="545"/>
      <c r="DWX54" s="544"/>
      <c r="DWY54" s="545"/>
      <c r="DWZ54" s="545"/>
      <c r="DXA54" s="545"/>
      <c r="DXB54" s="545"/>
      <c r="DXC54" s="545"/>
      <c r="DXD54" s="545"/>
      <c r="DXE54" s="544"/>
      <c r="DXF54" s="545"/>
      <c r="DXG54" s="545"/>
      <c r="DXH54" s="545"/>
      <c r="DXI54" s="545"/>
      <c r="DXJ54" s="545"/>
      <c r="DXK54" s="545"/>
      <c r="DXL54" s="544"/>
      <c r="DXM54" s="545"/>
      <c r="DXN54" s="545"/>
      <c r="DXO54" s="545"/>
      <c r="DXP54" s="545"/>
      <c r="DXQ54" s="545"/>
      <c r="DXR54" s="545"/>
      <c r="DXS54" s="544"/>
      <c r="DXT54" s="545"/>
      <c r="DXU54" s="545"/>
      <c r="DXV54" s="545"/>
      <c r="DXW54" s="545"/>
      <c r="DXX54" s="545"/>
      <c r="DXY54" s="545"/>
      <c r="DXZ54" s="544"/>
      <c r="DYA54" s="545"/>
      <c r="DYB54" s="545"/>
      <c r="DYC54" s="545"/>
      <c r="DYD54" s="545"/>
      <c r="DYE54" s="545"/>
      <c r="DYF54" s="545"/>
      <c r="DYG54" s="544"/>
      <c r="DYH54" s="545"/>
      <c r="DYI54" s="545"/>
      <c r="DYJ54" s="545"/>
      <c r="DYK54" s="545"/>
      <c r="DYL54" s="545"/>
      <c r="DYM54" s="545"/>
      <c r="DYN54" s="544"/>
      <c r="DYO54" s="545"/>
      <c r="DYP54" s="545"/>
      <c r="DYQ54" s="545"/>
      <c r="DYR54" s="545"/>
      <c r="DYS54" s="545"/>
      <c r="DYT54" s="545"/>
      <c r="DYU54" s="544"/>
      <c r="DYV54" s="545"/>
      <c r="DYW54" s="545"/>
      <c r="DYX54" s="545"/>
      <c r="DYY54" s="545"/>
      <c r="DYZ54" s="545"/>
      <c r="DZA54" s="545"/>
      <c r="DZB54" s="544"/>
      <c r="DZC54" s="545"/>
      <c r="DZD54" s="545"/>
      <c r="DZE54" s="545"/>
      <c r="DZF54" s="545"/>
      <c r="DZG54" s="545"/>
      <c r="DZH54" s="545"/>
      <c r="DZI54" s="544"/>
      <c r="DZJ54" s="545"/>
      <c r="DZK54" s="545"/>
      <c r="DZL54" s="545"/>
      <c r="DZM54" s="545"/>
      <c r="DZN54" s="545"/>
      <c r="DZO54" s="545"/>
      <c r="DZP54" s="544"/>
      <c r="DZQ54" s="545"/>
      <c r="DZR54" s="545"/>
      <c r="DZS54" s="545"/>
      <c r="DZT54" s="545"/>
      <c r="DZU54" s="545"/>
      <c r="DZV54" s="545"/>
      <c r="DZW54" s="544"/>
      <c r="DZX54" s="545"/>
      <c r="DZY54" s="545"/>
      <c r="DZZ54" s="545"/>
      <c r="EAA54" s="545"/>
      <c r="EAB54" s="545"/>
      <c r="EAC54" s="545"/>
      <c r="EAD54" s="544"/>
      <c r="EAE54" s="545"/>
      <c r="EAF54" s="545"/>
      <c r="EAG54" s="545"/>
      <c r="EAH54" s="545"/>
      <c r="EAI54" s="545"/>
      <c r="EAJ54" s="545"/>
      <c r="EAK54" s="544"/>
      <c r="EAL54" s="545"/>
      <c r="EAM54" s="545"/>
      <c r="EAN54" s="545"/>
      <c r="EAO54" s="545"/>
      <c r="EAP54" s="545"/>
      <c r="EAQ54" s="545"/>
      <c r="EAR54" s="544"/>
      <c r="EAS54" s="545"/>
      <c r="EAT54" s="545"/>
      <c r="EAU54" s="545"/>
      <c r="EAV54" s="545"/>
      <c r="EAW54" s="545"/>
      <c r="EAX54" s="545"/>
      <c r="EAY54" s="544"/>
      <c r="EAZ54" s="545"/>
      <c r="EBA54" s="545"/>
      <c r="EBB54" s="545"/>
      <c r="EBC54" s="545"/>
      <c r="EBD54" s="545"/>
      <c r="EBE54" s="545"/>
      <c r="EBF54" s="544"/>
      <c r="EBG54" s="545"/>
      <c r="EBH54" s="545"/>
      <c r="EBI54" s="545"/>
      <c r="EBJ54" s="545"/>
      <c r="EBK54" s="545"/>
      <c r="EBL54" s="545"/>
      <c r="EBM54" s="544"/>
      <c r="EBN54" s="545"/>
      <c r="EBO54" s="545"/>
      <c r="EBP54" s="545"/>
      <c r="EBQ54" s="545"/>
      <c r="EBR54" s="545"/>
      <c r="EBS54" s="545"/>
      <c r="EBT54" s="544"/>
      <c r="EBU54" s="545"/>
      <c r="EBV54" s="545"/>
      <c r="EBW54" s="545"/>
      <c r="EBX54" s="545"/>
      <c r="EBY54" s="545"/>
      <c r="EBZ54" s="545"/>
      <c r="ECA54" s="544"/>
      <c r="ECB54" s="545"/>
      <c r="ECC54" s="545"/>
      <c r="ECD54" s="545"/>
      <c r="ECE54" s="545"/>
      <c r="ECF54" s="545"/>
      <c r="ECG54" s="545"/>
      <c r="ECH54" s="544"/>
      <c r="ECI54" s="545"/>
      <c r="ECJ54" s="545"/>
      <c r="ECK54" s="545"/>
      <c r="ECL54" s="545"/>
      <c r="ECM54" s="545"/>
      <c r="ECN54" s="545"/>
      <c r="ECO54" s="544"/>
      <c r="ECP54" s="545"/>
      <c r="ECQ54" s="545"/>
      <c r="ECR54" s="545"/>
      <c r="ECS54" s="545"/>
      <c r="ECT54" s="545"/>
      <c r="ECU54" s="545"/>
      <c r="ECV54" s="544"/>
      <c r="ECW54" s="545"/>
      <c r="ECX54" s="545"/>
      <c r="ECY54" s="545"/>
      <c r="ECZ54" s="545"/>
      <c r="EDA54" s="545"/>
      <c r="EDB54" s="545"/>
      <c r="EDC54" s="544"/>
      <c r="EDD54" s="545"/>
      <c r="EDE54" s="545"/>
      <c r="EDF54" s="545"/>
      <c r="EDG54" s="545"/>
      <c r="EDH54" s="545"/>
      <c r="EDI54" s="545"/>
      <c r="EDJ54" s="544"/>
      <c r="EDK54" s="545"/>
      <c r="EDL54" s="545"/>
      <c r="EDM54" s="545"/>
      <c r="EDN54" s="545"/>
      <c r="EDO54" s="545"/>
      <c r="EDP54" s="545"/>
      <c r="EDQ54" s="544"/>
      <c r="EDR54" s="545"/>
      <c r="EDS54" s="545"/>
      <c r="EDT54" s="545"/>
      <c r="EDU54" s="545"/>
      <c r="EDV54" s="545"/>
      <c r="EDW54" s="545"/>
      <c r="EDX54" s="544"/>
      <c r="EDY54" s="545"/>
      <c r="EDZ54" s="545"/>
      <c r="EEA54" s="545"/>
      <c r="EEB54" s="545"/>
      <c r="EEC54" s="545"/>
      <c r="EED54" s="545"/>
      <c r="EEE54" s="544"/>
      <c r="EEF54" s="545"/>
      <c r="EEG54" s="545"/>
      <c r="EEH54" s="545"/>
      <c r="EEI54" s="545"/>
      <c r="EEJ54" s="545"/>
      <c r="EEK54" s="545"/>
      <c r="EEL54" s="544"/>
      <c r="EEM54" s="545"/>
      <c r="EEN54" s="545"/>
      <c r="EEO54" s="545"/>
      <c r="EEP54" s="545"/>
      <c r="EEQ54" s="545"/>
      <c r="EER54" s="545"/>
      <c r="EES54" s="544"/>
      <c r="EET54" s="545"/>
      <c r="EEU54" s="545"/>
      <c r="EEV54" s="545"/>
      <c r="EEW54" s="545"/>
      <c r="EEX54" s="545"/>
      <c r="EEY54" s="545"/>
      <c r="EEZ54" s="544"/>
      <c r="EFA54" s="545"/>
      <c r="EFB54" s="545"/>
      <c r="EFC54" s="545"/>
      <c r="EFD54" s="545"/>
      <c r="EFE54" s="545"/>
      <c r="EFF54" s="545"/>
      <c r="EFG54" s="544"/>
      <c r="EFH54" s="545"/>
      <c r="EFI54" s="545"/>
      <c r="EFJ54" s="545"/>
      <c r="EFK54" s="545"/>
      <c r="EFL54" s="545"/>
      <c r="EFM54" s="545"/>
      <c r="EFN54" s="544"/>
      <c r="EFO54" s="545"/>
      <c r="EFP54" s="545"/>
      <c r="EFQ54" s="545"/>
      <c r="EFR54" s="545"/>
      <c r="EFS54" s="545"/>
      <c r="EFT54" s="545"/>
      <c r="EFU54" s="544"/>
      <c r="EFV54" s="545"/>
      <c r="EFW54" s="545"/>
      <c r="EFX54" s="545"/>
      <c r="EFY54" s="545"/>
      <c r="EFZ54" s="545"/>
      <c r="EGA54" s="545"/>
      <c r="EGB54" s="544"/>
      <c r="EGC54" s="545"/>
      <c r="EGD54" s="545"/>
      <c r="EGE54" s="545"/>
      <c r="EGF54" s="545"/>
      <c r="EGG54" s="545"/>
      <c r="EGH54" s="545"/>
      <c r="EGI54" s="544"/>
      <c r="EGJ54" s="545"/>
      <c r="EGK54" s="545"/>
      <c r="EGL54" s="545"/>
      <c r="EGM54" s="545"/>
      <c r="EGN54" s="545"/>
      <c r="EGO54" s="545"/>
      <c r="EGP54" s="544"/>
      <c r="EGQ54" s="545"/>
      <c r="EGR54" s="545"/>
      <c r="EGS54" s="545"/>
      <c r="EGT54" s="545"/>
      <c r="EGU54" s="545"/>
      <c r="EGV54" s="545"/>
      <c r="EGW54" s="544"/>
      <c r="EGX54" s="545"/>
      <c r="EGY54" s="545"/>
      <c r="EGZ54" s="545"/>
      <c r="EHA54" s="545"/>
      <c r="EHB54" s="545"/>
      <c r="EHC54" s="545"/>
      <c r="EHD54" s="544"/>
      <c r="EHE54" s="545"/>
      <c r="EHF54" s="545"/>
      <c r="EHG54" s="545"/>
      <c r="EHH54" s="545"/>
      <c r="EHI54" s="545"/>
      <c r="EHJ54" s="545"/>
      <c r="EHK54" s="544"/>
      <c r="EHL54" s="545"/>
      <c r="EHM54" s="545"/>
      <c r="EHN54" s="545"/>
      <c r="EHO54" s="545"/>
      <c r="EHP54" s="545"/>
      <c r="EHQ54" s="545"/>
      <c r="EHR54" s="544"/>
      <c r="EHS54" s="545"/>
      <c r="EHT54" s="545"/>
      <c r="EHU54" s="545"/>
      <c r="EHV54" s="545"/>
      <c r="EHW54" s="545"/>
      <c r="EHX54" s="545"/>
      <c r="EHY54" s="544"/>
      <c r="EHZ54" s="545"/>
      <c r="EIA54" s="545"/>
      <c r="EIB54" s="545"/>
      <c r="EIC54" s="545"/>
      <c r="EID54" s="545"/>
      <c r="EIE54" s="545"/>
      <c r="EIF54" s="544"/>
      <c r="EIG54" s="545"/>
      <c r="EIH54" s="545"/>
      <c r="EII54" s="545"/>
      <c r="EIJ54" s="545"/>
      <c r="EIK54" s="545"/>
      <c r="EIL54" s="545"/>
      <c r="EIM54" s="544"/>
      <c r="EIN54" s="545"/>
      <c r="EIO54" s="545"/>
      <c r="EIP54" s="545"/>
      <c r="EIQ54" s="545"/>
      <c r="EIR54" s="545"/>
      <c r="EIS54" s="545"/>
      <c r="EIT54" s="544"/>
      <c r="EIU54" s="545"/>
      <c r="EIV54" s="545"/>
      <c r="EIW54" s="545"/>
      <c r="EIX54" s="545"/>
      <c r="EIY54" s="545"/>
      <c r="EIZ54" s="545"/>
      <c r="EJA54" s="544"/>
      <c r="EJB54" s="545"/>
      <c r="EJC54" s="545"/>
      <c r="EJD54" s="545"/>
      <c r="EJE54" s="545"/>
      <c r="EJF54" s="545"/>
      <c r="EJG54" s="545"/>
      <c r="EJH54" s="544"/>
      <c r="EJI54" s="545"/>
      <c r="EJJ54" s="545"/>
      <c r="EJK54" s="545"/>
      <c r="EJL54" s="545"/>
      <c r="EJM54" s="545"/>
      <c r="EJN54" s="545"/>
      <c r="EJO54" s="544"/>
      <c r="EJP54" s="545"/>
      <c r="EJQ54" s="545"/>
      <c r="EJR54" s="545"/>
      <c r="EJS54" s="545"/>
      <c r="EJT54" s="545"/>
      <c r="EJU54" s="545"/>
      <c r="EJV54" s="544"/>
      <c r="EJW54" s="545"/>
      <c r="EJX54" s="545"/>
      <c r="EJY54" s="545"/>
      <c r="EJZ54" s="545"/>
      <c r="EKA54" s="545"/>
      <c r="EKB54" s="545"/>
      <c r="EKC54" s="544"/>
      <c r="EKD54" s="545"/>
      <c r="EKE54" s="545"/>
      <c r="EKF54" s="545"/>
      <c r="EKG54" s="545"/>
      <c r="EKH54" s="545"/>
      <c r="EKI54" s="545"/>
      <c r="EKJ54" s="544"/>
      <c r="EKK54" s="545"/>
      <c r="EKL54" s="545"/>
      <c r="EKM54" s="545"/>
      <c r="EKN54" s="545"/>
      <c r="EKO54" s="545"/>
      <c r="EKP54" s="545"/>
      <c r="EKQ54" s="544"/>
      <c r="EKR54" s="545"/>
      <c r="EKS54" s="545"/>
      <c r="EKT54" s="545"/>
      <c r="EKU54" s="545"/>
      <c r="EKV54" s="545"/>
      <c r="EKW54" s="545"/>
      <c r="EKX54" s="544"/>
      <c r="EKY54" s="545"/>
      <c r="EKZ54" s="545"/>
      <c r="ELA54" s="545"/>
      <c r="ELB54" s="545"/>
      <c r="ELC54" s="545"/>
      <c r="ELD54" s="545"/>
      <c r="ELE54" s="544"/>
      <c r="ELF54" s="545"/>
      <c r="ELG54" s="545"/>
      <c r="ELH54" s="545"/>
      <c r="ELI54" s="545"/>
      <c r="ELJ54" s="545"/>
      <c r="ELK54" s="545"/>
      <c r="ELL54" s="544"/>
      <c r="ELM54" s="545"/>
      <c r="ELN54" s="545"/>
      <c r="ELO54" s="545"/>
      <c r="ELP54" s="545"/>
      <c r="ELQ54" s="545"/>
      <c r="ELR54" s="545"/>
      <c r="ELS54" s="544"/>
      <c r="ELT54" s="545"/>
      <c r="ELU54" s="545"/>
      <c r="ELV54" s="545"/>
      <c r="ELW54" s="545"/>
      <c r="ELX54" s="545"/>
      <c r="ELY54" s="545"/>
      <c r="ELZ54" s="544"/>
      <c r="EMA54" s="545"/>
      <c r="EMB54" s="545"/>
      <c r="EMC54" s="545"/>
      <c r="EMD54" s="545"/>
      <c r="EME54" s="545"/>
      <c r="EMF54" s="545"/>
      <c r="EMG54" s="544"/>
      <c r="EMH54" s="545"/>
      <c r="EMI54" s="545"/>
      <c r="EMJ54" s="545"/>
      <c r="EMK54" s="545"/>
      <c r="EML54" s="545"/>
      <c r="EMM54" s="545"/>
      <c r="EMN54" s="544"/>
      <c r="EMO54" s="545"/>
      <c r="EMP54" s="545"/>
      <c r="EMQ54" s="545"/>
      <c r="EMR54" s="545"/>
      <c r="EMS54" s="545"/>
      <c r="EMT54" s="545"/>
      <c r="EMU54" s="544"/>
      <c r="EMV54" s="545"/>
      <c r="EMW54" s="545"/>
      <c r="EMX54" s="545"/>
      <c r="EMY54" s="545"/>
      <c r="EMZ54" s="545"/>
      <c r="ENA54" s="545"/>
      <c r="ENB54" s="544"/>
      <c r="ENC54" s="545"/>
      <c r="END54" s="545"/>
      <c r="ENE54" s="545"/>
      <c r="ENF54" s="545"/>
      <c r="ENG54" s="545"/>
      <c r="ENH54" s="545"/>
      <c r="ENI54" s="544"/>
      <c r="ENJ54" s="545"/>
      <c r="ENK54" s="545"/>
      <c r="ENL54" s="545"/>
      <c r="ENM54" s="545"/>
      <c r="ENN54" s="545"/>
      <c r="ENO54" s="545"/>
      <c r="ENP54" s="544"/>
      <c r="ENQ54" s="545"/>
      <c r="ENR54" s="545"/>
      <c r="ENS54" s="545"/>
      <c r="ENT54" s="545"/>
      <c r="ENU54" s="545"/>
      <c r="ENV54" s="545"/>
      <c r="ENW54" s="544"/>
      <c r="ENX54" s="545"/>
      <c r="ENY54" s="545"/>
      <c r="ENZ54" s="545"/>
      <c r="EOA54" s="545"/>
      <c r="EOB54" s="545"/>
      <c r="EOC54" s="545"/>
      <c r="EOD54" s="544"/>
      <c r="EOE54" s="545"/>
      <c r="EOF54" s="545"/>
      <c r="EOG54" s="545"/>
      <c r="EOH54" s="545"/>
      <c r="EOI54" s="545"/>
      <c r="EOJ54" s="545"/>
      <c r="EOK54" s="544"/>
      <c r="EOL54" s="545"/>
      <c r="EOM54" s="545"/>
      <c r="EON54" s="545"/>
      <c r="EOO54" s="545"/>
      <c r="EOP54" s="545"/>
      <c r="EOQ54" s="545"/>
      <c r="EOR54" s="544"/>
      <c r="EOS54" s="545"/>
      <c r="EOT54" s="545"/>
      <c r="EOU54" s="545"/>
      <c r="EOV54" s="545"/>
      <c r="EOW54" s="545"/>
      <c r="EOX54" s="545"/>
      <c r="EOY54" s="544"/>
      <c r="EOZ54" s="545"/>
      <c r="EPA54" s="545"/>
      <c r="EPB54" s="545"/>
      <c r="EPC54" s="545"/>
      <c r="EPD54" s="545"/>
      <c r="EPE54" s="545"/>
      <c r="EPF54" s="544"/>
      <c r="EPG54" s="545"/>
      <c r="EPH54" s="545"/>
      <c r="EPI54" s="545"/>
      <c r="EPJ54" s="545"/>
      <c r="EPK54" s="545"/>
      <c r="EPL54" s="545"/>
      <c r="EPM54" s="544"/>
      <c r="EPN54" s="545"/>
      <c r="EPO54" s="545"/>
      <c r="EPP54" s="545"/>
      <c r="EPQ54" s="545"/>
      <c r="EPR54" s="545"/>
      <c r="EPS54" s="545"/>
      <c r="EPT54" s="544"/>
      <c r="EPU54" s="545"/>
      <c r="EPV54" s="545"/>
      <c r="EPW54" s="545"/>
      <c r="EPX54" s="545"/>
      <c r="EPY54" s="545"/>
      <c r="EPZ54" s="545"/>
      <c r="EQA54" s="544"/>
      <c r="EQB54" s="545"/>
      <c r="EQC54" s="545"/>
      <c r="EQD54" s="545"/>
      <c r="EQE54" s="545"/>
      <c r="EQF54" s="545"/>
      <c r="EQG54" s="545"/>
      <c r="EQH54" s="544"/>
      <c r="EQI54" s="545"/>
      <c r="EQJ54" s="545"/>
      <c r="EQK54" s="545"/>
      <c r="EQL54" s="545"/>
      <c r="EQM54" s="545"/>
      <c r="EQN54" s="545"/>
      <c r="EQO54" s="544"/>
      <c r="EQP54" s="545"/>
      <c r="EQQ54" s="545"/>
      <c r="EQR54" s="545"/>
      <c r="EQS54" s="545"/>
      <c r="EQT54" s="545"/>
      <c r="EQU54" s="545"/>
      <c r="EQV54" s="544"/>
      <c r="EQW54" s="545"/>
      <c r="EQX54" s="545"/>
      <c r="EQY54" s="545"/>
      <c r="EQZ54" s="545"/>
      <c r="ERA54" s="545"/>
      <c r="ERB54" s="545"/>
      <c r="ERC54" s="544"/>
      <c r="ERD54" s="545"/>
      <c r="ERE54" s="545"/>
      <c r="ERF54" s="545"/>
      <c r="ERG54" s="545"/>
      <c r="ERH54" s="545"/>
      <c r="ERI54" s="545"/>
      <c r="ERJ54" s="544"/>
      <c r="ERK54" s="545"/>
      <c r="ERL54" s="545"/>
      <c r="ERM54" s="545"/>
      <c r="ERN54" s="545"/>
      <c r="ERO54" s="545"/>
      <c r="ERP54" s="545"/>
      <c r="ERQ54" s="544"/>
      <c r="ERR54" s="545"/>
      <c r="ERS54" s="545"/>
      <c r="ERT54" s="545"/>
      <c r="ERU54" s="545"/>
      <c r="ERV54" s="545"/>
      <c r="ERW54" s="545"/>
      <c r="ERX54" s="544"/>
      <c r="ERY54" s="545"/>
      <c r="ERZ54" s="545"/>
      <c r="ESA54" s="545"/>
      <c r="ESB54" s="545"/>
      <c r="ESC54" s="545"/>
      <c r="ESD54" s="545"/>
      <c r="ESE54" s="544"/>
      <c r="ESF54" s="545"/>
      <c r="ESG54" s="545"/>
      <c r="ESH54" s="545"/>
      <c r="ESI54" s="545"/>
      <c r="ESJ54" s="545"/>
      <c r="ESK54" s="545"/>
      <c r="ESL54" s="544"/>
      <c r="ESM54" s="545"/>
      <c r="ESN54" s="545"/>
      <c r="ESO54" s="545"/>
      <c r="ESP54" s="545"/>
      <c r="ESQ54" s="545"/>
      <c r="ESR54" s="545"/>
      <c r="ESS54" s="544"/>
      <c r="EST54" s="545"/>
      <c r="ESU54" s="545"/>
      <c r="ESV54" s="545"/>
      <c r="ESW54" s="545"/>
      <c r="ESX54" s="545"/>
      <c r="ESY54" s="545"/>
      <c r="ESZ54" s="544"/>
      <c r="ETA54" s="545"/>
      <c r="ETB54" s="545"/>
      <c r="ETC54" s="545"/>
      <c r="ETD54" s="545"/>
      <c r="ETE54" s="545"/>
      <c r="ETF54" s="545"/>
      <c r="ETG54" s="544"/>
      <c r="ETH54" s="545"/>
      <c r="ETI54" s="545"/>
      <c r="ETJ54" s="545"/>
      <c r="ETK54" s="545"/>
      <c r="ETL54" s="545"/>
      <c r="ETM54" s="545"/>
      <c r="ETN54" s="544"/>
      <c r="ETO54" s="545"/>
      <c r="ETP54" s="545"/>
      <c r="ETQ54" s="545"/>
      <c r="ETR54" s="545"/>
      <c r="ETS54" s="545"/>
      <c r="ETT54" s="545"/>
      <c r="ETU54" s="544"/>
      <c r="ETV54" s="545"/>
      <c r="ETW54" s="545"/>
      <c r="ETX54" s="545"/>
      <c r="ETY54" s="545"/>
      <c r="ETZ54" s="545"/>
      <c r="EUA54" s="545"/>
      <c r="EUB54" s="544"/>
      <c r="EUC54" s="545"/>
      <c r="EUD54" s="545"/>
      <c r="EUE54" s="545"/>
      <c r="EUF54" s="545"/>
      <c r="EUG54" s="545"/>
      <c r="EUH54" s="545"/>
      <c r="EUI54" s="544"/>
      <c r="EUJ54" s="545"/>
      <c r="EUK54" s="545"/>
      <c r="EUL54" s="545"/>
      <c r="EUM54" s="545"/>
      <c r="EUN54" s="545"/>
      <c r="EUO54" s="545"/>
      <c r="EUP54" s="544"/>
      <c r="EUQ54" s="545"/>
      <c r="EUR54" s="545"/>
      <c r="EUS54" s="545"/>
      <c r="EUT54" s="545"/>
      <c r="EUU54" s="545"/>
      <c r="EUV54" s="545"/>
      <c r="EUW54" s="544"/>
      <c r="EUX54" s="545"/>
      <c r="EUY54" s="545"/>
      <c r="EUZ54" s="545"/>
      <c r="EVA54" s="545"/>
      <c r="EVB54" s="545"/>
      <c r="EVC54" s="545"/>
      <c r="EVD54" s="544"/>
      <c r="EVE54" s="545"/>
      <c r="EVF54" s="545"/>
      <c r="EVG54" s="545"/>
      <c r="EVH54" s="545"/>
      <c r="EVI54" s="545"/>
      <c r="EVJ54" s="545"/>
      <c r="EVK54" s="544"/>
      <c r="EVL54" s="545"/>
      <c r="EVM54" s="545"/>
      <c r="EVN54" s="545"/>
      <c r="EVO54" s="545"/>
      <c r="EVP54" s="545"/>
      <c r="EVQ54" s="545"/>
      <c r="EVR54" s="544"/>
      <c r="EVS54" s="545"/>
      <c r="EVT54" s="545"/>
      <c r="EVU54" s="545"/>
      <c r="EVV54" s="545"/>
      <c r="EVW54" s="545"/>
      <c r="EVX54" s="545"/>
      <c r="EVY54" s="544"/>
      <c r="EVZ54" s="545"/>
      <c r="EWA54" s="545"/>
      <c r="EWB54" s="545"/>
      <c r="EWC54" s="545"/>
      <c r="EWD54" s="545"/>
      <c r="EWE54" s="545"/>
      <c r="EWF54" s="544"/>
      <c r="EWG54" s="545"/>
      <c r="EWH54" s="545"/>
      <c r="EWI54" s="545"/>
      <c r="EWJ54" s="545"/>
      <c r="EWK54" s="545"/>
      <c r="EWL54" s="545"/>
      <c r="EWM54" s="544"/>
      <c r="EWN54" s="545"/>
      <c r="EWO54" s="545"/>
      <c r="EWP54" s="545"/>
      <c r="EWQ54" s="545"/>
      <c r="EWR54" s="545"/>
      <c r="EWS54" s="545"/>
      <c r="EWT54" s="544"/>
      <c r="EWU54" s="545"/>
      <c r="EWV54" s="545"/>
      <c r="EWW54" s="545"/>
      <c r="EWX54" s="545"/>
      <c r="EWY54" s="545"/>
      <c r="EWZ54" s="545"/>
      <c r="EXA54" s="544"/>
      <c r="EXB54" s="545"/>
      <c r="EXC54" s="545"/>
      <c r="EXD54" s="545"/>
      <c r="EXE54" s="545"/>
      <c r="EXF54" s="545"/>
      <c r="EXG54" s="545"/>
      <c r="EXH54" s="544"/>
      <c r="EXI54" s="545"/>
      <c r="EXJ54" s="545"/>
      <c r="EXK54" s="545"/>
      <c r="EXL54" s="545"/>
      <c r="EXM54" s="545"/>
      <c r="EXN54" s="545"/>
      <c r="EXO54" s="544"/>
      <c r="EXP54" s="545"/>
      <c r="EXQ54" s="545"/>
      <c r="EXR54" s="545"/>
      <c r="EXS54" s="545"/>
      <c r="EXT54" s="545"/>
      <c r="EXU54" s="545"/>
      <c r="EXV54" s="544"/>
      <c r="EXW54" s="545"/>
      <c r="EXX54" s="545"/>
      <c r="EXY54" s="545"/>
      <c r="EXZ54" s="545"/>
      <c r="EYA54" s="545"/>
      <c r="EYB54" s="545"/>
      <c r="EYC54" s="544"/>
      <c r="EYD54" s="545"/>
      <c r="EYE54" s="545"/>
      <c r="EYF54" s="545"/>
      <c r="EYG54" s="545"/>
      <c r="EYH54" s="545"/>
      <c r="EYI54" s="545"/>
      <c r="EYJ54" s="544"/>
      <c r="EYK54" s="545"/>
      <c r="EYL54" s="545"/>
      <c r="EYM54" s="545"/>
      <c r="EYN54" s="545"/>
      <c r="EYO54" s="545"/>
      <c r="EYP54" s="545"/>
      <c r="EYQ54" s="544"/>
      <c r="EYR54" s="545"/>
      <c r="EYS54" s="545"/>
      <c r="EYT54" s="545"/>
      <c r="EYU54" s="545"/>
      <c r="EYV54" s="545"/>
      <c r="EYW54" s="545"/>
      <c r="EYX54" s="544"/>
      <c r="EYY54" s="545"/>
      <c r="EYZ54" s="545"/>
      <c r="EZA54" s="545"/>
      <c r="EZB54" s="545"/>
      <c r="EZC54" s="545"/>
      <c r="EZD54" s="545"/>
      <c r="EZE54" s="544"/>
      <c r="EZF54" s="545"/>
      <c r="EZG54" s="545"/>
      <c r="EZH54" s="545"/>
      <c r="EZI54" s="545"/>
      <c r="EZJ54" s="545"/>
      <c r="EZK54" s="545"/>
      <c r="EZL54" s="544"/>
      <c r="EZM54" s="545"/>
      <c r="EZN54" s="545"/>
      <c r="EZO54" s="545"/>
      <c r="EZP54" s="545"/>
      <c r="EZQ54" s="545"/>
      <c r="EZR54" s="545"/>
      <c r="EZS54" s="544"/>
      <c r="EZT54" s="545"/>
      <c r="EZU54" s="545"/>
      <c r="EZV54" s="545"/>
      <c r="EZW54" s="545"/>
      <c r="EZX54" s="545"/>
      <c r="EZY54" s="545"/>
      <c r="EZZ54" s="544"/>
      <c r="FAA54" s="545"/>
      <c r="FAB54" s="545"/>
      <c r="FAC54" s="545"/>
      <c r="FAD54" s="545"/>
      <c r="FAE54" s="545"/>
      <c r="FAF54" s="545"/>
      <c r="FAG54" s="544"/>
      <c r="FAH54" s="545"/>
      <c r="FAI54" s="545"/>
      <c r="FAJ54" s="545"/>
      <c r="FAK54" s="545"/>
      <c r="FAL54" s="545"/>
      <c r="FAM54" s="545"/>
      <c r="FAN54" s="544"/>
      <c r="FAO54" s="545"/>
      <c r="FAP54" s="545"/>
      <c r="FAQ54" s="545"/>
      <c r="FAR54" s="545"/>
      <c r="FAS54" s="545"/>
      <c r="FAT54" s="545"/>
      <c r="FAU54" s="544"/>
      <c r="FAV54" s="545"/>
      <c r="FAW54" s="545"/>
      <c r="FAX54" s="545"/>
      <c r="FAY54" s="545"/>
      <c r="FAZ54" s="545"/>
      <c r="FBA54" s="545"/>
      <c r="FBB54" s="544"/>
      <c r="FBC54" s="545"/>
      <c r="FBD54" s="545"/>
      <c r="FBE54" s="545"/>
      <c r="FBF54" s="545"/>
      <c r="FBG54" s="545"/>
      <c r="FBH54" s="545"/>
      <c r="FBI54" s="544"/>
      <c r="FBJ54" s="545"/>
      <c r="FBK54" s="545"/>
      <c r="FBL54" s="545"/>
      <c r="FBM54" s="545"/>
      <c r="FBN54" s="545"/>
      <c r="FBO54" s="545"/>
      <c r="FBP54" s="544"/>
      <c r="FBQ54" s="545"/>
      <c r="FBR54" s="545"/>
      <c r="FBS54" s="545"/>
      <c r="FBT54" s="545"/>
      <c r="FBU54" s="545"/>
      <c r="FBV54" s="545"/>
      <c r="FBW54" s="544"/>
      <c r="FBX54" s="545"/>
      <c r="FBY54" s="545"/>
      <c r="FBZ54" s="545"/>
      <c r="FCA54" s="545"/>
      <c r="FCB54" s="545"/>
      <c r="FCC54" s="545"/>
      <c r="FCD54" s="544"/>
      <c r="FCE54" s="545"/>
      <c r="FCF54" s="545"/>
      <c r="FCG54" s="545"/>
      <c r="FCH54" s="545"/>
      <c r="FCI54" s="545"/>
      <c r="FCJ54" s="545"/>
      <c r="FCK54" s="544"/>
      <c r="FCL54" s="545"/>
      <c r="FCM54" s="545"/>
      <c r="FCN54" s="545"/>
      <c r="FCO54" s="545"/>
      <c r="FCP54" s="545"/>
      <c r="FCQ54" s="545"/>
      <c r="FCR54" s="544"/>
      <c r="FCS54" s="545"/>
      <c r="FCT54" s="545"/>
      <c r="FCU54" s="545"/>
      <c r="FCV54" s="545"/>
      <c r="FCW54" s="545"/>
      <c r="FCX54" s="545"/>
      <c r="FCY54" s="544"/>
      <c r="FCZ54" s="545"/>
      <c r="FDA54" s="545"/>
      <c r="FDB54" s="545"/>
      <c r="FDC54" s="545"/>
      <c r="FDD54" s="545"/>
      <c r="FDE54" s="545"/>
      <c r="FDF54" s="544"/>
      <c r="FDG54" s="545"/>
      <c r="FDH54" s="545"/>
      <c r="FDI54" s="545"/>
      <c r="FDJ54" s="545"/>
      <c r="FDK54" s="545"/>
      <c r="FDL54" s="545"/>
      <c r="FDM54" s="544"/>
      <c r="FDN54" s="545"/>
      <c r="FDO54" s="545"/>
      <c r="FDP54" s="545"/>
      <c r="FDQ54" s="545"/>
      <c r="FDR54" s="545"/>
      <c r="FDS54" s="545"/>
      <c r="FDT54" s="544"/>
      <c r="FDU54" s="545"/>
      <c r="FDV54" s="545"/>
      <c r="FDW54" s="545"/>
      <c r="FDX54" s="545"/>
      <c r="FDY54" s="545"/>
      <c r="FDZ54" s="545"/>
      <c r="FEA54" s="544"/>
      <c r="FEB54" s="545"/>
      <c r="FEC54" s="545"/>
      <c r="FED54" s="545"/>
      <c r="FEE54" s="545"/>
      <c r="FEF54" s="545"/>
      <c r="FEG54" s="545"/>
      <c r="FEH54" s="544"/>
      <c r="FEI54" s="545"/>
      <c r="FEJ54" s="545"/>
      <c r="FEK54" s="545"/>
      <c r="FEL54" s="545"/>
      <c r="FEM54" s="545"/>
      <c r="FEN54" s="545"/>
      <c r="FEO54" s="544"/>
      <c r="FEP54" s="545"/>
      <c r="FEQ54" s="545"/>
      <c r="FER54" s="545"/>
      <c r="FES54" s="545"/>
      <c r="FET54" s="545"/>
      <c r="FEU54" s="545"/>
      <c r="FEV54" s="544"/>
      <c r="FEW54" s="545"/>
      <c r="FEX54" s="545"/>
      <c r="FEY54" s="545"/>
      <c r="FEZ54" s="545"/>
      <c r="FFA54" s="545"/>
      <c r="FFB54" s="545"/>
      <c r="FFC54" s="544"/>
      <c r="FFD54" s="545"/>
      <c r="FFE54" s="545"/>
      <c r="FFF54" s="545"/>
      <c r="FFG54" s="545"/>
      <c r="FFH54" s="545"/>
      <c r="FFI54" s="545"/>
      <c r="FFJ54" s="544"/>
      <c r="FFK54" s="545"/>
      <c r="FFL54" s="545"/>
      <c r="FFM54" s="545"/>
      <c r="FFN54" s="545"/>
      <c r="FFO54" s="545"/>
      <c r="FFP54" s="545"/>
      <c r="FFQ54" s="544"/>
      <c r="FFR54" s="545"/>
      <c r="FFS54" s="545"/>
      <c r="FFT54" s="545"/>
      <c r="FFU54" s="545"/>
      <c r="FFV54" s="545"/>
      <c r="FFW54" s="545"/>
      <c r="FFX54" s="544"/>
      <c r="FFY54" s="545"/>
      <c r="FFZ54" s="545"/>
      <c r="FGA54" s="545"/>
      <c r="FGB54" s="545"/>
      <c r="FGC54" s="545"/>
      <c r="FGD54" s="545"/>
      <c r="FGE54" s="544"/>
      <c r="FGF54" s="545"/>
      <c r="FGG54" s="545"/>
      <c r="FGH54" s="545"/>
      <c r="FGI54" s="545"/>
      <c r="FGJ54" s="545"/>
      <c r="FGK54" s="545"/>
      <c r="FGL54" s="544"/>
      <c r="FGM54" s="545"/>
      <c r="FGN54" s="545"/>
      <c r="FGO54" s="545"/>
      <c r="FGP54" s="545"/>
      <c r="FGQ54" s="545"/>
      <c r="FGR54" s="545"/>
      <c r="FGS54" s="544"/>
      <c r="FGT54" s="545"/>
      <c r="FGU54" s="545"/>
      <c r="FGV54" s="545"/>
      <c r="FGW54" s="545"/>
      <c r="FGX54" s="545"/>
      <c r="FGY54" s="545"/>
      <c r="FGZ54" s="544"/>
      <c r="FHA54" s="545"/>
      <c r="FHB54" s="545"/>
      <c r="FHC54" s="545"/>
      <c r="FHD54" s="545"/>
      <c r="FHE54" s="545"/>
      <c r="FHF54" s="545"/>
      <c r="FHG54" s="544"/>
      <c r="FHH54" s="545"/>
      <c r="FHI54" s="545"/>
      <c r="FHJ54" s="545"/>
      <c r="FHK54" s="545"/>
      <c r="FHL54" s="545"/>
      <c r="FHM54" s="545"/>
      <c r="FHN54" s="544"/>
      <c r="FHO54" s="545"/>
      <c r="FHP54" s="545"/>
      <c r="FHQ54" s="545"/>
      <c r="FHR54" s="545"/>
      <c r="FHS54" s="545"/>
      <c r="FHT54" s="545"/>
      <c r="FHU54" s="544"/>
      <c r="FHV54" s="545"/>
      <c r="FHW54" s="545"/>
      <c r="FHX54" s="545"/>
      <c r="FHY54" s="545"/>
      <c r="FHZ54" s="545"/>
      <c r="FIA54" s="545"/>
      <c r="FIB54" s="544"/>
      <c r="FIC54" s="545"/>
      <c r="FID54" s="545"/>
      <c r="FIE54" s="545"/>
      <c r="FIF54" s="545"/>
      <c r="FIG54" s="545"/>
      <c r="FIH54" s="545"/>
      <c r="FII54" s="544"/>
      <c r="FIJ54" s="545"/>
      <c r="FIK54" s="545"/>
      <c r="FIL54" s="545"/>
      <c r="FIM54" s="545"/>
      <c r="FIN54" s="545"/>
      <c r="FIO54" s="545"/>
      <c r="FIP54" s="544"/>
      <c r="FIQ54" s="545"/>
      <c r="FIR54" s="545"/>
      <c r="FIS54" s="545"/>
      <c r="FIT54" s="545"/>
      <c r="FIU54" s="545"/>
      <c r="FIV54" s="545"/>
      <c r="FIW54" s="544"/>
      <c r="FIX54" s="545"/>
      <c r="FIY54" s="545"/>
      <c r="FIZ54" s="545"/>
      <c r="FJA54" s="545"/>
      <c r="FJB54" s="545"/>
      <c r="FJC54" s="545"/>
      <c r="FJD54" s="544"/>
      <c r="FJE54" s="545"/>
      <c r="FJF54" s="545"/>
      <c r="FJG54" s="545"/>
      <c r="FJH54" s="545"/>
      <c r="FJI54" s="545"/>
      <c r="FJJ54" s="545"/>
      <c r="FJK54" s="544"/>
      <c r="FJL54" s="545"/>
      <c r="FJM54" s="545"/>
      <c r="FJN54" s="545"/>
      <c r="FJO54" s="545"/>
      <c r="FJP54" s="545"/>
      <c r="FJQ54" s="545"/>
      <c r="FJR54" s="544"/>
      <c r="FJS54" s="545"/>
      <c r="FJT54" s="545"/>
      <c r="FJU54" s="545"/>
      <c r="FJV54" s="545"/>
      <c r="FJW54" s="545"/>
      <c r="FJX54" s="545"/>
      <c r="FJY54" s="544"/>
      <c r="FJZ54" s="545"/>
      <c r="FKA54" s="545"/>
      <c r="FKB54" s="545"/>
      <c r="FKC54" s="545"/>
      <c r="FKD54" s="545"/>
      <c r="FKE54" s="545"/>
      <c r="FKF54" s="544"/>
      <c r="FKG54" s="545"/>
      <c r="FKH54" s="545"/>
      <c r="FKI54" s="545"/>
      <c r="FKJ54" s="545"/>
      <c r="FKK54" s="545"/>
      <c r="FKL54" s="545"/>
      <c r="FKM54" s="544"/>
      <c r="FKN54" s="545"/>
      <c r="FKO54" s="545"/>
      <c r="FKP54" s="545"/>
      <c r="FKQ54" s="545"/>
      <c r="FKR54" s="545"/>
      <c r="FKS54" s="545"/>
      <c r="FKT54" s="544"/>
      <c r="FKU54" s="545"/>
      <c r="FKV54" s="545"/>
      <c r="FKW54" s="545"/>
      <c r="FKX54" s="545"/>
      <c r="FKY54" s="545"/>
      <c r="FKZ54" s="545"/>
      <c r="FLA54" s="544"/>
      <c r="FLB54" s="545"/>
      <c r="FLC54" s="545"/>
      <c r="FLD54" s="545"/>
      <c r="FLE54" s="545"/>
      <c r="FLF54" s="545"/>
      <c r="FLG54" s="545"/>
      <c r="FLH54" s="544"/>
      <c r="FLI54" s="545"/>
      <c r="FLJ54" s="545"/>
      <c r="FLK54" s="545"/>
      <c r="FLL54" s="545"/>
      <c r="FLM54" s="545"/>
      <c r="FLN54" s="545"/>
      <c r="FLO54" s="544"/>
      <c r="FLP54" s="545"/>
      <c r="FLQ54" s="545"/>
      <c r="FLR54" s="545"/>
      <c r="FLS54" s="545"/>
      <c r="FLT54" s="545"/>
      <c r="FLU54" s="545"/>
      <c r="FLV54" s="544"/>
      <c r="FLW54" s="545"/>
      <c r="FLX54" s="545"/>
      <c r="FLY54" s="545"/>
      <c r="FLZ54" s="545"/>
      <c r="FMA54" s="545"/>
      <c r="FMB54" s="545"/>
      <c r="FMC54" s="544"/>
      <c r="FMD54" s="545"/>
      <c r="FME54" s="545"/>
      <c r="FMF54" s="545"/>
      <c r="FMG54" s="545"/>
      <c r="FMH54" s="545"/>
      <c r="FMI54" s="545"/>
      <c r="FMJ54" s="544"/>
      <c r="FMK54" s="545"/>
      <c r="FML54" s="545"/>
      <c r="FMM54" s="545"/>
      <c r="FMN54" s="545"/>
      <c r="FMO54" s="545"/>
      <c r="FMP54" s="545"/>
      <c r="FMQ54" s="544"/>
      <c r="FMR54" s="545"/>
      <c r="FMS54" s="545"/>
      <c r="FMT54" s="545"/>
      <c r="FMU54" s="545"/>
      <c r="FMV54" s="545"/>
      <c r="FMW54" s="545"/>
      <c r="FMX54" s="544"/>
      <c r="FMY54" s="545"/>
      <c r="FMZ54" s="545"/>
      <c r="FNA54" s="545"/>
      <c r="FNB54" s="545"/>
      <c r="FNC54" s="545"/>
      <c r="FND54" s="545"/>
      <c r="FNE54" s="544"/>
      <c r="FNF54" s="545"/>
      <c r="FNG54" s="545"/>
      <c r="FNH54" s="545"/>
      <c r="FNI54" s="545"/>
      <c r="FNJ54" s="545"/>
      <c r="FNK54" s="545"/>
      <c r="FNL54" s="544"/>
      <c r="FNM54" s="545"/>
      <c r="FNN54" s="545"/>
      <c r="FNO54" s="545"/>
      <c r="FNP54" s="545"/>
      <c r="FNQ54" s="545"/>
      <c r="FNR54" s="545"/>
      <c r="FNS54" s="544"/>
      <c r="FNT54" s="545"/>
      <c r="FNU54" s="545"/>
      <c r="FNV54" s="545"/>
      <c r="FNW54" s="545"/>
      <c r="FNX54" s="545"/>
      <c r="FNY54" s="545"/>
      <c r="FNZ54" s="544"/>
      <c r="FOA54" s="545"/>
      <c r="FOB54" s="545"/>
      <c r="FOC54" s="545"/>
      <c r="FOD54" s="545"/>
      <c r="FOE54" s="545"/>
      <c r="FOF54" s="545"/>
      <c r="FOG54" s="544"/>
      <c r="FOH54" s="545"/>
      <c r="FOI54" s="545"/>
      <c r="FOJ54" s="545"/>
      <c r="FOK54" s="545"/>
      <c r="FOL54" s="545"/>
      <c r="FOM54" s="545"/>
      <c r="FON54" s="544"/>
      <c r="FOO54" s="545"/>
      <c r="FOP54" s="545"/>
      <c r="FOQ54" s="545"/>
      <c r="FOR54" s="545"/>
      <c r="FOS54" s="545"/>
      <c r="FOT54" s="545"/>
      <c r="FOU54" s="544"/>
      <c r="FOV54" s="545"/>
      <c r="FOW54" s="545"/>
      <c r="FOX54" s="545"/>
      <c r="FOY54" s="545"/>
      <c r="FOZ54" s="545"/>
      <c r="FPA54" s="545"/>
      <c r="FPB54" s="544"/>
      <c r="FPC54" s="545"/>
      <c r="FPD54" s="545"/>
      <c r="FPE54" s="545"/>
      <c r="FPF54" s="545"/>
      <c r="FPG54" s="545"/>
      <c r="FPH54" s="545"/>
      <c r="FPI54" s="544"/>
      <c r="FPJ54" s="545"/>
      <c r="FPK54" s="545"/>
      <c r="FPL54" s="545"/>
      <c r="FPM54" s="545"/>
      <c r="FPN54" s="545"/>
      <c r="FPO54" s="545"/>
      <c r="FPP54" s="544"/>
      <c r="FPQ54" s="545"/>
      <c r="FPR54" s="545"/>
      <c r="FPS54" s="545"/>
      <c r="FPT54" s="545"/>
      <c r="FPU54" s="545"/>
      <c r="FPV54" s="545"/>
      <c r="FPW54" s="544"/>
      <c r="FPX54" s="545"/>
      <c r="FPY54" s="545"/>
      <c r="FPZ54" s="545"/>
      <c r="FQA54" s="545"/>
      <c r="FQB54" s="545"/>
      <c r="FQC54" s="545"/>
      <c r="FQD54" s="544"/>
      <c r="FQE54" s="545"/>
      <c r="FQF54" s="545"/>
      <c r="FQG54" s="545"/>
      <c r="FQH54" s="545"/>
      <c r="FQI54" s="545"/>
      <c r="FQJ54" s="545"/>
      <c r="FQK54" s="544"/>
      <c r="FQL54" s="545"/>
      <c r="FQM54" s="545"/>
      <c r="FQN54" s="545"/>
      <c r="FQO54" s="545"/>
      <c r="FQP54" s="545"/>
      <c r="FQQ54" s="545"/>
      <c r="FQR54" s="544"/>
      <c r="FQS54" s="545"/>
      <c r="FQT54" s="545"/>
      <c r="FQU54" s="545"/>
      <c r="FQV54" s="545"/>
      <c r="FQW54" s="545"/>
      <c r="FQX54" s="545"/>
      <c r="FQY54" s="544"/>
      <c r="FQZ54" s="545"/>
      <c r="FRA54" s="545"/>
      <c r="FRB54" s="545"/>
      <c r="FRC54" s="545"/>
      <c r="FRD54" s="545"/>
      <c r="FRE54" s="545"/>
      <c r="FRF54" s="544"/>
      <c r="FRG54" s="545"/>
      <c r="FRH54" s="545"/>
      <c r="FRI54" s="545"/>
      <c r="FRJ54" s="545"/>
      <c r="FRK54" s="545"/>
      <c r="FRL54" s="545"/>
      <c r="FRM54" s="544"/>
      <c r="FRN54" s="545"/>
      <c r="FRO54" s="545"/>
      <c r="FRP54" s="545"/>
      <c r="FRQ54" s="545"/>
      <c r="FRR54" s="545"/>
      <c r="FRS54" s="545"/>
      <c r="FRT54" s="544"/>
      <c r="FRU54" s="545"/>
      <c r="FRV54" s="545"/>
      <c r="FRW54" s="545"/>
      <c r="FRX54" s="545"/>
      <c r="FRY54" s="545"/>
      <c r="FRZ54" s="545"/>
      <c r="FSA54" s="544"/>
      <c r="FSB54" s="545"/>
      <c r="FSC54" s="545"/>
      <c r="FSD54" s="545"/>
      <c r="FSE54" s="545"/>
      <c r="FSF54" s="545"/>
      <c r="FSG54" s="545"/>
      <c r="FSH54" s="544"/>
      <c r="FSI54" s="545"/>
      <c r="FSJ54" s="545"/>
      <c r="FSK54" s="545"/>
      <c r="FSL54" s="545"/>
      <c r="FSM54" s="545"/>
      <c r="FSN54" s="545"/>
      <c r="FSO54" s="544"/>
      <c r="FSP54" s="545"/>
      <c r="FSQ54" s="545"/>
      <c r="FSR54" s="545"/>
      <c r="FSS54" s="545"/>
      <c r="FST54" s="545"/>
      <c r="FSU54" s="545"/>
      <c r="FSV54" s="544"/>
      <c r="FSW54" s="545"/>
      <c r="FSX54" s="545"/>
      <c r="FSY54" s="545"/>
      <c r="FSZ54" s="545"/>
      <c r="FTA54" s="545"/>
      <c r="FTB54" s="545"/>
      <c r="FTC54" s="544"/>
      <c r="FTD54" s="545"/>
      <c r="FTE54" s="545"/>
      <c r="FTF54" s="545"/>
      <c r="FTG54" s="545"/>
      <c r="FTH54" s="545"/>
      <c r="FTI54" s="545"/>
      <c r="FTJ54" s="544"/>
      <c r="FTK54" s="545"/>
      <c r="FTL54" s="545"/>
      <c r="FTM54" s="545"/>
      <c r="FTN54" s="545"/>
      <c r="FTO54" s="545"/>
      <c r="FTP54" s="545"/>
      <c r="FTQ54" s="544"/>
      <c r="FTR54" s="545"/>
      <c r="FTS54" s="545"/>
      <c r="FTT54" s="545"/>
      <c r="FTU54" s="545"/>
      <c r="FTV54" s="545"/>
      <c r="FTW54" s="545"/>
      <c r="FTX54" s="544"/>
      <c r="FTY54" s="545"/>
      <c r="FTZ54" s="545"/>
      <c r="FUA54" s="545"/>
      <c r="FUB54" s="545"/>
      <c r="FUC54" s="545"/>
      <c r="FUD54" s="545"/>
      <c r="FUE54" s="544"/>
      <c r="FUF54" s="545"/>
      <c r="FUG54" s="545"/>
      <c r="FUH54" s="545"/>
      <c r="FUI54" s="545"/>
      <c r="FUJ54" s="545"/>
      <c r="FUK54" s="545"/>
      <c r="FUL54" s="544"/>
      <c r="FUM54" s="545"/>
      <c r="FUN54" s="545"/>
      <c r="FUO54" s="545"/>
      <c r="FUP54" s="545"/>
      <c r="FUQ54" s="545"/>
      <c r="FUR54" s="545"/>
      <c r="FUS54" s="544"/>
      <c r="FUT54" s="545"/>
      <c r="FUU54" s="545"/>
      <c r="FUV54" s="545"/>
      <c r="FUW54" s="545"/>
      <c r="FUX54" s="545"/>
      <c r="FUY54" s="545"/>
      <c r="FUZ54" s="544"/>
      <c r="FVA54" s="545"/>
      <c r="FVB54" s="545"/>
      <c r="FVC54" s="545"/>
      <c r="FVD54" s="545"/>
      <c r="FVE54" s="545"/>
      <c r="FVF54" s="545"/>
      <c r="FVG54" s="544"/>
      <c r="FVH54" s="545"/>
      <c r="FVI54" s="545"/>
      <c r="FVJ54" s="545"/>
      <c r="FVK54" s="545"/>
      <c r="FVL54" s="545"/>
      <c r="FVM54" s="545"/>
      <c r="FVN54" s="544"/>
      <c r="FVO54" s="545"/>
      <c r="FVP54" s="545"/>
      <c r="FVQ54" s="545"/>
      <c r="FVR54" s="545"/>
      <c r="FVS54" s="545"/>
      <c r="FVT54" s="545"/>
      <c r="FVU54" s="544"/>
      <c r="FVV54" s="545"/>
      <c r="FVW54" s="545"/>
      <c r="FVX54" s="545"/>
      <c r="FVY54" s="545"/>
      <c r="FVZ54" s="545"/>
      <c r="FWA54" s="545"/>
      <c r="FWB54" s="544"/>
      <c r="FWC54" s="545"/>
      <c r="FWD54" s="545"/>
      <c r="FWE54" s="545"/>
      <c r="FWF54" s="545"/>
      <c r="FWG54" s="545"/>
      <c r="FWH54" s="545"/>
      <c r="FWI54" s="544"/>
      <c r="FWJ54" s="545"/>
      <c r="FWK54" s="545"/>
      <c r="FWL54" s="545"/>
      <c r="FWM54" s="545"/>
      <c r="FWN54" s="545"/>
      <c r="FWO54" s="545"/>
      <c r="FWP54" s="544"/>
      <c r="FWQ54" s="545"/>
      <c r="FWR54" s="545"/>
      <c r="FWS54" s="545"/>
      <c r="FWT54" s="545"/>
      <c r="FWU54" s="545"/>
      <c r="FWV54" s="545"/>
      <c r="FWW54" s="544"/>
      <c r="FWX54" s="545"/>
      <c r="FWY54" s="545"/>
      <c r="FWZ54" s="545"/>
      <c r="FXA54" s="545"/>
      <c r="FXB54" s="545"/>
      <c r="FXC54" s="545"/>
      <c r="FXD54" s="544"/>
      <c r="FXE54" s="545"/>
      <c r="FXF54" s="545"/>
      <c r="FXG54" s="545"/>
      <c r="FXH54" s="545"/>
      <c r="FXI54" s="545"/>
      <c r="FXJ54" s="545"/>
      <c r="FXK54" s="544"/>
      <c r="FXL54" s="545"/>
      <c r="FXM54" s="545"/>
      <c r="FXN54" s="545"/>
      <c r="FXO54" s="545"/>
      <c r="FXP54" s="545"/>
      <c r="FXQ54" s="545"/>
      <c r="FXR54" s="544"/>
      <c r="FXS54" s="545"/>
      <c r="FXT54" s="545"/>
      <c r="FXU54" s="545"/>
      <c r="FXV54" s="545"/>
      <c r="FXW54" s="545"/>
      <c r="FXX54" s="545"/>
      <c r="FXY54" s="544"/>
      <c r="FXZ54" s="545"/>
      <c r="FYA54" s="545"/>
      <c r="FYB54" s="545"/>
      <c r="FYC54" s="545"/>
      <c r="FYD54" s="545"/>
      <c r="FYE54" s="545"/>
      <c r="FYF54" s="544"/>
      <c r="FYG54" s="545"/>
      <c r="FYH54" s="545"/>
      <c r="FYI54" s="545"/>
      <c r="FYJ54" s="545"/>
      <c r="FYK54" s="545"/>
      <c r="FYL54" s="545"/>
      <c r="FYM54" s="544"/>
      <c r="FYN54" s="545"/>
      <c r="FYO54" s="545"/>
      <c r="FYP54" s="545"/>
      <c r="FYQ54" s="545"/>
      <c r="FYR54" s="545"/>
      <c r="FYS54" s="545"/>
      <c r="FYT54" s="544"/>
      <c r="FYU54" s="545"/>
      <c r="FYV54" s="545"/>
      <c r="FYW54" s="545"/>
      <c r="FYX54" s="545"/>
      <c r="FYY54" s="545"/>
      <c r="FYZ54" s="545"/>
      <c r="FZA54" s="544"/>
      <c r="FZB54" s="545"/>
      <c r="FZC54" s="545"/>
      <c r="FZD54" s="545"/>
      <c r="FZE54" s="545"/>
      <c r="FZF54" s="545"/>
      <c r="FZG54" s="545"/>
      <c r="FZH54" s="544"/>
      <c r="FZI54" s="545"/>
      <c r="FZJ54" s="545"/>
      <c r="FZK54" s="545"/>
      <c r="FZL54" s="545"/>
      <c r="FZM54" s="545"/>
      <c r="FZN54" s="545"/>
      <c r="FZO54" s="544"/>
      <c r="FZP54" s="545"/>
      <c r="FZQ54" s="545"/>
      <c r="FZR54" s="545"/>
      <c r="FZS54" s="545"/>
      <c r="FZT54" s="545"/>
      <c r="FZU54" s="545"/>
      <c r="FZV54" s="544"/>
      <c r="FZW54" s="545"/>
      <c r="FZX54" s="545"/>
      <c r="FZY54" s="545"/>
      <c r="FZZ54" s="545"/>
      <c r="GAA54" s="545"/>
      <c r="GAB54" s="545"/>
      <c r="GAC54" s="544"/>
      <c r="GAD54" s="545"/>
      <c r="GAE54" s="545"/>
      <c r="GAF54" s="545"/>
      <c r="GAG54" s="545"/>
      <c r="GAH54" s="545"/>
      <c r="GAI54" s="545"/>
      <c r="GAJ54" s="544"/>
      <c r="GAK54" s="545"/>
      <c r="GAL54" s="545"/>
      <c r="GAM54" s="545"/>
      <c r="GAN54" s="545"/>
      <c r="GAO54" s="545"/>
      <c r="GAP54" s="545"/>
      <c r="GAQ54" s="544"/>
      <c r="GAR54" s="545"/>
      <c r="GAS54" s="545"/>
      <c r="GAT54" s="545"/>
      <c r="GAU54" s="545"/>
      <c r="GAV54" s="545"/>
      <c r="GAW54" s="545"/>
      <c r="GAX54" s="544"/>
      <c r="GAY54" s="545"/>
      <c r="GAZ54" s="545"/>
      <c r="GBA54" s="545"/>
      <c r="GBB54" s="545"/>
      <c r="GBC54" s="545"/>
      <c r="GBD54" s="545"/>
      <c r="GBE54" s="544"/>
      <c r="GBF54" s="545"/>
      <c r="GBG54" s="545"/>
      <c r="GBH54" s="545"/>
      <c r="GBI54" s="545"/>
      <c r="GBJ54" s="545"/>
      <c r="GBK54" s="545"/>
      <c r="GBL54" s="544"/>
      <c r="GBM54" s="545"/>
      <c r="GBN54" s="545"/>
      <c r="GBO54" s="545"/>
      <c r="GBP54" s="545"/>
      <c r="GBQ54" s="545"/>
      <c r="GBR54" s="545"/>
      <c r="GBS54" s="544"/>
      <c r="GBT54" s="545"/>
      <c r="GBU54" s="545"/>
      <c r="GBV54" s="545"/>
      <c r="GBW54" s="545"/>
      <c r="GBX54" s="545"/>
      <c r="GBY54" s="545"/>
      <c r="GBZ54" s="544"/>
      <c r="GCA54" s="545"/>
      <c r="GCB54" s="545"/>
      <c r="GCC54" s="545"/>
      <c r="GCD54" s="545"/>
      <c r="GCE54" s="545"/>
      <c r="GCF54" s="545"/>
      <c r="GCG54" s="544"/>
      <c r="GCH54" s="545"/>
      <c r="GCI54" s="545"/>
      <c r="GCJ54" s="545"/>
      <c r="GCK54" s="545"/>
      <c r="GCL54" s="545"/>
      <c r="GCM54" s="545"/>
      <c r="GCN54" s="544"/>
      <c r="GCO54" s="545"/>
      <c r="GCP54" s="545"/>
      <c r="GCQ54" s="545"/>
      <c r="GCR54" s="545"/>
      <c r="GCS54" s="545"/>
      <c r="GCT54" s="545"/>
      <c r="GCU54" s="544"/>
      <c r="GCV54" s="545"/>
      <c r="GCW54" s="545"/>
      <c r="GCX54" s="545"/>
      <c r="GCY54" s="545"/>
      <c r="GCZ54" s="545"/>
      <c r="GDA54" s="545"/>
      <c r="GDB54" s="544"/>
      <c r="GDC54" s="545"/>
      <c r="GDD54" s="545"/>
      <c r="GDE54" s="545"/>
      <c r="GDF54" s="545"/>
      <c r="GDG54" s="545"/>
      <c r="GDH54" s="545"/>
      <c r="GDI54" s="544"/>
      <c r="GDJ54" s="545"/>
      <c r="GDK54" s="545"/>
      <c r="GDL54" s="545"/>
      <c r="GDM54" s="545"/>
      <c r="GDN54" s="545"/>
      <c r="GDO54" s="545"/>
      <c r="GDP54" s="544"/>
      <c r="GDQ54" s="545"/>
      <c r="GDR54" s="545"/>
      <c r="GDS54" s="545"/>
      <c r="GDT54" s="545"/>
      <c r="GDU54" s="545"/>
      <c r="GDV54" s="545"/>
      <c r="GDW54" s="544"/>
      <c r="GDX54" s="545"/>
      <c r="GDY54" s="545"/>
      <c r="GDZ54" s="545"/>
      <c r="GEA54" s="545"/>
      <c r="GEB54" s="545"/>
      <c r="GEC54" s="545"/>
      <c r="GED54" s="544"/>
      <c r="GEE54" s="545"/>
      <c r="GEF54" s="545"/>
      <c r="GEG54" s="545"/>
      <c r="GEH54" s="545"/>
      <c r="GEI54" s="545"/>
      <c r="GEJ54" s="545"/>
      <c r="GEK54" s="544"/>
      <c r="GEL54" s="545"/>
      <c r="GEM54" s="545"/>
      <c r="GEN54" s="545"/>
      <c r="GEO54" s="545"/>
      <c r="GEP54" s="545"/>
      <c r="GEQ54" s="545"/>
      <c r="GER54" s="544"/>
      <c r="GES54" s="545"/>
      <c r="GET54" s="545"/>
      <c r="GEU54" s="545"/>
      <c r="GEV54" s="545"/>
      <c r="GEW54" s="545"/>
      <c r="GEX54" s="545"/>
      <c r="GEY54" s="544"/>
      <c r="GEZ54" s="545"/>
      <c r="GFA54" s="545"/>
      <c r="GFB54" s="545"/>
      <c r="GFC54" s="545"/>
      <c r="GFD54" s="545"/>
      <c r="GFE54" s="545"/>
      <c r="GFF54" s="544"/>
      <c r="GFG54" s="545"/>
      <c r="GFH54" s="545"/>
      <c r="GFI54" s="545"/>
      <c r="GFJ54" s="545"/>
      <c r="GFK54" s="545"/>
      <c r="GFL54" s="545"/>
      <c r="GFM54" s="544"/>
      <c r="GFN54" s="545"/>
      <c r="GFO54" s="545"/>
      <c r="GFP54" s="545"/>
      <c r="GFQ54" s="545"/>
      <c r="GFR54" s="545"/>
      <c r="GFS54" s="545"/>
      <c r="GFT54" s="544"/>
      <c r="GFU54" s="545"/>
      <c r="GFV54" s="545"/>
      <c r="GFW54" s="545"/>
      <c r="GFX54" s="545"/>
      <c r="GFY54" s="545"/>
      <c r="GFZ54" s="545"/>
      <c r="GGA54" s="544"/>
      <c r="GGB54" s="545"/>
      <c r="GGC54" s="545"/>
      <c r="GGD54" s="545"/>
      <c r="GGE54" s="545"/>
      <c r="GGF54" s="545"/>
      <c r="GGG54" s="545"/>
      <c r="GGH54" s="544"/>
      <c r="GGI54" s="545"/>
      <c r="GGJ54" s="545"/>
      <c r="GGK54" s="545"/>
      <c r="GGL54" s="545"/>
      <c r="GGM54" s="545"/>
      <c r="GGN54" s="545"/>
      <c r="GGO54" s="544"/>
      <c r="GGP54" s="545"/>
      <c r="GGQ54" s="545"/>
      <c r="GGR54" s="545"/>
      <c r="GGS54" s="545"/>
      <c r="GGT54" s="545"/>
      <c r="GGU54" s="545"/>
      <c r="GGV54" s="544"/>
      <c r="GGW54" s="545"/>
      <c r="GGX54" s="545"/>
      <c r="GGY54" s="545"/>
      <c r="GGZ54" s="545"/>
      <c r="GHA54" s="545"/>
      <c r="GHB54" s="545"/>
      <c r="GHC54" s="544"/>
      <c r="GHD54" s="545"/>
      <c r="GHE54" s="545"/>
      <c r="GHF54" s="545"/>
      <c r="GHG54" s="545"/>
      <c r="GHH54" s="545"/>
      <c r="GHI54" s="545"/>
      <c r="GHJ54" s="544"/>
      <c r="GHK54" s="545"/>
      <c r="GHL54" s="545"/>
      <c r="GHM54" s="545"/>
      <c r="GHN54" s="545"/>
      <c r="GHO54" s="545"/>
      <c r="GHP54" s="545"/>
      <c r="GHQ54" s="544"/>
      <c r="GHR54" s="545"/>
      <c r="GHS54" s="545"/>
      <c r="GHT54" s="545"/>
      <c r="GHU54" s="545"/>
      <c r="GHV54" s="545"/>
      <c r="GHW54" s="545"/>
      <c r="GHX54" s="544"/>
      <c r="GHY54" s="545"/>
      <c r="GHZ54" s="545"/>
      <c r="GIA54" s="545"/>
      <c r="GIB54" s="545"/>
      <c r="GIC54" s="545"/>
      <c r="GID54" s="545"/>
      <c r="GIE54" s="544"/>
      <c r="GIF54" s="545"/>
      <c r="GIG54" s="545"/>
      <c r="GIH54" s="545"/>
      <c r="GII54" s="545"/>
      <c r="GIJ54" s="545"/>
      <c r="GIK54" s="545"/>
      <c r="GIL54" s="544"/>
      <c r="GIM54" s="545"/>
      <c r="GIN54" s="545"/>
      <c r="GIO54" s="545"/>
      <c r="GIP54" s="545"/>
      <c r="GIQ54" s="545"/>
      <c r="GIR54" s="545"/>
      <c r="GIS54" s="544"/>
      <c r="GIT54" s="545"/>
      <c r="GIU54" s="545"/>
      <c r="GIV54" s="545"/>
      <c r="GIW54" s="545"/>
      <c r="GIX54" s="545"/>
      <c r="GIY54" s="545"/>
      <c r="GIZ54" s="544"/>
      <c r="GJA54" s="545"/>
      <c r="GJB54" s="545"/>
      <c r="GJC54" s="545"/>
      <c r="GJD54" s="545"/>
      <c r="GJE54" s="545"/>
      <c r="GJF54" s="545"/>
      <c r="GJG54" s="544"/>
      <c r="GJH54" s="545"/>
      <c r="GJI54" s="545"/>
      <c r="GJJ54" s="545"/>
      <c r="GJK54" s="545"/>
      <c r="GJL54" s="545"/>
      <c r="GJM54" s="545"/>
      <c r="GJN54" s="544"/>
      <c r="GJO54" s="545"/>
      <c r="GJP54" s="545"/>
      <c r="GJQ54" s="545"/>
      <c r="GJR54" s="545"/>
      <c r="GJS54" s="545"/>
      <c r="GJT54" s="545"/>
      <c r="GJU54" s="544"/>
      <c r="GJV54" s="545"/>
      <c r="GJW54" s="545"/>
      <c r="GJX54" s="545"/>
      <c r="GJY54" s="545"/>
      <c r="GJZ54" s="545"/>
      <c r="GKA54" s="545"/>
      <c r="GKB54" s="544"/>
      <c r="GKC54" s="545"/>
      <c r="GKD54" s="545"/>
      <c r="GKE54" s="545"/>
      <c r="GKF54" s="545"/>
      <c r="GKG54" s="545"/>
      <c r="GKH54" s="545"/>
      <c r="GKI54" s="544"/>
      <c r="GKJ54" s="545"/>
      <c r="GKK54" s="545"/>
      <c r="GKL54" s="545"/>
      <c r="GKM54" s="545"/>
      <c r="GKN54" s="545"/>
      <c r="GKO54" s="545"/>
      <c r="GKP54" s="544"/>
      <c r="GKQ54" s="545"/>
      <c r="GKR54" s="545"/>
      <c r="GKS54" s="545"/>
      <c r="GKT54" s="545"/>
      <c r="GKU54" s="545"/>
      <c r="GKV54" s="545"/>
      <c r="GKW54" s="544"/>
      <c r="GKX54" s="545"/>
      <c r="GKY54" s="545"/>
      <c r="GKZ54" s="545"/>
      <c r="GLA54" s="545"/>
      <c r="GLB54" s="545"/>
      <c r="GLC54" s="545"/>
      <c r="GLD54" s="544"/>
      <c r="GLE54" s="545"/>
      <c r="GLF54" s="545"/>
      <c r="GLG54" s="545"/>
      <c r="GLH54" s="545"/>
      <c r="GLI54" s="545"/>
      <c r="GLJ54" s="545"/>
      <c r="GLK54" s="544"/>
      <c r="GLL54" s="545"/>
      <c r="GLM54" s="545"/>
      <c r="GLN54" s="545"/>
      <c r="GLO54" s="545"/>
      <c r="GLP54" s="545"/>
      <c r="GLQ54" s="545"/>
      <c r="GLR54" s="544"/>
      <c r="GLS54" s="545"/>
      <c r="GLT54" s="545"/>
      <c r="GLU54" s="545"/>
      <c r="GLV54" s="545"/>
      <c r="GLW54" s="545"/>
      <c r="GLX54" s="545"/>
      <c r="GLY54" s="544"/>
      <c r="GLZ54" s="545"/>
      <c r="GMA54" s="545"/>
      <c r="GMB54" s="545"/>
      <c r="GMC54" s="545"/>
      <c r="GMD54" s="545"/>
      <c r="GME54" s="545"/>
      <c r="GMF54" s="544"/>
      <c r="GMG54" s="545"/>
      <c r="GMH54" s="545"/>
      <c r="GMI54" s="545"/>
      <c r="GMJ54" s="545"/>
      <c r="GMK54" s="545"/>
      <c r="GML54" s="545"/>
      <c r="GMM54" s="544"/>
      <c r="GMN54" s="545"/>
      <c r="GMO54" s="545"/>
      <c r="GMP54" s="545"/>
      <c r="GMQ54" s="545"/>
      <c r="GMR54" s="545"/>
      <c r="GMS54" s="545"/>
      <c r="GMT54" s="544"/>
      <c r="GMU54" s="545"/>
      <c r="GMV54" s="545"/>
      <c r="GMW54" s="545"/>
      <c r="GMX54" s="545"/>
      <c r="GMY54" s="545"/>
      <c r="GMZ54" s="545"/>
      <c r="GNA54" s="544"/>
      <c r="GNB54" s="545"/>
      <c r="GNC54" s="545"/>
      <c r="GND54" s="545"/>
      <c r="GNE54" s="545"/>
      <c r="GNF54" s="545"/>
      <c r="GNG54" s="545"/>
      <c r="GNH54" s="544"/>
      <c r="GNI54" s="545"/>
      <c r="GNJ54" s="545"/>
      <c r="GNK54" s="545"/>
      <c r="GNL54" s="545"/>
      <c r="GNM54" s="545"/>
      <c r="GNN54" s="545"/>
      <c r="GNO54" s="544"/>
      <c r="GNP54" s="545"/>
      <c r="GNQ54" s="545"/>
      <c r="GNR54" s="545"/>
      <c r="GNS54" s="545"/>
      <c r="GNT54" s="545"/>
      <c r="GNU54" s="545"/>
      <c r="GNV54" s="544"/>
      <c r="GNW54" s="545"/>
      <c r="GNX54" s="545"/>
      <c r="GNY54" s="545"/>
      <c r="GNZ54" s="545"/>
      <c r="GOA54" s="545"/>
      <c r="GOB54" s="545"/>
      <c r="GOC54" s="544"/>
      <c r="GOD54" s="545"/>
      <c r="GOE54" s="545"/>
      <c r="GOF54" s="545"/>
      <c r="GOG54" s="545"/>
      <c r="GOH54" s="545"/>
      <c r="GOI54" s="545"/>
      <c r="GOJ54" s="544"/>
      <c r="GOK54" s="545"/>
      <c r="GOL54" s="545"/>
      <c r="GOM54" s="545"/>
      <c r="GON54" s="545"/>
      <c r="GOO54" s="545"/>
      <c r="GOP54" s="545"/>
      <c r="GOQ54" s="544"/>
      <c r="GOR54" s="545"/>
      <c r="GOS54" s="545"/>
      <c r="GOT54" s="545"/>
      <c r="GOU54" s="545"/>
      <c r="GOV54" s="545"/>
      <c r="GOW54" s="545"/>
      <c r="GOX54" s="544"/>
      <c r="GOY54" s="545"/>
      <c r="GOZ54" s="545"/>
      <c r="GPA54" s="545"/>
      <c r="GPB54" s="545"/>
      <c r="GPC54" s="545"/>
      <c r="GPD54" s="545"/>
      <c r="GPE54" s="544"/>
      <c r="GPF54" s="545"/>
      <c r="GPG54" s="545"/>
      <c r="GPH54" s="545"/>
      <c r="GPI54" s="545"/>
      <c r="GPJ54" s="545"/>
      <c r="GPK54" s="545"/>
      <c r="GPL54" s="544"/>
      <c r="GPM54" s="545"/>
      <c r="GPN54" s="545"/>
      <c r="GPO54" s="545"/>
      <c r="GPP54" s="545"/>
      <c r="GPQ54" s="545"/>
      <c r="GPR54" s="545"/>
      <c r="GPS54" s="544"/>
      <c r="GPT54" s="545"/>
      <c r="GPU54" s="545"/>
      <c r="GPV54" s="545"/>
      <c r="GPW54" s="545"/>
      <c r="GPX54" s="545"/>
      <c r="GPY54" s="545"/>
      <c r="GPZ54" s="544"/>
      <c r="GQA54" s="545"/>
      <c r="GQB54" s="545"/>
      <c r="GQC54" s="545"/>
      <c r="GQD54" s="545"/>
      <c r="GQE54" s="545"/>
      <c r="GQF54" s="545"/>
      <c r="GQG54" s="544"/>
      <c r="GQH54" s="545"/>
      <c r="GQI54" s="545"/>
      <c r="GQJ54" s="545"/>
      <c r="GQK54" s="545"/>
      <c r="GQL54" s="545"/>
      <c r="GQM54" s="545"/>
      <c r="GQN54" s="544"/>
      <c r="GQO54" s="545"/>
      <c r="GQP54" s="545"/>
      <c r="GQQ54" s="545"/>
      <c r="GQR54" s="545"/>
      <c r="GQS54" s="545"/>
      <c r="GQT54" s="545"/>
      <c r="GQU54" s="544"/>
      <c r="GQV54" s="545"/>
      <c r="GQW54" s="545"/>
      <c r="GQX54" s="545"/>
      <c r="GQY54" s="545"/>
      <c r="GQZ54" s="545"/>
      <c r="GRA54" s="545"/>
      <c r="GRB54" s="544"/>
      <c r="GRC54" s="545"/>
      <c r="GRD54" s="545"/>
      <c r="GRE54" s="545"/>
      <c r="GRF54" s="545"/>
      <c r="GRG54" s="545"/>
      <c r="GRH54" s="545"/>
      <c r="GRI54" s="544"/>
      <c r="GRJ54" s="545"/>
      <c r="GRK54" s="545"/>
      <c r="GRL54" s="545"/>
      <c r="GRM54" s="545"/>
      <c r="GRN54" s="545"/>
      <c r="GRO54" s="545"/>
      <c r="GRP54" s="544"/>
      <c r="GRQ54" s="545"/>
      <c r="GRR54" s="545"/>
      <c r="GRS54" s="545"/>
      <c r="GRT54" s="545"/>
      <c r="GRU54" s="545"/>
      <c r="GRV54" s="545"/>
      <c r="GRW54" s="544"/>
      <c r="GRX54" s="545"/>
      <c r="GRY54" s="545"/>
      <c r="GRZ54" s="545"/>
      <c r="GSA54" s="545"/>
      <c r="GSB54" s="545"/>
      <c r="GSC54" s="545"/>
      <c r="GSD54" s="544"/>
      <c r="GSE54" s="545"/>
      <c r="GSF54" s="545"/>
      <c r="GSG54" s="545"/>
      <c r="GSH54" s="545"/>
      <c r="GSI54" s="545"/>
      <c r="GSJ54" s="545"/>
      <c r="GSK54" s="544"/>
      <c r="GSL54" s="545"/>
      <c r="GSM54" s="545"/>
      <c r="GSN54" s="545"/>
      <c r="GSO54" s="545"/>
      <c r="GSP54" s="545"/>
      <c r="GSQ54" s="545"/>
      <c r="GSR54" s="544"/>
      <c r="GSS54" s="545"/>
      <c r="GST54" s="545"/>
      <c r="GSU54" s="545"/>
      <c r="GSV54" s="545"/>
      <c r="GSW54" s="545"/>
      <c r="GSX54" s="545"/>
      <c r="GSY54" s="544"/>
      <c r="GSZ54" s="545"/>
      <c r="GTA54" s="545"/>
      <c r="GTB54" s="545"/>
      <c r="GTC54" s="545"/>
      <c r="GTD54" s="545"/>
      <c r="GTE54" s="545"/>
      <c r="GTF54" s="544"/>
      <c r="GTG54" s="545"/>
      <c r="GTH54" s="545"/>
      <c r="GTI54" s="545"/>
      <c r="GTJ54" s="545"/>
      <c r="GTK54" s="545"/>
      <c r="GTL54" s="545"/>
      <c r="GTM54" s="544"/>
      <c r="GTN54" s="545"/>
      <c r="GTO54" s="545"/>
      <c r="GTP54" s="545"/>
      <c r="GTQ54" s="545"/>
      <c r="GTR54" s="545"/>
      <c r="GTS54" s="545"/>
      <c r="GTT54" s="544"/>
      <c r="GTU54" s="545"/>
      <c r="GTV54" s="545"/>
      <c r="GTW54" s="545"/>
      <c r="GTX54" s="545"/>
      <c r="GTY54" s="545"/>
      <c r="GTZ54" s="545"/>
      <c r="GUA54" s="544"/>
      <c r="GUB54" s="545"/>
      <c r="GUC54" s="545"/>
      <c r="GUD54" s="545"/>
      <c r="GUE54" s="545"/>
      <c r="GUF54" s="545"/>
      <c r="GUG54" s="545"/>
      <c r="GUH54" s="544"/>
      <c r="GUI54" s="545"/>
      <c r="GUJ54" s="545"/>
      <c r="GUK54" s="545"/>
      <c r="GUL54" s="545"/>
      <c r="GUM54" s="545"/>
      <c r="GUN54" s="545"/>
      <c r="GUO54" s="544"/>
      <c r="GUP54" s="545"/>
      <c r="GUQ54" s="545"/>
      <c r="GUR54" s="545"/>
      <c r="GUS54" s="545"/>
      <c r="GUT54" s="545"/>
      <c r="GUU54" s="545"/>
      <c r="GUV54" s="544"/>
      <c r="GUW54" s="545"/>
      <c r="GUX54" s="545"/>
      <c r="GUY54" s="545"/>
      <c r="GUZ54" s="545"/>
      <c r="GVA54" s="545"/>
      <c r="GVB54" s="545"/>
      <c r="GVC54" s="544"/>
      <c r="GVD54" s="545"/>
      <c r="GVE54" s="545"/>
      <c r="GVF54" s="545"/>
      <c r="GVG54" s="545"/>
      <c r="GVH54" s="545"/>
      <c r="GVI54" s="545"/>
      <c r="GVJ54" s="544"/>
      <c r="GVK54" s="545"/>
      <c r="GVL54" s="545"/>
      <c r="GVM54" s="545"/>
      <c r="GVN54" s="545"/>
      <c r="GVO54" s="545"/>
      <c r="GVP54" s="545"/>
      <c r="GVQ54" s="544"/>
      <c r="GVR54" s="545"/>
      <c r="GVS54" s="545"/>
      <c r="GVT54" s="545"/>
      <c r="GVU54" s="545"/>
      <c r="GVV54" s="545"/>
      <c r="GVW54" s="545"/>
      <c r="GVX54" s="544"/>
      <c r="GVY54" s="545"/>
      <c r="GVZ54" s="545"/>
      <c r="GWA54" s="545"/>
      <c r="GWB54" s="545"/>
      <c r="GWC54" s="545"/>
      <c r="GWD54" s="545"/>
      <c r="GWE54" s="544"/>
      <c r="GWF54" s="545"/>
      <c r="GWG54" s="545"/>
      <c r="GWH54" s="545"/>
      <c r="GWI54" s="545"/>
      <c r="GWJ54" s="545"/>
      <c r="GWK54" s="545"/>
      <c r="GWL54" s="544"/>
      <c r="GWM54" s="545"/>
      <c r="GWN54" s="545"/>
      <c r="GWO54" s="545"/>
      <c r="GWP54" s="545"/>
      <c r="GWQ54" s="545"/>
      <c r="GWR54" s="545"/>
      <c r="GWS54" s="544"/>
      <c r="GWT54" s="545"/>
      <c r="GWU54" s="545"/>
      <c r="GWV54" s="545"/>
      <c r="GWW54" s="545"/>
      <c r="GWX54" s="545"/>
      <c r="GWY54" s="545"/>
      <c r="GWZ54" s="544"/>
      <c r="GXA54" s="545"/>
      <c r="GXB54" s="545"/>
      <c r="GXC54" s="545"/>
      <c r="GXD54" s="545"/>
      <c r="GXE54" s="545"/>
      <c r="GXF54" s="545"/>
      <c r="GXG54" s="544"/>
      <c r="GXH54" s="545"/>
      <c r="GXI54" s="545"/>
      <c r="GXJ54" s="545"/>
      <c r="GXK54" s="545"/>
      <c r="GXL54" s="545"/>
      <c r="GXM54" s="545"/>
      <c r="GXN54" s="544"/>
      <c r="GXO54" s="545"/>
      <c r="GXP54" s="545"/>
      <c r="GXQ54" s="545"/>
      <c r="GXR54" s="545"/>
      <c r="GXS54" s="545"/>
      <c r="GXT54" s="545"/>
      <c r="GXU54" s="544"/>
      <c r="GXV54" s="545"/>
      <c r="GXW54" s="545"/>
      <c r="GXX54" s="545"/>
      <c r="GXY54" s="545"/>
      <c r="GXZ54" s="545"/>
      <c r="GYA54" s="545"/>
      <c r="GYB54" s="544"/>
      <c r="GYC54" s="545"/>
      <c r="GYD54" s="545"/>
      <c r="GYE54" s="545"/>
      <c r="GYF54" s="545"/>
      <c r="GYG54" s="545"/>
      <c r="GYH54" s="545"/>
      <c r="GYI54" s="544"/>
      <c r="GYJ54" s="545"/>
      <c r="GYK54" s="545"/>
      <c r="GYL54" s="545"/>
      <c r="GYM54" s="545"/>
      <c r="GYN54" s="545"/>
      <c r="GYO54" s="545"/>
      <c r="GYP54" s="544"/>
      <c r="GYQ54" s="545"/>
      <c r="GYR54" s="545"/>
      <c r="GYS54" s="545"/>
      <c r="GYT54" s="545"/>
      <c r="GYU54" s="545"/>
      <c r="GYV54" s="545"/>
      <c r="GYW54" s="544"/>
      <c r="GYX54" s="545"/>
      <c r="GYY54" s="545"/>
      <c r="GYZ54" s="545"/>
      <c r="GZA54" s="545"/>
      <c r="GZB54" s="545"/>
      <c r="GZC54" s="545"/>
      <c r="GZD54" s="544"/>
      <c r="GZE54" s="545"/>
      <c r="GZF54" s="545"/>
      <c r="GZG54" s="545"/>
      <c r="GZH54" s="545"/>
      <c r="GZI54" s="545"/>
      <c r="GZJ54" s="545"/>
      <c r="GZK54" s="544"/>
      <c r="GZL54" s="545"/>
      <c r="GZM54" s="545"/>
      <c r="GZN54" s="545"/>
      <c r="GZO54" s="545"/>
      <c r="GZP54" s="545"/>
      <c r="GZQ54" s="545"/>
      <c r="GZR54" s="544"/>
      <c r="GZS54" s="545"/>
      <c r="GZT54" s="545"/>
      <c r="GZU54" s="545"/>
      <c r="GZV54" s="545"/>
      <c r="GZW54" s="545"/>
      <c r="GZX54" s="545"/>
      <c r="GZY54" s="544"/>
      <c r="GZZ54" s="545"/>
      <c r="HAA54" s="545"/>
      <c r="HAB54" s="545"/>
      <c r="HAC54" s="545"/>
      <c r="HAD54" s="545"/>
      <c r="HAE54" s="545"/>
      <c r="HAF54" s="544"/>
      <c r="HAG54" s="545"/>
      <c r="HAH54" s="545"/>
      <c r="HAI54" s="545"/>
      <c r="HAJ54" s="545"/>
      <c r="HAK54" s="545"/>
      <c r="HAL54" s="545"/>
      <c r="HAM54" s="544"/>
      <c r="HAN54" s="545"/>
      <c r="HAO54" s="545"/>
      <c r="HAP54" s="545"/>
      <c r="HAQ54" s="545"/>
      <c r="HAR54" s="545"/>
      <c r="HAS54" s="545"/>
      <c r="HAT54" s="544"/>
      <c r="HAU54" s="545"/>
      <c r="HAV54" s="545"/>
      <c r="HAW54" s="545"/>
      <c r="HAX54" s="545"/>
      <c r="HAY54" s="545"/>
      <c r="HAZ54" s="545"/>
      <c r="HBA54" s="544"/>
      <c r="HBB54" s="545"/>
      <c r="HBC54" s="545"/>
      <c r="HBD54" s="545"/>
      <c r="HBE54" s="545"/>
      <c r="HBF54" s="545"/>
      <c r="HBG54" s="545"/>
      <c r="HBH54" s="544"/>
      <c r="HBI54" s="545"/>
      <c r="HBJ54" s="545"/>
      <c r="HBK54" s="545"/>
      <c r="HBL54" s="545"/>
      <c r="HBM54" s="545"/>
      <c r="HBN54" s="545"/>
      <c r="HBO54" s="544"/>
      <c r="HBP54" s="545"/>
      <c r="HBQ54" s="545"/>
      <c r="HBR54" s="545"/>
      <c r="HBS54" s="545"/>
      <c r="HBT54" s="545"/>
      <c r="HBU54" s="545"/>
      <c r="HBV54" s="544"/>
      <c r="HBW54" s="545"/>
      <c r="HBX54" s="545"/>
      <c r="HBY54" s="545"/>
      <c r="HBZ54" s="545"/>
      <c r="HCA54" s="545"/>
      <c r="HCB54" s="545"/>
      <c r="HCC54" s="544"/>
      <c r="HCD54" s="545"/>
      <c r="HCE54" s="545"/>
      <c r="HCF54" s="545"/>
      <c r="HCG54" s="545"/>
      <c r="HCH54" s="545"/>
      <c r="HCI54" s="545"/>
      <c r="HCJ54" s="544"/>
      <c r="HCK54" s="545"/>
      <c r="HCL54" s="545"/>
      <c r="HCM54" s="545"/>
      <c r="HCN54" s="545"/>
      <c r="HCO54" s="545"/>
      <c r="HCP54" s="545"/>
      <c r="HCQ54" s="544"/>
      <c r="HCR54" s="545"/>
      <c r="HCS54" s="545"/>
      <c r="HCT54" s="545"/>
      <c r="HCU54" s="545"/>
      <c r="HCV54" s="545"/>
      <c r="HCW54" s="545"/>
      <c r="HCX54" s="544"/>
      <c r="HCY54" s="545"/>
      <c r="HCZ54" s="545"/>
      <c r="HDA54" s="545"/>
      <c r="HDB54" s="545"/>
      <c r="HDC54" s="545"/>
      <c r="HDD54" s="545"/>
      <c r="HDE54" s="544"/>
      <c r="HDF54" s="545"/>
      <c r="HDG54" s="545"/>
      <c r="HDH54" s="545"/>
      <c r="HDI54" s="545"/>
      <c r="HDJ54" s="545"/>
      <c r="HDK54" s="545"/>
      <c r="HDL54" s="544"/>
      <c r="HDM54" s="545"/>
      <c r="HDN54" s="545"/>
      <c r="HDO54" s="545"/>
      <c r="HDP54" s="545"/>
      <c r="HDQ54" s="545"/>
      <c r="HDR54" s="545"/>
      <c r="HDS54" s="544"/>
      <c r="HDT54" s="545"/>
      <c r="HDU54" s="545"/>
      <c r="HDV54" s="545"/>
      <c r="HDW54" s="545"/>
      <c r="HDX54" s="545"/>
      <c r="HDY54" s="545"/>
      <c r="HDZ54" s="544"/>
      <c r="HEA54" s="545"/>
      <c r="HEB54" s="545"/>
      <c r="HEC54" s="545"/>
      <c r="HED54" s="545"/>
      <c r="HEE54" s="545"/>
      <c r="HEF54" s="545"/>
      <c r="HEG54" s="544"/>
      <c r="HEH54" s="545"/>
      <c r="HEI54" s="545"/>
      <c r="HEJ54" s="545"/>
      <c r="HEK54" s="545"/>
      <c r="HEL54" s="545"/>
      <c r="HEM54" s="545"/>
      <c r="HEN54" s="544"/>
      <c r="HEO54" s="545"/>
      <c r="HEP54" s="545"/>
      <c r="HEQ54" s="545"/>
      <c r="HER54" s="545"/>
      <c r="HES54" s="545"/>
      <c r="HET54" s="545"/>
      <c r="HEU54" s="544"/>
      <c r="HEV54" s="545"/>
      <c r="HEW54" s="545"/>
      <c r="HEX54" s="545"/>
      <c r="HEY54" s="545"/>
      <c r="HEZ54" s="545"/>
      <c r="HFA54" s="545"/>
      <c r="HFB54" s="544"/>
      <c r="HFC54" s="545"/>
      <c r="HFD54" s="545"/>
      <c r="HFE54" s="545"/>
      <c r="HFF54" s="545"/>
      <c r="HFG54" s="545"/>
      <c r="HFH54" s="545"/>
      <c r="HFI54" s="544"/>
      <c r="HFJ54" s="545"/>
      <c r="HFK54" s="545"/>
      <c r="HFL54" s="545"/>
      <c r="HFM54" s="545"/>
      <c r="HFN54" s="545"/>
      <c r="HFO54" s="545"/>
      <c r="HFP54" s="544"/>
      <c r="HFQ54" s="545"/>
      <c r="HFR54" s="545"/>
      <c r="HFS54" s="545"/>
      <c r="HFT54" s="545"/>
      <c r="HFU54" s="545"/>
      <c r="HFV54" s="545"/>
      <c r="HFW54" s="544"/>
      <c r="HFX54" s="545"/>
      <c r="HFY54" s="545"/>
      <c r="HFZ54" s="545"/>
      <c r="HGA54" s="545"/>
      <c r="HGB54" s="545"/>
      <c r="HGC54" s="545"/>
      <c r="HGD54" s="544"/>
      <c r="HGE54" s="545"/>
      <c r="HGF54" s="545"/>
      <c r="HGG54" s="545"/>
      <c r="HGH54" s="545"/>
      <c r="HGI54" s="545"/>
      <c r="HGJ54" s="545"/>
      <c r="HGK54" s="544"/>
      <c r="HGL54" s="545"/>
      <c r="HGM54" s="545"/>
      <c r="HGN54" s="545"/>
      <c r="HGO54" s="545"/>
      <c r="HGP54" s="545"/>
      <c r="HGQ54" s="545"/>
      <c r="HGR54" s="544"/>
      <c r="HGS54" s="545"/>
      <c r="HGT54" s="545"/>
      <c r="HGU54" s="545"/>
      <c r="HGV54" s="545"/>
      <c r="HGW54" s="545"/>
      <c r="HGX54" s="545"/>
      <c r="HGY54" s="544"/>
      <c r="HGZ54" s="545"/>
      <c r="HHA54" s="545"/>
      <c r="HHB54" s="545"/>
      <c r="HHC54" s="545"/>
      <c r="HHD54" s="545"/>
      <c r="HHE54" s="545"/>
      <c r="HHF54" s="544"/>
      <c r="HHG54" s="545"/>
      <c r="HHH54" s="545"/>
      <c r="HHI54" s="545"/>
      <c r="HHJ54" s="545"/>
      <c r="HHK54" s="545"/>
      <c r="HHL54" s="545"/>
      <c r="HHM54" s="544"/>
      <c r="HHN54" s="545"/>
      <c r="HHO54" s="545"/>
      <c r="HHP54" s="545"/>
      <c r="HHQ54" s="545"/>
      <c r="HHR54" s="545"/>
      <c r="HHS54" s="545"/>
      <c r="HHT54" s="544"/>
      <c r="HHU54" s="545"/>
      <c r="HHV54" s="545"/>
      <c r="HHW54" s="545"/>
      <c r="HHX54" s="545"/>
      <c r="HHY54" s="545"/>
      <c r="HHZ54" s="545"/>
      <c r="HIA54" s="544"/>
      <c r="HIB54" s="545"/>
      <c r="HIC54" s="545"/>
      <c r="HID54" s="545"/>
      <c r="HIE54" s="545"/>
      <c r="HIF54" s="545"/>
      <c r="HIG54" s="545"/>
      <c r="HIH54" s="544"/>
      <c r="HII54" s="545"/>
      <c r="HIJ54" s="545"/>
      <c r="HIK54" s="545"/>
      <c r="HIL54" s="545"/>
      <c r="HIM54" s="545"/>
      <c r="HIN54" s="545"/>
      <c r="HIO54" s="544"/>
      <c r="HIP54" s="545"/>
      <c r="HIQ54" s="545"/>
      <c r="HIR54" s="545"/>
      <c r="HIS54" s="545"/>
      <c r="HIT54" s="545"/>
      <c r="HIU54" s="545"/>
      <c r="HIV54" s="544"/>
      <c r="HIW54" s="545"/>
      <c r="HIX54" s="545"/>
      <c r="HIY54" s="545"/>
      <c r="HIZ54" s="545"/>
      <c r="HJA54" s="545"/>
      <c r="HJB54" s="545"/>
      <c r="HJC54" s="544"/>
      <c r="HJD54" s="545"/>
      <c r="HJE54" s="545"/>
      <c r="HJF54" s="545"/>
      <c r="HJG54" s="545"/>
      <c r="HJH54" s="545"/>
      <c r="HJI54" s="545"/>
      <c r="HJJ54" s="544"/>
      <c r="HJK54" s="545"/>
      <c r="HJL54" s="545"/>
      <c r="HJM54" s="545"/>
      <c r="HJN54" s="545"/>
      <c r="HJO54" s="545"/>
      <c r="HJP54" s="545"/>
      <c r="HJQ54" s="544"/>
      <c r="HJR54" s="545"/>
      <c r="HJS54" s="545"/>
      <c r="HJT54" s="545"/>
      <c r="HJU54" s="545"/>
      <c r="HJV54" s="545"/>
      <c r="HJW54" s="545"/>
      <c r="HJX54" s="544"/>
      <c r="HJY54" s="545"/>
      <c r="HJZ54" s="545"/>
      <c r="HKA54" s="545"/>
      <c r="HKB54" s="545"/>
      <c r="HKC54" s="545"/>
      <c r="HKD54" s="545"/>
      <c r="HKE54" s="544"/>
      <c r="HKF54" s="545"/>
      <c r="HKG54" s="545"/>
      <c r="HKH54" s="545"/>
      <c r="HKI54" s="545"/>
      <c r="HKJ54" s="545"/>
      <c r="HKK54" s="545"/>
      <c r="HKL54" s="544"/>
      <c r="HKM54" s="545"/>
      <c r="HKN54" s="545"/>
      <c r="HKO54" s="545"/>
      <c r="HKP54" s="545"/>
      <c r="HKQ54" s="545"/>
      <c r="HKR54" s="545"/>
      <c r="HKS54" s="544"/>
      <c r="HKT54" s="545"/>
      <c r="HKU54" s="545"/>
      <c r="HKV54" s="545"/>
      <c r="HKW54" s="545"/>
      <c r="HKX54" s="545"/>
      <c r="HKY54" s="545"/>
      <c r="HKZ54" s="544"/>
      <c r="HLA54" s="545"/>
      <c r="HLB54" s="545"/>
      <c r="HLC54" s="545"/>
      <c r="HLD54" s="545"/>
      <c r="HLE54" s="545"/>
      <c r="HLF54" s="545"/>
      <c r="HLG54" s="544"/>
      <c r="HLH54" s="545"/>
      <c r="HLI54" s="545"/>
      <c r="HLJ54" s="545"/>
      <c r="HLK54" s="545"/>
      <c r="HLL54" s="545"/>
      <c r="HLM54" s="545"/>
      <c r="HLN54" s="544"/>
      <c r="HLO54" s="545"/>
      <c r="HLP54" s="545"/>
      <c r="HLQ54" s="545"/>
      <c r="HLR54" s="545"/>
      <c r="HLS54" s="545"/>
      <c r="HLT54" s="545"/>
      <c r="HLU54" s="544"/>
      <c r="HLV54" s="545"/>
      <c r="HLW54" s="545"/>
      <c r="HLX54" s="545"/>
      <c r="HLY54" s="545"/>
      <c r="HLZ54" s="545"/>
      <c r="HMA54" s="545"/>
      <c r="HMB54" s="544"/>
      <c r="HMC54" s="545"/>
      <c r="HMD54" s="545"/>
      <c r="HME54" s="545"/>
      <c r="HMF54" s="545"/>
      <c r="HMG54" s="545"/>
      <c r="HMH54" s="545"/>
      <c r="HMI54" s="544"/>
      <c r="HMJ54" s="545"/>
      <c r="HMK54" s="545"/>
      <c r="HML54" s="545"/>
      <c r="HMM54" s="545"/>
      <c r="HMN54" s="545"/>
      <c r="HMO54" s="545"/>
      <c r="HMP54" s="544"/>
      <c r="HMQ54" s="545"/>
      <c r="HMR54" s="545"/>
      <c r="HMS54" s="545"/>
      <c r="HMT54" s="545"/>
      <c r="HMU54" s="545"/>
      <c r="HMV54" s="545"/>
      <c r="HMW54" s="544"/>
      <c r="HMX54" s="545"/>
      <c r="HMY54" s="545"/>
      <c r="HMZ54" s="545"/>
      <c r="HNA54" s="545"/>
      <c r="HNB54" s="545"/>
      <c r="HNC54" s="545"/>
      <c r="HND54" s="544"/>
      <c r="HNE54" s="545"/>
      <c r="HNF54" s="545"/>
      <c r="HNG54" s="545"/>
      <c r="HNH54" s="545"/>
      <c r="HNI54" s="545"/>
      <c r="HNJ54" s="545"/>
      <c r="HNK54" s="544"/>
      <c r="HNL54" s="545"/>
      <c r="HNM54" s="545"/>
      <c r="HNN54" s="545"/>
      <c r="HNO54" s="545"/>
      <c r="HNP54" s="545"/>
      <c r="HNQ54" s="545"/>
      <c r="HNR54" s="544"/>
      <c r="HNS54" s="545"/>
      <c r="HNT54" s="545"/>
      <c r="HNU54" s="545"/>
      <c r="HNV54" s="545"/>
      <c r="HNW54" s="545"/>
      <c r="HNX54" s="545"/>
      <c r="HNY54" s="544"/>
      <c r="HNZ54" s="545"/>
      <c r="HOA54" s="545"/>
      <c r="HOB54" s="545"/>
      <c r="HOC54" s="545"/>
      <c r="HOD54" s="545"/>
      <c r="HOE54" s="545"/>
      <c r="HOF54" s="544"/>
      <c r="HOG54" s="545"/>
      <c r="HOH54" s="545"/>
      <c r="HOI54" s="545"/>
      <c r="HOJ54" s="545"/>
      <c r="HOK54" s="545"/>
      <c r="HOL54" s="545"/>
      <c r="HOM54" s="544"/>
      <c r="HON54" s="545"/>
      <c r="HOO54" s="545"/>
      <c r="HOP54" s="545"/>
      <c r="HOQ54" s="545"/>
      <c r="HOR54" s="545"/>
      <c r="HOS54" s="545"/>
      <c r="HOT54" s="544"/>
      <c r="HOU54" s="545"/>
      <c r="HOV54" s="545"/>
      <c r="HOW54" s="545"/>
      <c r="HOX54" s="545"/>
      <c r="HOY54" s="545"/>
      <c r="HOZ54" s="545"/>
      <c r="HPA54" s="544"/>
      <c r="HPB54" s="545"/>
      <c r="HPC54" s="545"/>
      <c r="HPD54" s="545"/>
      <c r="HPE54" s="545"/>
      <c r="HPF54" s="545"/>
      <c r="HPG54" s="545"/>
      <c r="HPH54" s="544"/>
      <c r="HPI54" s="545"/>
      <c r="HPJ54" s="545"/>
      <c r="HPK54" s="545"/>
      <c r="HPL54" s="545"/>
      <c r="HPM54" s="545"/>
      <c r="HPN54" s="545"/>
      <c r="HPO54" s="544"/>
      <c r="HPP54" s="545"/>
      <c r="HPQ54" s="545"/>
      <c r="HPR54" s="545"/>
      <c r="HPS54" s="545"/>
      <c r="HPT54" s="545"/>
      <c r="HPU54" s="545"/>
      <c r="HPV54" s="544"/>
      <c r="HPW54" s="545"/>
      <c r="HPX54" s="545"/>
      <c r="HPY54" s="545"/>
      <c r="HPZ54" s="545"/>
      <c r="HQA54" s="545"/>
      <c r="HQB54" s="545"/>
      <c r="HQC54" s="544"/>
      <c r="HQD54" s="545"/>
      <c r="HQE54" s="545"/>
      <c r="HQF54" s="545"/>
      <c r="HQG54" s="545"/>
      <c r="HQH54" s="545"/>
      <c r="HQI54" s="545"/>
      <c r="HQJ54" s="544"/>
      <c r="HQK54" s="545"/>
      <c r="HQL54" s="545"/>
      <c r="HQM54" s="545"/>
      <c r="HQN54" s="545"/>
      <c r="HQO54" s="545"/>
      <c r="HQP54" s="545"/>
      <c r="HQQ54" s="544"/>
      <c r="HQR54" s="545"/>
      <c r="HQS54" s="545"/>
      <c r="HQT54" s="545"/>
      <c r="HQU54" s="545"/>
      <c r="HQV54" s="545"/>
      <c r="HQW54" s="545"/>
      <c r="HQX54" s="544"/>
      <c r="HQY54" s="545"/>
      <c r="HQZ54" s="545"/>
      <c r="HRA54" s="545"/>
      <c r="HRB54" s="545"/>
      <c r="HRC54" s="545"/>
      <c r="HRD54" s="545"/>
      <c r="HRE54" s="544"/>
      <c r="HRF54" s="545"/>
      <c r="HRG54" s="545"/>
      <c r="HRH54" s="545"/>
      <c r="HRI54" s="545"/>
      <c r="HRJ54" s="545"/>
      <c r="HRK54" s="545"/>
      <c r="HRL54" s="544"/>
      <c r="HRM54" s="545"/>
      <c r="HRN54" s="545"/>
      <c r="HRO54" s="545"/>
      <c r="HRP54" s="545"/>
      <c r="HRQ54" s="545"/>
      <c r="HRR54" s="545"/>
      <c r="HRS54" s="544"/>
      <c r="HRT54" s="545"/>
      <c r="HRU54" s="545"/>
      <c r="HRV54" s="545"/>
      <c r="HRW54" s="545"/>
      <c r="HRX54" s="545"/>
      <c r="HRY54" s="545"/>
      <c r="HRZ54" s="544"/>
      <c r="HSA54" s="545"/>
      <c r="HSB54" s="545"/>
      <c r="HSC54" s="545"/>
      <c r="HSD54" s="545"/>
      <c r="HSE54" s="545"/>
      <c r="HSF54" s="545"/>
      <c r="HSG54" s="544"/>
      <c r="HSH54" s="545"/>
      <c r="HSI54" s="545"/>
      <c r="HSJ54" s="545"/>
      <c r="HSK54" s="545"/>
      <c r="HSL54" s="545"/>
      <c r="HSM54" s="545"/>
      <c r="HSN54" s="544"/>
      <c r="HSO54" s="545"/>
      <c r="HSP54" s="545"/>
      <c r="HSQ54" s="545"/>
      <c r="HSR54" s="545"/>
      <c r="HSS54" s="545"/>
      <c r="HST54" s="545"/>
      <c r="HSU54" s="544"/>
      <c r="HSV54" s="545"/>
      <c r="HSW54" s="545"/>
      <c r="HSX54" s="545"/>
      <c r="HSY54" s="545"/>
      <c r="HSZ54" s="545"/>
      <c r="HTA54" s="545"/>
      <c r="HTB54" s="544"/>
      <c r="HTC54" s="545"/>
      <c r="HTD54" s="545"/>
      <c r="HTE54" s="545"/>
      <c r="HTF54" s="545"/>
      <c r="HTG54" s="545"/>
      <c r="HTH54" s="545"/>
      <c r="HTI54" s="544"/>
      <c r="HTJ54" s="545"/>
      <c r="HTK54" s="545"/>
      <c r="HTL54" s="545"/>
      <c r="HTM54" s="545"/>
      <c r="HTN54" s="545"/>
      <c r="HTO54" s="545"/>
      <c r="HTP54" s="544"/>
      <c r="HTQ54" s="545"/>
      <c r="HTR54" s="545"/>
      <c r="HTS54" s="545"/>
      <c r="HTT54" s="545"/>
      <c r="HTU54" s="545"/>
      <c r="HTV54" s="545"/>
      <c r="HTW54" s="544"/>
      <c r="HTX54" s="545"/>
      <c r="HTY54" s="545"/>
      <c r="HTZ54" s="545"/>
      <c r="HUA54" s="545"/>
      <c r="HUB54" s="545"/>
      <c r="HUC54" s="545"/>
      <c r="HUD54" s="544"/>
      <c r="HUE54" s="545"/>
      <c r="HUF54" s="545"/>
      <c r="HUG54" s="545"/>
      <c r="HUH54" s="545"/>
      <c r="HUI54" s="545"/>
      <c r="HUJ54" s="545"/>
      <c r="HUK54" s="544"/>
      <c r="HUL54" s="545"/>
      <c r="HUM54" s="545"/>
      <c r="HUN54" s="545"/>
      <c r="HUO54" s="545"/>
      <c r="HUP54" s="545"/>
      <c r="HUQ54" s="545"/>
      <c r="HUR54" s="544"/>
      <c r="HUS54" s="545"/>
      <c r="HUT54" s="545"/>
      <c r="HUU54" s="545"/>
      <c r="HUV54" s="545"/>
      <c r="HUW54" s="545"/>
      <c r="HUX54" s="545"/>
      <c r="HUY54" s="544"/>
      <c r="HUZ54" s="545"/>
      <c r="HVA54" s="545"/>
      <c r="HVB54" s="545"/>
      <c r="HVC54" s="545"/>
      <c r="HVD54" s="545"/>
      <c r="HVE54" s="545"/>
      <c r="HVF54" s="544"/>
      <c r="HVG54" s="545"/>
      <c r="HVH54" s="545"/>
      <c r="HVI54" s="545"/>
      <c r="HVJ54" s="545"/>
      <c r="HVK54" s="545"/>
      <c r="HVL54" s="545"/>
      <c r="HVM54" s="544"/>
      <c r="HVN54" s="545"/>
      <c r="HVO54" s="545"/>
      <c r="HVP54" s="545"/>
      <c r="HVQ54" s="545"/>
      <c r="HVR54" s="545"/>
      <c r="HVS54" s="545"/>
      <c r="HVT54" s="544"/>
      <c r="HVU54" s="545"/>
      <c r="HVV54" s="545"/>
      <c r="HVW54" s="545"/>
      <c r="HVX54" s="545"/>
      <c r="HVY54" s="545"/>
      <c r="HVZ54" s="545"/>
      <c r="HWA54" s="544"/>
      <c r="HWB54" s="545"/>
      <c r="HWC54" s="545"/>
      <c r="HWD54" s="545"/>
      <c r="HWE54" s="545"/>
      <c r="HWF54" s="545"/>
      <c r="HWG54" s="545"/>
      <c r="HWH54" s="544"/>
      <c r="HWI54" s="545"/>
      <c r="HWJ54" s="545"/>
      <c r="HWK54" s="545"/>
      <c r="HWL54" s="545"/>
      <c r="HWM54" s="545"/>
      <c r="HWN54" s="545"/>
      <c r="HWO54" s="544"/>
      <c r="HWP54" s="545"/>
      <c r="HWQ54" s="545"/>
      <c r="HWR54" s="545"/>
      <c r="HWS54" s="545"/>
      <c r="HWT54" s="545"/>
      <c r="HWU54" s="545"/>
      <c r="HWV54" s="544"/>
      <c r="HWW54" s="545"/>
      <c r="HWX54" s="545"/>
      <c r="HWY54" s="545"/>
      <c r="HWZ54" s="545"/>
      <c r="HXA54" s="545"/>
      <c r="HXB54" s="545"/>
      <c r="HXC54" s="544"/>
      <c r="HXD54" s="545"/>
      <c r="HXE54" s="545"/>
      <c r="HXF54" s="545"/>
      <c r="HXG54" s="545"/>
      <c r="HXH54" s="545"/>
      <c r="HXI54" s="545"/>
      <c r="HXJ54" s="544"/>
      <c r="HXK54" s="545"/>
      <c r="HXL54" s="545"/>
      <c r="HXM54" s="545"/>
      <c r="HXN54" s="545"/>
      <c r="HXO54" s="545"/>
      <c r="HXP54" s="545"/>
      <c r="HXQ54" s="544"/>
      <c r="HXR54" s="545"/>
      <c r="HXS54" s="545"/>
      <c r="HXT54" s="545"/>
      <c r="HXU54" s="545"/>
      <c r="HXV54" s="545"/>
      <c r="HXW54" s="545"/>
      <c r="HXX54" s="544"/>
      <c r="HXY54" s="545"/>
      <c r="HXZ54" s="545"/>
      <c r="HYA54" s="545"/>
      <c r="HYB54" s="545"/>
      <c r="HYC54" s="545"/>
      <c r="HYD54" s="545"/>
      <c r="HYE54" s="544"/>
      <c r="HYF54" s="545"/>
      <c r="HYG54" s="545"/>
      <c r="HYH54" s="545"/>
      <c r="HYI54" s="545"/>
      <c r="HYJ54" s="545"/>
      <c r="HYK54" s="545"/>
      <c r="HYL54" s="544"/>
      <c r="HYM54" s="545"/>
      <c r="HYN54" s="545"/>
      <c r="HYO54" s="545"/>
      <c r="HYP54" s="545"/>
      <c r="HYQ54" s="545"/>
      <c r="HYR54" s="545"/>
      <c r="HYS54" s="544"/>
      <c r="HYT54" s="545"/>
      <c r="HYU54" s="545"/>
      <c r="HYV54" s="545"/>
      <c r="HYW54" s="545"/>
      <c r="HYX54" s="545"/>
      <c r="HYY54" s="545"/>
      <c r="HYZ54" s="544"/>
      <c r="HZA54" s="545"/>
      <c r="HZB54" s="545"/>
      <c r="HZC54" s="545"/>
      <c r="HZD54" s="545"/>
      <c r="HZE54" s="545"/>
      <c r="HZF54" s="545"/>
      <c r="HZG54" s="544"/>
      <c r="HZH54" s="545"/>
      <c r="HZI54" s="545"/>
      <c r="HZJ54" s="545"/>
      <c r="HZK54" s="545"/>
      <c r="HZL54" s="545"/>
      <c r="HZM54" s="545"/>
      <c r="HZN54" s="544"/>
      <c r="HZO54" s="545"/>
      <c r="HZP54" s="545"/>
      <c r="HZQ54" s="545"/>
      <c r="HZR54" s="545"/>
      <c r="HZS54" s="545"/>
      <c r="HZT54" s="545"/>
      <c r="HZU54" s="544"/>
      <c r="HZV54" s="545"/>
      <c r="HZW54" s="545"/>
      <c r="HZX54" s="545"/>
      <c r="HZY54" s="545"/>
      <c r="HZZ54" s="545"/>
      <c r="IAA54" s="545"/>
      <c r="IAB54" s="544"/>
      <c r="IAC54" s="545"/>
      <c r="IAD54" s="545"/>
      <c r="IAE54" s="545"/>
      <c r="IAF54" s="545"/>
      <c r="IAG54" s="545"/>
      <c r="IAH54" s="545"/>
      <c r="IAI54" s="544"/>
      <c r="IAJ54" s="545"/>
      <c r="IAK54" s="545"/>
      <c r="IAL54" s="545"/>
      <c r="IAM54" s="545"/>
      <c r="IAN54" s="545"/>
      <c r="IAO54" s="545"/>
      <c r="IAP54" s="544"/>
      <c r="IAQ54" s="545"/>
      <c r="IAR54" s="545"/>
      <c r="IAS54" s="545"/>
      <c r="IAT54" s="545"/>
      <c r="IAU54" s="545"/>
      <c r="IAV54" s="545"/>
      <c r="IAW54" s="544"/>
      <c r="IAX54" s="545"/>
      <c r="IAY54" s="545"/>
      <c r="IAZ54" s="545"/>
      <c r="IBA54" s="545"/>
      <c r="IBB54" s="545"/>
      <c r="IBC54" s="545"/>
      <c r="IBD54" s="544"/>
      <c r="IBE54" s="545"/>
      <c r="IBF54" s="545"/>
      <c r="IBG54" s="545"/>
      <c r="IBH54" s="545"/>
      <c r="IBI54" s="545"/>
      <c r="IBJ54" s="545"/>
      <c r="IBK54" s="544"/>
      <c r="IBL54" s="545"/>
      <c r="IBM54" s="545"/>
      <c r="IBN54" s="545"/>
      <c r="IBO54" s="545"/>
      <c r="IBP54" s="545"/>
      <c r="IBQ54" s="545"/>
      <c r="IBR54" s="544"/>
      <c r="IBS54" s="545"/>
      <c r="IBT54" s="545"/>
      <c r="IBU54" s="545"/>
      <c r="IBV54" s="545"/>
      <c r="IBW54" s="545"/>
      <c r="IBX54" s="545"/>
      <c r="IBY54" s="544"/>
      <c r="IBZ54" s="545"/>
      <c r="ICA54" s="545"/>
      <c r="ICB54" s="545"/>
      <c r="ICC54" s="545"/>
      <c r="ICD54" s="545"/>
      <c r="ICE54" s="545"/>
      <c r="ICF54" s="544"/>
      <c r="ICG54" s="545"/>
      <c r="ICH54" s="545"/>
      <c r="ICI54" s="545"/>
      <c r="ICJ54" s="545"/>
      <c r="ICK54" s="545"/>
      <c r="ICL54" s="545"/>
      <c r="ICM54" s="544"/>
      <c r="ICN54" s="545"/>
      <c r="ICO54" s="545"/>
      <c r="ICP54" s="545"/>
      <c r="ICQ54" s="545"/>
      <c r="ICR54" s="545"/>
      <c r="ICS54" s="545"/>
      <c r="ICT54" s="544"/>
      <c r="ICU54" s="545"/>
      <c r="ICV54" s="545"/>
      <c r="ICW54" s="545"/>
      <c r="ICX54" s="545"/>
      <c r="ICY54" s="545"/>
      <c r="ICZ54" s="545"/>
      <c r="IDA54" s="544"/>
      <c r="IDB54" s="545"/>
      <c r="IDC54" s="545"/>
      <c r="IDD54" s="545"/>
      <c r="IDE54" s="545"/>
      <c r="IDF54" s="545"/>
      <c r="IDG54" s="545"/>
      <c r="IDH54" s="544"/>
      <c r="IDI54" s="545"/>
      <c r="IDJ54" s="545"/>
      <c r="IDK54" s="545"/>
      <c r="IDL54" s="545"/>
      <c r="IDM54" s="545"/>
      <c r="IDN54" s="545"/>
      <c r="IDO54" s="544"/>
      <c r="IDP54" s="545"/>
      <c r="IDQ54" s="545"/>
      <c r="IDR54" s="545"/>
      <c r="IDS54" s="545"/>
      <c r="IDT54" s="545"/>
      <c r="IDU54" s="545"/>
      <c r="IDV54" s="544"/>
      <c r="IDW54" s="545"/>
      <c r="IDX54" s="545"/>
      <c r="IDY54" s="545"/>
      <c r="IDZ54" s="545"/>
      <c r="IEA54" s="545"/>
      <c r="IEB54" s="545"/>
      <c r="IEC54" s="544"/>
      <c r="IED54" s="545"/>
      <c r="IEE54" s="545"/>
      <c r="IEF54" s="545"/>
      <c r="IEG54" s="545"/>
      <c r="IEH54" s="545"/>
      <c r="IEI54" s="545"/>
      <c r="IEJ54" s="544"/>
      <c r="IEK54" s="545"/>
      <c r="IEL54" s="545"/>
      <c r="IEM54" s="545"/>
      <c r="IEN54" s="545"/>
      <c r="IEO54" s="545"/>
      <c r="IEP54" s="545"/>
      <c r="IEQ54" s="544"/>
      <c r="IER54" s="545"/>
      <c r="IES54" s="545"/>
      <c r="IET54" s="545"/>
      <c r="IEU54" s="545"/>
      <c r="IEV54" s="545"/>
      <c r="IEW54" s="545"/>
      <c r="IEX54" s="544"/>
      <c r="IEY54" s="545"/>
      <c r="IEZ54" s="545"/>
      <c r="IFA54" s="545"/>
      <c r="IFB54" s="545"/>
      <c r="IFC54" s="545"/>
      <c r="IFD54" s="545"/>
      <c r="IFE54" s="544"/>
      <c r="IFF54" s="545"/>
      <c r="IFG54" s="545"/>
      <c r="IFH54" s="545"/>
      <c r="IFI54" s="545"/>
      <c r="IFJ54" s="545"/>
      <c r="IFK54" s="545"/>
      <c r="IFL54" s="544"/>
      <c r="IFM54" s="545"/>
      <c r="IFN54" s="545"/>
      <c r="IFO54" s="545"/>
      <c r="IFP54" s="545"/>
      <c r="IFQ54" s="545"/>
      <c r="IFR54" s="545"/>
      <c r="IFS54" s="544"/>
      <c r="IFT54" s="545"/>
      <c r="IFU54" s="545"/>
      <c r="IFV54" s="545"/>
      <c r="IFW54" s="545"/>
      <c r="IFX54" s="545"/>
      <c r="IFY54" s="545"/>
      <c r="IFZ54" s="544"/>
      <c r="IGA54" s="545"/>
      <c r="IGB54" s="545"/>
      <c r="IGC54" s="545"/>
      <c r="IGD54" s="545"/>
      <c r="IGE54" s="545"/>
      <c r="IGF54" s="545"/>
      <c r="IGG54" s="544"/>
      <c r="IGH54" s="545"/>
      <c r="IGI54" s="545"/>
      <c r="IGJ54" s="545"/>
      <c r="IGK54" s="545"/>
      <c r="IGL54" s="545"/>
      <c r="IGM54" s="545"/>
      <c r="IGN54" s="544"/>
      <c r="IGO54" s="545"/>
      <c r="IGP54" s="545"/>
      <c r="IGQ54" s="545"/>
      <c r="IGR54" s="545"/>
      <c r="IGS54" s="545"/>
      <c r="IGT54" s="545"/>
      <c r="IGU54" s="544"/>
      <c r="IGV54" s="545"/>
      <c r="IGW54" s="545"/>
      <c r="IGX54" s="545"/>
      <c r="IGY54" s="545"/>
      <c r="IGZ54" s="545"/>
      <c r="IHA54" s="545"/>
      <c r="IHB54" s="544"/>
      <c r="IHC54" s="545"/>
      <c r="IHD54" s="545"/>
      <c r="IHE54" s="545"/>
      <c r="IHF54" s="545"/>
      <c r="IHG54" s="545"/>
      <c r="IHH54" s="545"/>
      <c r="IHI54" s="544"/>
      <c r="IHJ54" s="545"/>
      <c r="IHK54" s="545"/>
      <c r="IHL54" s="545"/>
      <c r="IHM54" s="545"/>
      <c r="IHN54" s="545"/>
      <c r="IHO54" s="545"/>
      <c r="IHP54" s="544"/>
      <c r="IHQ54" s="545"/>
      <c r="IHR54" s="545"/>
      <c r="IHS54" s="545"/>
      <c r="IHT54" s="545"/>
      <c r="IHU54" s="545"/>
      <c r="IHV54" s="545"/>
      <c r="IHW54" s="544"/>
      <c r="IHX54" s="545"/>
      <c r="IHY54" s="545"/>
      <c r="IHZ54" s="545"/>
      <c r="IIA54" s="545"/>
      <c r="IIB54" s="545"/>
      <c r="IIC54" s="545"/>
      <c r="IID54" s="544"/>
      <c r="IIE54" s="545"/>
      <c r="IIF54" s="545"/>
      <c r="IIG54" s="545"/>
      <c r="IIH54" s="545"/>
      <c r="III54" s="545"/>
      <c r="IIJ54" s="545"/>
      <c r="IIK54" s="544"/>
      <c r="IIL54" s="545"/>
      <c r="IIM54" s="545"/>
      <c r="IIN54" s="545"/>
      <c r="IIO54" s="545"/>
      <c r="IIP54" s="545"/>
      <c r="IIQ54" s="545"/>
      <c r="IIR54" s="544"/>
      <c r="IIS54" s="545"/>
      <c r="IIT54" s="545"/>
      <c r="IIU54" s="545"/>
      <c r="IIV54" s="545"/>
      <c r="IIW54" s="545"/>
      <c r="IIX54" s="545"/>
      <c r="IIY54" s="544"/>
      <c r="IIZ54" s="545"/>
      <c r="IJA54" s="545"/>
      <c r="IJB54" s="545"/>
      <c r="IJC54" s="545"/>
      <c r="IJD54" s="545"/>
      <c r="IJE54" s="545"/>
      <c r="IJF54" s="544"/>
      <c r="IJG54" s="545"/>
      <c r="IJH54" s="545"/>
      <c r="IJI54" s="545"/>
      <c r="IJJ54" s="545"/>
      <c r="IJK54" s="545"/>
      <c r="IJL54" s="545"/>
      <c r="IJM54" s="544"/>
      <c r="IJN54" s="545"/>
      <c r="IJO54" s="545"/>
      <c r="IJP54" s="545"/>
      <c r="IJQ54" s="545"/>
      <c r="IJR54" s="545"/>
      <c r="IJS54" s="545"/>
      <c r="IJT54" s="544"/>
      <c r="IJU54" s="545"/>
      <c r="IJV54" s="545"/>
      <c r="IJW54" s="545"/>
      <c r="IJX54" s="545"/>
      <c r="IJY54" s="545"/>
      <c r="IJZ54" s="545"/>
      <c r="IKA54" s="544"/>
      <c r="IKB54" s="545"/>
      <c r="IKC54" s="545"/>
      <c r="IKD54" s="545"/>
      <c r="IKE54" s="545"/>
      <c r="IKF54" s="545"/>
      <c r="IKG54" s="545"/>
      <c r="IKH54" s="544"/>
      <c r="IKI54" s="545"/>
      <c r="IKJ54" s="545"/>
      <c r="IKK54" s="545"/>
      <c r="IKL54" s="545"/>
      <c r="IKM54" s="545"/>
      <c r="IKN54" s="545"/>
      <c r="IKO54" s="544"/>
      <c r="IKP54" s="545"/>
      <c r="IKQ54" s="545"/>
      <c r="IKR54" s="545"/>
      <c r="IKS54" s="545"/>
      <c r="IKT54" s="545"/>
      <c r="IKU54" s="545"/>
      <c r="IKV54" s="544"/>
      <c r="IKW54" s="545"/>
      <c r="IKX54" s="545"/>
      <c r="IKY54" s="545"/>
      <c r="IKZ54" s="545"/>
      <c r="ILA54" s="545"/>
      <c r="ILB54" s="545"/>
      <c r="ILC54" s="544"/>
      <c r="ILD54" s="545"/>
      <c r="ILE54" s="545"/>
      <c r="ILF54" s="545"/>
      <c r="ILG54" s="545"/>
      <c r="ILH54" s="545"/>
      <c r="ILI54" s="545"/>
      <c r="ILJ54" s="544"/>
      <c r="ILK54" s="545"/>
      <c r="ILL54" s="545"/>
      <c r="ILM54" s="545"/>
      <c r="ILN54" s="545"/>
      <c r="ILO54" s="545"/>
      <c r="ILP54" s="545"/>
      <c r="ILQ54" s="544"/>
      <c r="ILR54" s="545"/>
      <c r="ILS54" s="545"/>
      <c r="ILT54" s="545"/>
      <c r="ILU54" s="545"/>
      <c r="ILV54" s="545"/>
      <c r="ILW54" s="545"/>
      <c r="ILX54" s="544"/>
      <c r="ILY54" s="545"/>
      <c r="ILZ54" s="545"/>
      <c r="IMA54" s="545"/>
      <c r="IMB54" s="545"/>
      <c r="IMC54" s="545"/>
      <c r="IMD54" s="545"/>
      <c r="IME54" s="544"/>
      <c r="IMF54" s="545"/>
      <c r="IMG54" s="545"/>
      <c r="IMH54" s="545"/>
      <c r="IMI54" s="545"/>
      <c r="IMJ54" s="545"/>
      <c r="IMK54" s="545"/>
      <c r="IML54" s="544"/>
      <c r="IMM54" s="545"/>
      <c r="IMN54" s="545"/>
      <c r="IMO54" s="545"/>
      <c r="IMP54" s="545"/>
      <c r="IMQ54" s="545"/>
      <c r="IMR54" s="545"/>
      <c r="IMS54" s="544"/>
      <c r="IMT54" s="545"/>
      <c r="IMU54" s="545"/>
      <c r="IMV54" s="545"/>
      <c r="IMW54" s="545"/>
      <c r="IMX54" s="545"/>
      <c r="IMY54" s="545"/>
      <c r="IMZ54" s="544"/>
      <c r="INA54" s="545"/>
      <c r="INB54" s="545"/>
      <c r="INC54" s="545"/>
      <c r="IND54" s="545"/>
      <c r="INE54" s="545"/>
      <c r="INF54" s="545"/>
      <c r="ING54" s="544"/>
      <c r="INH54" s="545"/>
      <c r="INI54" s="545"/>
      <c r="INJ54" s="545"/>
      <c r="INK54" s="545"/>
      <c r="INL54" s="545"/>
      <c r="INM54" s="545"/>
      <c r="INN54" s="544"/>
      <c r="INO54" s="545"/>
      <c r="INP54" s="545"/>
      <c r="INQ54" s="545"/>
      <c r="INR54" s="545"/>
      <c r="INS54" s="545"/>
      <c r="INT54" s="545"/>
      <c r="INU54" s="544"/>
      <c r="INV54" s="545"/>
      <c r="INW54" s="545"/>
      <c r="INX54" s="545"/>
      <c r="INY54" s="545"/>
      <c r="INZ54" s="545"/>
      <c r="IOA54" s="545"/>
      <c r="IOB54" s="544"/>
      <c r="IOC54" s="545"/>
      <c r="IOD54" s="545"/>
      <c r="IOE54" s="545"/>
      <c r="IOF54" s="545"/>
      <c r="IOG54" s="545"/>
      <c r="IOH54" s="545"/>
      <c r="IOI54" s="544"/>
      <c r="IOJ54" s="545"/>
      <c r="IOK54" s="545"/>
      <c r="IOL54" s="545"/>
      <c r="IOM54" s="545"/>
      <c r="ION54" s="545"/>
      <c r="IOO54" s="545"/>
      <c r="IOP54" s="544"/>
      <c r="IOQ54" s="545"/>
      <c r="IOR54" s="545"/>
      <c r="IOS54" s="545"/>
      <c r="IOT54" s="545"/>
      <c r="IOU54" s="545"/>
      <c r="IOV54" s="545"/>
      <c r="IOW54" s="544"/>
      <c r="IOX54" s="545"/>
      <c r="IOY54" s="545"/>
      <c r="IOZ54" s="545"/>
      <c r="IPA54" s="545"/>
      <c r="IPB54" s="545"/>
      <c r="IPC54" s="545"/>
      <c r="IPD54" s="544"/>
      <c r="IPE54" s="545"/>
      <c r="IPF54" s="545"/>
      <c r="IPG54" s="545"/>
      <c r="IPH54" s="545"/>
      <c r="IPI54" s="545"/>
      <c r="IPJ54" s="545"/>
      <c r="IPK54" s="544"/>
      <c r="IPL54" s="545"/>
      <c r="IPM54" s="545"/>
      <c r="IPN54" s="545"/>
      <c r="IPO54" s="545"/>
      <c r="IPP54" s="545"/>
      <c r="IPQ54" s="545"/>
      <c r="IPR54" s="544"/>
      <c r="IPS54" s="545"/>
      <c r="IPT54" s="545"/>
      <c r="IPU54" s="545"/>
      <c r="IPV54" s="545"/>
      <c r="IPW54" s="545"/>
      <c r="IPX54" s="545"/>
      <c r="IPY54" s="544"/>
      <c r="IPZ54" s="545"/>
      <c r="IQA54" s="545"/>
      <c r="IQB54" s="545"/>
      <c r="IQC54" s="545"/>
      <c r="IQD54" s="545"/>
      <c r="IQE54" s="545"/>
      <c r="IQF54" s="544"/>
      <c r="IQG54" s="545"/>
      <c r="IQH54" s="545"/>
      <c r="IQI54" s="545"/>
      <c r="IQJ54" s="545"/>
      <c r="IQK54" s="545"/>
      <c r="IQL54" s="545"/>
      <c r="IQM54" s="544"/>
      <c r="IQN54" s="545"/>
      <c r="IQO54" s="545"/>
      <c r="IQP54" s="545"/>
      <c r="IQQ54" s="545"/>
      <c r="IQR54" s="545"/>
      <c r="IQS54" s="545"/>
      <c r="IQT54" s="544"/>
      <c r="IQU54" s="545"/>
      <c r="IQV54" s="545"/>
      <c r="IQW54" s="545"/>
      <c r="IQX54" s="545"/>
      <c r="IQY54" s="545"/>
      <c r="IQZ54" s="545"/>
      <c r="IRA54" s="544"/>
      <c r="IRB54" s="545"/>
      <c r="IRC54" s="545"/>
      <c r="IRD54" s="545"/>
      <c r="IRE54" s="545"/>
      <c r="IRF54" s="545"/>
      <c r="IRG54" s="545"/>
      <c r="IRH54" s="544"/>
      <c r="IRI54" s="545"/>
      <c r="IRJ54" s="545"/>
      <c r="IRK54" s="545"/>
      <c r="IRL54" s="545"/>
      <c r="IRM54" s="545"/>
      <c r="IRN54" s="545"/>
      <c r="IRO54" s="544"/>
      <c r="IRP54" s="545"/>
      <c r="IRQ54" s="545"/>
      <c r="IRR54" s="545"/>
      <c r="IRS54" s="545"/>
      <c r="IRT54" s="545"/>
      <c r="IRU54" s="545"/>
      <c r="IRV54" s="544"/>
      <c r="IRW54" s="545"/>
      <c r="IRX54" s="545"/>
      <c r="IRY54" s="545"/>
      <c r="IRZ54" s="545"/>
      <c r="ISA54" s="545"/>
      <c r="ISB54" s="545"/>
      <c r="ISC54" s="544"/>
      <c r="ISD54" s="545"/>
      <c r="ISE54" s="545"/>
      <c r="ISF54" s="545"/>
      <c r="ISG54" s="545"/>
      <c r="ISH54" s="545"/>
      <c r="ISI54" s="545"/>
      <c r="ISJ54" s="544"/>
      <c r="ISK54" s="545"/>
      <c r="ISL54" s="545"/>
      <c r="ISM54" s="545"/>
      <c r="ISN54" s="545"/>
      <c r="ISO54" s="545"/>
      <c r="ISP54" s="545"/>
      <c r="ISQ54" s="544"/>
      <c r="ISR54" s="545"/>
      <c r="ISS54" s="545"/>
      <c r="IST54" s="545"/>
      <c r="ISU54" s="545"/>
      <c r="ISV54" s="545"/>
      <c r="ISW54" s="545"/>
      <c r="ISX54" s="544"/>
      <c r="ISY54" s="545"/>
      <c r="ISZ54" s="545"/>
      <c r="ITA54" s="545"/>
      <c r="ITB54" s="545"/>
      <c r="ITC54" s="545"/>
      <c r="ITD54" s="545"/>
      <c r="ITE54" s="544"/>
      <c r="ITF54" s="545"/>
      <c r="ITG54" s="545"/>
      <c r="ITH54" s="545"/>
      <c r="ITI54" s="545"/>
      <c r="ITJ54" s="545"/>
      <c r="ITK54" s="545"/>
      <c r="ITL54" s="544"/>
      <c r="ITM54" s="545"/>
      <c r="ITN54" s="545"/>
      <c r="ITO54" s="545"/>
      <c r="ITP54" s="545"/>
      <c r="ITQ54" s="545"/>
      <c r="ITR54" s="545"/>
      <c r="ITS54" s="544"/>
      <c r="ITT54" s="545"/>
      <c r="ITU54" s="545"/>
      <c r="ITV54" s="545"/>
      <c r="ITW54" s="545"/>
      <c r="ITX54" s="545"/>
      <c r="ITY54" s="545"/>
      <c r="ITZ54" s="544"/>
      <c r="IUA54" s="545"/>
      <c r="IUB54" s="545"/>
      <c r="IUC54" s="545"/>
      <c r="IUD54" s="545"/>
      <c r="IUE54" s="545"/>
      <c r="IUF54" s="545"/>
      <c r="IUG54" s="544"/>
      <c r="IUH54" s="545"/>
      <c r="IUI54" s="545"/>
      <c r="IUJ54" s="545"/>
      <c r="IUK54" s="545"/>
      <c r="IUL54" s="545"/>
      <c r="IUM54" s="545"/>
      <c r="IUN54" s="544"/>
      <c r="IUO54" s="545"/>
      <c r="IUP54" s="545"/>
      <c r="IUQ54" s="545"/>
      <c r="IUR54" s="545"/>
      <c r="IUS54" s="545"/>
      <c r="IUT54" s="545"/>
      <c r="IUU54" s="544"/>
      <c r="IUV54" s="545"/>
      <c r="IUW54" s="545"/>
      <c r="IUX54" s="545"/>
      <c r="IUY54" s="545"/>
      <c r="IUZ54" s="545"/>
      <c r="IVA54" s="545"/>
      <c r="IVB54" s="544"/>
      <c r="IVC54" s="545"/>
      <c r="IVD54" s="545"/>
      <c r="IVE54" s="545"/>
      <c r="IVF54" s="545"/>
      <c r="IVG54" s="545"/>
      <c r="IVH54" s="545"/>
      <c r="IVI54" s="544"/>
      <c r="IVJ54" s="545"/>
      <c r="IVK54" s="545"/>
      <c r="IVL54" s="545"/>
      <c r="IVM54" s="545"/>
      <c r="IVN54" s="545"/>
      <c r="IVO54" s="545"/>
      <c r="IVP54" s="544"/>
      <c r="IVQ54" s="545"/>
      <c r="IVR54" s="545"/>
      <c r="IVS54" s="545"/>
      <c r="IVT54" s="545"/>
      <c r="IVU54" s="545"/>
      <c r="IVV54" s="545"/>
      <c r="IVW54" s="544"/>
      <c r="IVX54" s="545"/>
      <c r="IVY54" s="545"/>
      <c r="IVZ54" s="545"/>
      <c r="IWA54" s="545"/>
      <c r="IWB54" s="545"/>
      <c r="IWC54" s="545"/>
      <c r="IWD54" s="544"/>
      <c r="IWE54" s="545"/>
      <c r="IWF54" s="545"/>
      <c r="IWG54" s="545"/>
      <c r="IWH54" s="545"/>
      <c r="IWI54" s="545"/>
      <c r="IWJ54" s="545"/>
      <c r="IWK54" s="544"/>
      <c r="IWL54" s="545"/>
      <c r="IWM54" s="545"/>
      <c r="IWN54" s="545"/>
      <c r="IWO54" s="545"/>
      <c r="IWP54" s="545"/>
      <c r="IWQ54" s="545"/>
      <c r="IWR54" s="544"/>
      <c r="IWS54" s="545"/>
      <c r="IWT54" s="545"/>
      <c r="IWU54" s="545"/>
      <c r="IWV54" s="545"/>
      <c r="IWW54" s="545"/>
      <c r="IWX54" s="545"/>
      <c r="IWY54" s="544"/>
      <c r="IWZ54" s="545"/>
      <c r="IXA54" s="545"/>
      <c r="IXB54" s="545"/>
      <c r="IXC54" s="545"/>
      <c r="IXD54" s="545"/>
      <c r="IXE54" s="545"/>
      <c r="IXF54" s="544"/>
      <c r="IXG54" s="545"/>
      <c r="IXH54" s="545"/>
      <c r="IXI54" s="545"/>
      <c r="IXJ54" s="545"/>
      <c r="IXK54" s="545"/>
      <c r="IXL54" s="545"/>
      <c r="IXM54" s="544"/>
      <c r="IXN54" s="545"/>
      <c r="IXO54" s="545"/>
      <c r="IXP54" s="545"/>
      <c r="IXQ54" s="545"/>
      <c r="IXR54" s="545"/>
      <c r="IXS54" s="545"/>
      <c r="IXT54" s="544"/>
      <c r="IXU54" s="545"/>
      <c r="IXV54" s="545"/>
      <c r="IXW54" s="545"/>
      <c r="IXX54" s="545"/>
      <c r="IXY54" s="545"/>
      <c r="IXZ54" s="545"/>
      <c r="IYA54" s="544"/>
      <c r="IYB54" s="545"/>
      <c r="IYC54" s="545"/>
      <c r="IYD54" s="545"/>
      <c r="IYE54" s="545"/>
      <c r="IYF54" s="545"/>
      <c r="IYG54" s="545"/>
      <c r="IYH54" s="544"/>
      <c r="IYI54" s="545"/>
      <c r="IYJ54" s="545"/>
      <c r="IYK54" s="545"/>
      <c r="IYL54" s="545"/>
      <c r="IYM54" s="545"/>
      <c r="IYN54" s="545"/>
      <c r="IYO54" s="544"/>
      <c r="IYP54" s="545"/>
      <c r="IYQ54" s="545"/>
      <c r="IYR54" s="545"/>
      <c r="IYS54" s="545"/>
      <c r="IYT54" s="545"/>
      <c r="IYU54" s="545"/>
      <c r="IYV54" s="544"/>
      <c r="IYW54" s="545"/>
      <c r="IYX54" s="545"/>
      <c r="IYY54" s="545"/>
      <c r="IYZ54" s="545"/>
      <c r="IZA54" s="545"/>
      <c r="IZB54" s="545"/>
      <c r="IZC54" s="544"/>
      <c r="IZD54" s="545"/>
      <c r="IZE54" s="545"/>
      <c r="IZF54" s="545"/>
      <c r="IZG54" s="545"/>
      <c r="IZH54" s="545"/>
      <c r="IZI54" s="545"/>
      <c r="IZJ54" s="544"/>
      <c r="IZK54" s="545"/>
      <c r="IZL54" s="545"/>
      <c r="IZM54" s="545"/>
      <c r="IZN54" s="545"/>
      <c r="IZO54" s="545"/>
      <c r="IZP54" s="545"/>
      <c r="IZQ54" s="544"/>
      <c r="IZR54" s="545"/>
      <c r="IZS54" s="545"/>
      <c r="IZT54" s="545"/>
      <c r="IZU54" s="545"/>
      <c r="IZV54" s="545"/>
      <c r="IZW54" s="545"/>
      <c r="IZX54" s="544"/>
      <c r="IZY54" s="545"/>
      <c r="IZZ54" s="545"/>
      <c r="JAA54" s="545"/>
      <c r="JAB54" s="545"/>
      <c r="JAC54" s="545"/>
      <c r="JAD54" s="545"/>
      <c r="JAE54" s="544"/>
      <c r="JAF54" s="545"/>
      <c r="JAG54" s="545"/>
      <c r="JAH54" s="545"/>
      <c r="JAI54" s="545"/>
      <c r="JAJ54" s="545"/>
      <c r="JAK54" s="545"/>
      <c r="JAL54" s="544"/>
      <c r="JAM54" s="545"/>
      <c r="JAN54" s="545"/>
      <c r="JAO54" s="545"/>
      <c r="JAP54" s="545"/>
      <c r="JAQ54" s="545"/>
      <c r="JAR54" s="545"/>
      <c r="JAS54" s="544"/>
      <c r="JAT54" s="545"/>
      <c r="JAU54" s="545"/>
      <c r="JAV54" s="545"/>
      <c r="JAW54" s="545"/>
      <c r="JAX54" s="545"/>
      <c r="JAY54" s="545"/>
      <c r="JAZ54" s="544"/>
      <c r="JBA54" s="545"/>
      <c r="JBB54" s="545"/>
      <c r="JBC54" s="545"/>
      <c r="JBD54" s="545"/>
      <c r="JBE54" s="545"/>
      <c r="JBF54" s="545"/>
      <c r="JBG54" s="544"/>
      <c r="JBH54" s="545"/>
      <c r="JBI54" s="545"/>
      <c r="JBJ54" s="545"/>
      <c r="JBK54" s="545"/>
      <c r="JBL54" s="545"/>
      <c r="JBM54" s="545"/>
      <c r="JBN54" s="544"/>
      <c r="JBO54" s="545"/>
      <c r="JBP54" s="545"/>
      <c r="JBQ54" s="545"/>
      <c r="JBR54" s="545"/>
      <c r="JBS54" s="545"/>
      <c r="JBT54" s="545"/>
      <c r="JBU54" s="544"/>
      <c r="JBV54" s="545"/>
      <c r="JBW54" s="545"/>
      <c r="JBX54" s="545"/>
      <c r="JBY54" s="545"/>
      <c r="JBZ54" s="545"/>
      <c r="JCA54" s="545"/>
      <c r="JCB54" s="544"/>
      <c r="JCC54" s="545"/>
      <c r="JCD54" s="545"/>
      <c r="JCE54" s="545"/>
      <c r="JCF54" s="545"/>
      <c r="JCG54" s="545"/>
      <c r="JCH54" s="545"/>
      <c r="JCI54" s="544"/>
      <c r="JCJ54" s="545"/>
      <c r="JCK54" s="545"/>
      <c r="JCL54" s="545"/>
      <c r="JCM54" s="545"/>
      <c r="JCN54" s="545"/>
      <c r="JCO54" s="545"/>
      <c r="JCP54" s="544"/>
      <c r="JCQ54" s="545"/>
      <c r="JCR54" s="545"/>
      <c r="JCS54" s="545"/>
      <c r="JCT54" s="545"/>
      <c r="JCU54" s="545"/>
      <c r="JCV54" s="545"/>
      <c r="JCW54" s="544"/>
      <c r="JCX54" s="545"/>
      <c r="JCY54" s="545"/>
      <c r="JCZ54" s="545"/>
      <c r="JDA54" s="545"/>
      <c r="JDB54" s="545"/>
      <c r="JDC54" s="545"/>
      <c r="JDD54" s="544"/>
      <c r="JDE54" s="545"/>
      <c r="JDF54" s="545"/>
      <c r="JDG54" s="545"/>
      <c r="JDH54" s="545"/>
      <c r="JDI54" s="545"/>
      <c r="JDJ54" s="545"/>
      <c r="JDK54" s="544"/>
      <c r="JDL54" s="545"/>
      <c r="JDM54" s="545"/>
      <c r="JDN54" s="545"/>
      <c r="JDO54" s="545"/>
      <c r="JDP54" s="545"/>
      <c r="JDQ54" s="545"/>
      <c r="JDR54" s="544"/>
      <c r="JDS54" s="545"/>
      <c r="JDT54" s="545"/>
      <c r="JDU54" s="545"/>
      <c r="JDV54" s="545"/>
      <c r="JDW54" s="545"/>
      <c r="JDX54" s="545"/>
      <c r="JDY54" s="544"/>
      <c r="JDZ54" s="545"/>
      <c r="JEA54" s="545"/>
      <c r="JEB54" s="545"/>
      <c r="JEC54" s="545"/>
      <c r="JED54" s="545"/>
      <c r="JEE54" s="545"/>
      <c r="JEF54" s="544"/>
      <c r="JEG54" s="545"/>
      <c r="JEH54" s="545"/>
      <c r="JEI54" s="545"/>
      <c r="JEJ54" s="545"/>
      <c r="JEK54" s="545"/>
      <c r="JEL54" s="545"/>
      <c r="JEM54" s="544"/>
      <c r="JEN54" s="545"/>
      <c r="JEO54" s="545"/>
      <c r="JEP54" s="545"/>
      <c r="JEQ54" s="545"/>
      <c r="JER54" s="545"/>
      <c r="JES54" s="545"/>
      <c r="JET54" s="544"/>
      <c r="JEU54" s="545"/>
      <c r="JEV54" s="545"/>
      <c r="JEW54" s="545"/>
      <c r="JEX54" s="545"/>
      <c r="JEY54" s="545"/>
      <c r="JEZ54" s="545"/>
      <c r="JFA54" s="544"/>
      <c r="JFB54" s="545"/>
      <c r="JFC54" s="545"/>
      <c r="JFD54" s="545"/>
      <c r="JFE54" s="545"/>
      <c r="JFF54" s="545"/>
      <c r="JFG54" s="545"/>
      <c r="JFH54" s="544"/>
      <c r="JFI54" s="545"/>
      <c r="JFJ54" s="545"/>
      <c r="JFK54" s="545"/>
      <c r="JFL54" s="545"/>
      <c r="JFM54" s="545"/>
      <c r="JFN54" s="545"/>
      <c r="JFO54" s="544"/>
      <c r="JFP54" s="545"/>
      <c r="JFQ54" s="545"/>
      <c r="JFR54" s="545"/>
      <c r="JFS54" s="545"/>
      <c r="JFT54" s="545"/>
      <c r="JFU54" s="545"/>
      <c r="JFV54" s="544"/>
      <c r="JFW54" s="545"/>
      <c r="JFX54" s="545"/>
      <c r="JFY54" s="545"/>
      <c r="JFZ54" s="545"/>
      <c r="JGA54" s="545"/>
      <c r="JGB54" s="545"/>
      <c r="JGC54" s="544"/>
      <c r="JGD54" s="545"/>
      <c r="JGE54" s="545"/>
      <c r="JGF54" s="545"/>
      <c r="JGG54" s="545"/>
      <c r="JGH54" s="545"/>
      <c r="JGI54" s="545"/>
      <c r="JGJ54" s="544"/>
      <c r="JGK54" s="545"/>
      <c r="JGL54" s="545"/>
      <c r="JGM54" s="545"/>
      <c r="JGN54" s="545"/>
      <c r="JGO54" s="545"/>
      <c r="JGP54" s="545"/>
      <c r="JGQ54" s="544"/>
      <c r="JGR54" s="545"/>
      <c r="JGS54" s="545"/>
      <c r="JGT54" s="545"/>
      <c r="JGU54" s="545"/>
      <c r="JGV54" s="545"/>
      <c r="JGW54" s="545"/>
      <c r="JGX54" s="544"/>
      <c r="JGY54" s="545"/>
      <c r="JGZ54" s="545"/>
      <c r="JHA54" s="545"/>
      <c r="JHB54" s="545"/>
      <c r="JHC54" s="545"/>
      <c r="JHD54" s="545"/>
      <c r="JHE54" s="544"/>
      <c r="JHF54" s="545"/>
      <c r="JHG54" s="545"/>
      <c r="JHH54" s="545"/>
      <c r="JHI54" s="545"/>
      <c r="JHJ54" s="545"/>
      <c r="JHK54" s="545"/>
      <c r="JHL54" s="544"/>
      <c r="JHM54" s="545"/>
      <c r="JHN54" s="545"/>
      <c r="JHO54" s="545"/>
      <c r="JHP54" s="545"/>
      <c r="JHQ54" s="545"/>
      <c r="JHR54" s="545"/>
      <c r="JHS54" s="544"/>
      <c r="JHT54" s="545"/>
      <c r="JHU54" s="545"/>
      <c r="JHV54" s="545"/>
      <c r="JHW54" s="545"/>
      <c r="JHX54" s="545"/>
      <c r="JHY54" s="545"/>
      <c r="JHZ54" s="544"/>
      <c r="JIA54" s="545"/>
      <c r="JIB54" s="545"/>
      <c r="JIC54" s="545"/>
      <c r="JID54" s="545"/>
      <c r="JIE54" s="545"/>
      <c r="JIF54" s="545"/>
      <c r="JIG54" s="544"/>
      <c r="JIH54" s="545"/>
      <c r="JII54" s="545"/>
      <c r="JIJ54" s="545"/>
      <c r="JIK54" s="545"/>
      <c r="JIL54" s="545"/>
      <c r="JIM54" s="545"/>
      <c r="JIN54" s="544"/>
      <c r="JIO54" s="545"/>
      <c r="JIP54" s="545"/>
      <c r="JIQ54" s="545"/>
      <c r="JIR54" s="545"/>
      <c r="JIS54" s="545"/>
      <c r="JIT54" s="545"/>
      <c r="JIU54" s="544"/>
      <c r="JIV54" s="545"/>
      <c r="JIW54" s="545"/>
      <c r="JIX54" s="545"/>
      <c r="JIY54" s="545"/>
      <c r="JIZ54" s="545"/>
      <c r="JJA54" s="545"/>
      <c r="JJB54" s="544"/>
      <c r="JJC54" s="545"/>
      <c r="JJD54" s="545"/>
      <c r="JJE54" s="545"/>
      <c r="JJF54" s="545"/>
      <c r="JJG54" s="545"/>
      <c r="JJH54" s="545"/>
      <c r="JJI54" s="544"/>
      <c r="JJJ54" s="545"/>
      <c r="JJK54" s="545"/>
      <c r="JJL54" s="545"/>
      <c r="JJM54" s="545"/>
      <c r="JJN54" s="545"/>
      <c r="JJO54" s="545"/>
      <c r="JJP54" s="544"/>
      <c r="JJQ54" s="545"/>
      <c r="JJR54" s="545"/>
      <c r="JJS54" s="545"/>
      <c r="JJT54" s="545"/>
      <c r="JJU54" s="545"/>
      <c r="JJV54" s="545"/>
      <c r="JJW54" s="544"/>
      <c r="JJX54" s="545"/>
      <c r="JJY54" s="545"/>
      <c r="JJZ54" s="545"/>
      <c r="JKA54" s="545"/>
      <c r="JKB54" s="545"/>
      <c r="JKC54" s="545"/>
      <c r="JKD54" s="544"/>
      <c r="JKE54" s="545"/>
      <c r="JKF54" s="545"/>
      <c r="JKG54" s="545"/>
      <c r="JKH54" s="545"/>
      <c r="JKI54" s="545"/>
      <c r="JKJ54" s="545"/>
      <c r="JKK54" s="544"/>
      <c r="JKL54" s="545"/>
      <c r="JKM54" s="545"/>
      <c r="JKN54" s="545"/>
      <c r="JKO54" s="545"/>
      <c r="JKP54" s="545"/>
      <c r="JKQ54" s="545"/>
      <c r="JKR54" s="544"/>
      <c r="JKS54" s="545"/>
      <c r="JKT54" s="545"/>
      <c r="JKU54" s="545"/>
      <c r="JKV54" s="545"/>
      <c r="JKW54" s="545"/>
      <c r="JKX54" s="545"/>
      <c r="JKY54" s="544"/>
      <c r="JKZ54" s="545"/>
      <c r="JLA54" s="545"/>
      <c r="JLB54" s="545"/>
      <c r="JLC54" s="545"/>
      <c r="JLD54" s="545"/>
      <c r="JLE54" s="545"/>
      <c r="JLF54" s="544"/>
      <c r="JLG54" s="545"/>
      <c r="JLH54" s="545"/>
      <c r="JLI54" s="545"/>
      <c r="JLJ54" s="545"/>
      <c r="JLK54" s="545"/>
      <c r="JLL54" s="545"/>
      <c r="JLM54" s="544"/>
      <c r="JLN54" s="545"/>
      <c r="JLO54" s="545"/>
      <c r="JLP54" s="545"/>
      <c r="JLQ54" s="545"/>
      <c r="JLR54" s="545"/>
      <c r="JLS54" s="545"/>
      <c r="JLT54" s="544"/>
      <c r="JLU54" s="545"/>
      <c r="JLV54" s="545"/>
      <c r="JLW54" s="545"/>
      <c r="JLX54" s="545"/>
      <c r="JLY54" s="545"/>
      <c r="JLZ54" s="545"/>
      <c r="JMA54" s="544"/>
      <c r="JMB54" s="545"/>
      <c r="JMC54" s="545"/>
      <c r="JMD54" s="545"/>
      <c r="JME54" s="545"/>
      <c r="JMF54" s="545"/>
      <c r="JMG54" s="545"/>
      <c r="JMH54" s="544"/>
      <c r="JMI54" s="545"/>
      <c r="JMJ54" s="545"/>
      <c r="JMK54" s="545"/>
      <c r="JML54" s="545"/>
      <c r="JMM54" s="545"/>
      <c r="JMN54" s="545"/>
      <c r="JMO54" s="544"/>
      <c r="JMP54" s="545"/>
      <c r="JMQ54" s="545"/>
      <c r="JMR54" s="545"/>
      <c r="JMS54" s="545"/>
      <c r="JMT54" s="545"/>
      <c r="JMU54" s="545"/>
      <c r="JMV54" s="544"/>
      <c r="JMW54" s="545"/>
      <c r="JMX54" s="545"/>
      <c r="JMY54" s="545"/>
      <c r="JMZ54" s="545"/>
      <c r="JNA54" s="545"/>
      <c r="JNB54" s="545"/>
      <c r="JNC54" s="544"/>
      <c r="JND54" s="545"/>
      <c r="JNE54" s="545"/>
      <c r="JNF54" s="545"/>
      <c r="JNG54" s="545"/>
      <c r="JNH54" s="545"/>
      <c r="JNI54" s="545"/>
      <c r="JNJ54" s="544"/>
      <c r="JNK54" s="545"/>
      <c r="JNL54" s="545"/>
      <c r="JNM54" s="545"/>
      <c r="JNN54" s="545"/>
      <c r="JNO54" s="545"/>
      <c r="JNP54" s="545"/>
      <c r="JNQ54" s="544"/>
      <c r="JNR54" s="545"/>
      <c r="JNS54" s="545"/>
      <c r="JNT54" s="545"/>
      <c r="JNU54" s="545"/>
      <c r="JNV54" s="545"/>
      <c r="JNW54" s="545"/>
      <c r="JNX54" s="544"/>
      <c r="JNY54" s="545"/>
      <c r="JNZ54" s="545"/>
      <c r="JOA54" s="545"/>
      <c r="JOB54" s="545"/>
      <c r="JOC54" s="545"/>
      <c r="JOD54" s="545"/>
      <c r="JOE54" s="544"/>
      <c r="JOF54" s="545"/>
      <c r="JOG54" s="545"/>
      <c r="JOH54" s="545"/>
      <c r="JOI54" s="545"/>
      <c r="JOJ54" s="545"/>
      <c r="JOK54" s="545"/>
      <c r="JOL54" s="544"/>
      <c r="JOM54" s="545"/>
      <c r="JON54" s="545"/>
      <c r="JOO54" s="545"/>
      <c r="JOP54" s="545"/>
      <c r="JOQ54" s="545"/>
      <c r="JOR54" s="545"/>
      <c r="JOS54" s="544"/>
      <c r="JOT54" s="545"/>
      <c r="JOU54" s="545"/>
      <c r="JOV54" s="545"/>
      <c r="JOW54" s="545"/>
      <c r="JOX54" s="545"/>
      <c r="JOY54" s="545"/>
      <c r="JOZ54" s="544"/>
      <c r="JPA54" s="545"/>
      <c r="JPB54" s="545"/>
      <c r="JPC54" s="545"/>
      <c r="JPD54" s="545"/>
      <c r="JPE54" s="545"/>
      <c r="JPF54" s="545"/>
      <c r="JPG54" s="544"/>
      <c r="JPH54" s="545"/>
      <c r="JPI54" s="545"/>
      <c r="JPJ54" s="545"/>
      <c r="JPK54" s="545"/>
      <c r="JPL54" s="545"/>
      <c r="JPM54" s="545"/>
      <c r="JPN54" s="544"/>
      <c r="JPO54" s="545"/>
      <c r="JPP54" s="545"/>
      <c r="JPQ54" s="545"/>
      <c r="JPR54" s="545"/>
      <c r="JPS54" s="545"/>
      <c r="JPT54" s="545"/>
      <c r="JPU54" s="544"/>
      <c r="JPV54" s="545"/>
      <c r="JPW54" s="545"/>
      <c r="JPX54" s="545"/>
      <c r="JPY54" s="545"/>
      <c r="JPZ54" s="545"/>
      <c r="JQA54" s="545"/>
      <c r="JQB54" s="544"/>
      <c r="JQC54" s="545"/>
      <c r="JQD54" s="545"/>
      <c r="JQE54" s="545"/>
      <c r="JQF54" s="545"/>
      <c r="JQG54" s="545"/>
      <c r="JQH54" s="545"/>
      <c r="JQI54" s="544"/>
      <c r="JQJ54" s="545"/>
      <c r="JQK54" s="545"/>
      <c r="JQL54" s="545"/>
      <c r="JQM54" s="545"/>
      <c r="JQN54" s="545"/>
      <c r="JQO54" s="545"/>
      <c r="JQP54" s="544"/>
      <c r="JQQ54" s="545"/>
      <c r="JQR54" s="545"/>
      <c r="JQS54" s="545"/>
      <c r="JQT54" s="545"/>
      <c r="JQU54" s="545"/>
      <c r="JQV54" s="545"/>
      <c r="JQW54" s="544"/>
      <c r="JQX54" s="545"/>
      <c r="JQY54" s="545"/>
      <c r="JQZ54" s="545"/>
      <c r="JRA54" s="545"/>
      <c r="JRB54" s="545"/>
      <c r="JRC54" s="545"/>
      <c r="JRD54" s="544"/>
      <c r="JRE54" s="545"/>
      <c r="JRF54" s="545"/>
      <c r="JRG54" s="545"/>
      <c r="JRH54" s="545"/>
      <c r="JRI54" s="545"/>
      <c r="JRJ54" s="545"/>
      <c r="JRK54" s="544"/>
      <c r="JRL54" s="545"/>
      <c r="JRM54" s="545"/>
      <c r="JRN54" s="545"/>
      <c r="JRO54" s="545"/>
      <c r="JRP54" s="545"/>
      <c r="JRQ54" s="545"/>
      <c r="JRR54" s="544"/>
      <c r="JRS54" s="545"/>
      <c r="JRT54" s="545"/>
      <c r="JRU54" s="545"/>
      <c r="JRV54" s="545"/>
      <c r="JRW54" s="545"/>
      <c r="JRX54" s="545"/>
      <c r="JRY54" s="544"/>
      <c r="JRZ54" s="545"/>
      <c r="JSA54" s="545"/>
      <c r="JSB54" s="545"/>
      <c r="JSC54" s="545"/>
      <c r="JSD54" s="545"/>
      <c r="JSE54" s="545"/>
      <c r="JSF54" s="544"/>
      <c r="JSG54" s="545"/>
      <c r="JSH54" s="545"/>
      <c r="JSI54" s="545"/>
      <c r="JSJ54" s="545"/>
      <c r="JSK54" s="545"/>
      <c r="JSL54" s="545"/>
      <c r="JSM54" s="544"/>
      <c r="JSN54" s="545"/>
      <c r="JSO54" s="545"/>
      <c r="JSP54" s="545"/>
      <c r="JSQ54" s="545"/>
      <c r="JSR54" s="545"/>
      <c r="JSS54" s="545"/>
      <c r="JST54" s="544"/>
      <c r="JSU54" s="545"/>
      <c r="JSV54" s="545"/>
      <c r="JSW54" s="545"/>
      <c r="JSX54" s="545"/>
      <c r="JSY54" s="545"/>
      <c r="JSZ54" s="545"/>
      <c r="JTA54" s="544"/>
      <c r="JTB54" s="545"/>
      <c r="JTC54" s="545"/>
      <c r="JTD54" s="545"/>
      <c r="JTE54" s="545"/>
      <c r="JTF54" s="545"/>
      <c r="JTG54" s="545"/>
      <c r="JTH54" s="544"/>
      <c r="JTI54" s="545"/>
      <c r="JTJ54" s="545"/>
      <c r="JTK54" s="545"/>
      <c r="JTL54" s="545"/>
      <c r="JTM54" s="545"/>
      <c r="JTN54" s="545"/>
      <c r="JTO54" s="544"/>
      <c r="JTP54" s="545"/>
      <c r="JTQ54" s="545"/>
      <c r="JTR54" s="545"/>
      <c r="JTS54" s="545"/>
      <c r="JTT54" s="545"/>
      <c r="JTU54" s="545"/>
      <c r="JTV54" s="544"/>
      <c r="JTW54" s="545"/>
      <c r="JTX54" s="545"/>
      <c r="JTY54" s="545"/>
      <c r="JTZ54" s="545"/>
      <c r="JUA54" s="545"/>
      <c r="JUB54" s="545"/>
      <c r="JUC54" s="544"/>
      <c r="JUD54" s="545"/>
      <c r="JUE54" s="545"/>
      <c r="JUF54" s="545"/>
      <c r="JUG54" s="545"/>
      <c r="JUH54" s="545"/>
      <c r="JUI54" s="545"/>
      <c r="JUJ54" s="544"/>
      <c r="JUK54" s="545"/>
      <c r="JUL54" s="545"/>
      <c r="JUM54" s="545"/>
      <c r="JUN54" s="545"/>
      <c r="JUO54" s="545"/>
      <c r="JUP54" s="545"/>
      <c r="JUQ54" s="544"/>
      <c r="JUR54" s="545"/>
      <c r="JUS54" s="545"/>
      <c r="JUT54" s="545"/>
      <c r="JUU54" s="545"/>
      <c r="JUV54" s="545"/>
      <c r="JUW54" s="545"/>
      <c r="JUX54" s="544"/>
      <c r="JUY54" s="545"/>
      <c r="JUZ54" s="545"/>
      <c r="JVA54" s="545"/>
      <c r="JVB54" s="545"/>
      <c r="JVC54" s="545"/>
      <c r="JVD54" s="545"/>
      <c r="JVE54" s="544"/>
      <c r="JVF54" s="545"/>
      <c r="JVG54" s="545"/>
      <c r="JVH54" s="545"/>
      <c r="JVI54" s="545"/>
      <c r="JVJ54" s="545"/>
      <c r="JVK54" s="545"/>
      <c r="JVL54" s="544"/>
      <c r="JVM54" s="545"/>
      <c r="JVN54" s="545"/>
      <c r="JVO54" s="545"/>
      <c r="JVP54" s="545"/>
      <c r="JVQ54" s="545"/>
      <c r="JVR54" s="545"/>
      <c r="JVS54" s="544"/>
      <c r="JVT54" s="545"/>
      <c r="JVU54" s="545"/>
      <c r="JVV54" s="545"/>
      <c r="JVW54" s="545"/>
      <c r="JVX54" s="545"/>
      <c r="JVY54" s="545"/>
      <c r="JVZ54" s="544"/>
      <c r="JWA54" s="545"/>
      <c r="JWB54" s="545"/>
      <c r="JWC54" s="545"/>
      <c r="JWD54" s="545"/>
      <c r="JWE54" s="545"/>
      <c r="JWF54" s="545"/>
      <c r="JWG54" s="544"/>
      <c r="JWH54" s="545"/>
      <c r="JWI54" s="545"/>
      <c r="JWJ54" s="545"/>
      <c r="JWK54" s="545"/>
      <c r="JWL54" s="545"/>
      <c r="JWM54" s="545"/>
      <c r="JWN54" s="544"/>
      <c r="JWO54" s="545"/>
      <c r="JWP54" s="545"/>
      <c r="JWQ54" s="545"/>
      <c r="JWR54" s="545"/>
      <c r="JWS54" s="545"/>
      <c r="JWT54" s="545"/>
      <c r="JWU54" s="544"/>
      <c r="JWV54" s="545"/>
      <c r="JWW54" s="545"/>
      <c r="JWX54" s="545"/>
      <c r="JWY54" s="545"/>
      <c r="JWZ54" s="545"/>
      <c r="JXA54" s="545"/>
      <c r="JXB54" s="544"/>
      <c r="JXC54" s="545"/>
      <c r="JXD54" s="545"/>
      <c r="JXE54" s="545"/>
      <c r="JXF54" s="545"/>
      <c r="JXG54" s="545"/>
      <c r="JXH54" s="545"/>
      <c r="JXI54" s="544"/>
      <c r="JXJ54" s="545"/>
      <c r="JXK54" s="545"/>
      <c r="JXL54" s="545"/>
      <c r="JXM54" s="545"/>
      <c r="JXN54" s="545"/>
      <c r="JXO54" s="545"/>
      <c r="JXP54" s="544"/>
      <c r="JXQ54" s="545"/>
      <c r="JXR54" s="545"/>
      <c r="JXS54" s="545"/>
      <c r="JXT54" s="545"/>
      <c r="JXU54" s="545"/>
      <c r="JXV54" s="545"/>
      <c r="JXW54" s="544"/>
      <c r="JXX54" s="545"/>
      <c r="JXY54" s="545"/>
      <c r="JXZ54" s="545"/>
      <c r="JYA54" s="545"/>
      <c r="JYB54" s="545"/>
      <c r="JYC54" s="545"/>
      <c r="JYD54" s="544"/>
      <c r="JYE54" s="545"/>
      <c r="JYF54" s="545"/>
      <c r="JYG54" s="545"/>
      <c r="JYH54" s="545"/>
      <c r="JYI54" s="545"/>
      <c r="JYJ54" s="545"/>
      <c r="JYK54" s="544"/>
      <c r="JYL54" s="545"/>
      <c r="JYM54" s="545"/>
      <c r="JYN54" s="545"/>
      <c r="JYO54" s="545"/>
      <c r="JYP54" s="545"/>
      <c r="JYQ54" s="545"/>
      <c r="JYR54" s="544"/>
      <c r="JYS54" s="545"/>
      <c r="JYT54" s="545"/>
      <c r="JYU54" s="545"/>
      <c r="JYV54" s="545"/>
      <c r="JYW54" s="545"/>
      <c r="JYX54" s="545"/>
      <c r="JYY54" s="544"/>
      <c r="JYZ54" s="545"/>
      <c r="JZA54" s="545"/>
      <c r="JZB54" s="545"/>
      <c r="JZC54" s="545"/>
      <c r="JZD54" s="545"/>
      <c r="JZE54" s="545"/>
      <c r="JZF54" s="544"/>
      <c r="JZG54" s="545"/>
      <c r="JZH54" s="545"/>
      <c r="JZI54" s="545"/>
      <c r="JZJ54" s="545"/>
      <c r="JZK54" s="545"/>
      <c r="JZL54" s="545"/>
      <c r="JZM54" s="544"/>
      <c r="JZN54" s="545"/>
      <c r="JZO54" s="545"/>
      <c r="JZP54" s="545"/>
      <c r="JZQ54" s="545"/>
      <c r="JZR54" s="545"/>
      <c r="JZS54" s="545"/>
      <c r="JZT54" s="544"/>
      <c r="JZU54" s="545"/>
      <c r="JZV54" s="545"/>
      <c r="JZW54" s="545"/>
      <c r="JZX54" s="545"/>
      <c r="JZY54" s="545"/>
      <c r="JZZ54" s="545"/>
      <c r="KAA54" s="544"/>
      <c r="KAB54" s="545"/>
      <c r="KAC54" s="545"/>
      <c r="KAD54" s="545"/>
      <c r="KAE54" s="545"/>
      <c r="KAF54" s="545"/>
      <c r="KAG54" s="545"/>
      <c r="KAH54" s="544"/>
      <c r="KAI54" s="545"/>
      <c r="KAJ54" s="545"/>
      <c r="KAK54" s="545"/>
      <c r="KAL54" s="545"/>
      <c r="KAM54" s="545"/>
      <c r="KAN54" s="545"/>
      <c r="KAO54" s="544"/>
      <c r="KAP54" s="545"/>
      <c r="KAQ54" s="545"/>
      <c r="KAR54" s="545"/>
      <c r="KAS54" s="545"/>
      <c r="KAT54" s="545"/>
      <c r="KAU54" s="545"/>
      <c r="KAV54" s="544"/>
      <c r="KAW54" s="545"/>
      <c r="KAX54" s="545"/>
      <c r="KAY54" s="545"/>
      <c r="KAZ54" s="545"/>
      <c r="KBA54" s="545"/>
      <c r="KBB54" s="545"/>
      <c r="KBC54" s="544"/>
      <c r="KBD54" s="545"/>
      <c r="KBE54" s="545"/>
      <c r="KBF54" s="545"/>
      <c r="KBG54" s="545"/>
      <c r="KBH54" s="545"/>
      <c r="KBI54" s="545"/>
      <c r="KBJ54" s="544"/>
      <c r="KBK54" s="545"/>
      <c r="KBL54" s="545"/>
      <c r="KBM54" s="545"/>
      <c r="KBN54" s="545"/>
      <c r="KBO54" s="545"/>
      <c r="KBP54" s="545"/>
      <c r="KBQ54" s="544"/>
      <c r="KBR54" s="545"/>
      <c r="KBS54" s="545"/>
      <c r="KBT54" s="545"/>
      <c r="KBU54" s="545"/>
      <c r="KBV54" s="545"/>
      <c r="KBW54" s="545"/>
      <c r="KBX54" s="544"/>
      <c r="KBY54" s="545"/>
      <c r="KBZ54" s="545"/>
      <c r="KCA54" s="545"/>
      <c r="KCB54" s="545"/>
      <c r="KCC54" s="545"/>
      <c r="KCD54" s="545"/>
      <c r="KCE54" s="544"/>
      <c r="KCF54" s="545"/>
      <c r="KCG54" s="545"/>
      <c r="KCH54" s="545"/>
      <c r="KCI54" s="545"/>
      <c r="KCJ54" s="545"/>
      <c r="KCK54" s="545"/>
      <c r="KCL54" s="544"/>
      <c r="KCM54" s="545"/>
      <c r="KCN54" s="545"/>
      <c r="KCO54" s="545"/>
      <c r="KCP54" s="545"/>
      <c r="KCQ54" s="545"/>
      <c r="KCR54" s="545"/>
      <c r="KCS54" s="544"/>
      <c r="KCT54" s="545"/>
      <c r="KCU54" s="545"/>
      <c r="KCV54" s="545"/>
      <c r="KCW54" s="545"/>
      <c r="KCX54" s="545"/>
      <c r="KCY54" s="545"/>
      <c r="KCZ54" s="544"/>
      <c r="KDA54" s="545"/>
      <c r="KDB54" s="545"/>
      <c r="KDC54" s="545"/>
      <c r="KDD54" s="545"/>
      <c r="KDE54" s="545"/>
      <c r="KDF54" s="545"/>
      <c r="KDG54" s="544"/>
      <c r="KDH54" s="545"/>
      <c r="KDI54" s="545"/>
      <c r="KDJ54" s="545"/>
      <c r="KDK54" s="545"/>
      <c r="KDL54" s="545"/>
      <c r="KDM54" s="545"/>
      <c r="KDN54" s="544"/>
      <c r="KDO54" s="545"/>
      <c r="KDP54" s="545"/>
      <c r="KDQ54" s="545"/>
      <c r="KDR54" s="545"/>
      <c r="KDS54" s="545"/>
      <c r="KDT54" s="545"/>
      <c r="KDU54" s="544"/>
      <c r="KDV54" s="545"/>
      <c r="KDW54" s="545"/>
      <c r="KDX54" s="545"/>
      <c r="KDY54" s="545"/>
      <c r="KDZ54" s="545"/>
      <c r="KEA54" s="545"/>
      <c r="KEB54" s="544"/>
      <c r="KEC54" s="545"/>
      <c r="KED54" s="545"/>
      <c r="KEE54" s="545"/>
      <c r="KEF54" s="545"/>
      <c r="KEG54" s="545"/>
      <c r="KEH54" s="545"/>
      <c r="KEI54" s="544"/>
      <c r="KEJ54" s="545"/>
      <c r="KEK54" s="545"/>
      <c r="KEL54" s="545"/>
      <c r="KEM54" s="545"/>
      <c r="KEN54" s="545"/>
      <c r="KEO54" s="545"/>
      <c r="KEP54" s="544"/>
      <c r="KEQ54" s="545"/>
      <c r="KER54" s="545"/>
      <c r="KES54" s="545"/>
      <c r="KET54" s="545"/>
      <c r="KEU54" s="545"/>
      <c r="KEV54" s="545"/>
      <c r="KEW54" s="544"/>
      <c r="KEX54" s="545"/>
      <c r="KEY54" s="545"/>
      <c r="KEZ54" s="545"/>
      <c r="KFA54" s="545"/>
      <c r="KFB54" s="545"/>
      <c r="KFC54" s="545"/>
      <c r="KFD54" s="544"/>
      <c r="KFE54" s="545"/>
      <c r="KFF54" s="545"/>
      <c r="KFG54" s="545"/>
      <c r="KFH54" s="545"/>
      <c r="KFI54" s="545"/>
      <c r="KFJ54" s="545"/>
      <c r="KFK54" s="544"/>
      <c r="KFL54" s="545"/>
      <c r="KFM54" s="545"/>
      <c r="KFN54" s="545"/>
      <c r="KFO54" s="545"/>
      <c r="KFP54" s="545"/>
      <c r="KFQ54" s="545"/>
      <c r="KFR54" s="544"/>
      <c r="KFS54" s="545"/>
      <c r="KFT54" s="545"/>
      <c r="KFU54" s="545"/>
      <c r="KFV54" s="545"/>
      <c r="KFW54" s="545"/>
      <c r="KFX54" s="545"/>
      <c r="KFY54" s="544"/>
      <c r="KFZ54" s="545"/>
      <c r="KGA54" s="545"/>
      <c r="KGB54" s="545"/>
      <c r="KGC54" s="545"/>
      <c r="KGD54" s="545"/>
      <c r="KGE54" s="545"/>
      <c r="KGF54" s="544"/>
      <c r="KGG54" s="545"/>
      <c r="KGH54" s="545"/>
      <c r="KGI54" s="545"/>
      <c r="KGJ54" s="545"/>
      <c r="KGK54" s="545"/>
      <c r="KGL54" s="545"/>
      <c r="KGM54" s="544"/>
      <c r="KGN54" s="545"/>
      <c r="KGO54" s="545"/>
      <c r="KGP54" s="545"/>
      <c r="KGQ54" s="545"/>
      <c r="KGR54" s="545"/>
      <c r="KGS54" s="545"/>
      <c r="KGT54" s="544"/>
      <c r="KGU54" s="545"/>
      <c r="KGV54" s="545"/>
      <c r="KGW54" s="545"/>
      <c r="KGX54" s="545"/>
      <c r="KGY54" s="545"/>
      <c r="KGZ54" s="545"/>
      <c r="KHA54" s="544"/>
      <c r="KHB54" s="545"/>
      <c r="KHC54" s="545"/>
      <c r="KHD54" s="545"/>
      <c r="KHE54" s="545"/>
      <c r="KHF54" s="545"/>
      <c r="KHG54" s="545"/>
      <c r="KHH54" s="544"/>
      <c r="KHI54" s="545"/>
      <c r="KHJ54" s="545"/>
      <c r="KHK54" s="545"/>
      <c r="KHL54" s="545"/>
      <c r="KHM54" s="545"/>
      <c r="KHN54" s="545"/>
      <c r="KHO54" s="544"/>
      <c r="KHP54" s="545"/>
      <c r="KHQ54" s="545"/>
      <c r="KHR54" s="545"/>
      <c r="KHS54" s="545"/>
      <c r="KHT54" s="545"/>
      <c r="KHU54" s="545"/>
      <c r="KHV54" s="544"/>
      <c r="KHW54" s="545"/>
      <c r="KHX54" s="545"/>
      <c r="KHY54" s="545"/>
      <c r="KHZ54" s="545"/>
      <c r="KIA54" s="545"/>
      <c r="KIB54" s="545"/>
      <c r="KIC54" s="544"/>
      <c r="KID54" s="545"/>
      <c r="KIE54" s="545"/>
      <c r="KIF54" s="545"/>
      <c r="KIG54" s="545"/>
      <c r="KIH54" s="545"/>
      <c r="KII54" s="545"/>
      <c r="KIJ54" s="544"/>
      <c r="KIK54" s="545"/>
      <c r="KIL54" s="545"/>
      <c r="KIM54" s="545"/>
      <c r="KIN54" s="545"/>
      <c r="KIO54" s="545"/>
      <c r="KIP54" s="545"/>
      <c r="KIQ54" s="544"/>
      <c r="KIR54" s="545"/>
      <c r="KIS54" s="545"/>
      <c r="KIT54" s="545"/>
      <c r="KIU54" s="545"/>
      <c r="KIV54" s="545"/>
      <c r="KIW54" s="545"/>
      <c r="KIX54" s="544"/>
      <c r="KIY54" s="545"/>
      <c r="KIZ54" s="545"/>
      <c r="KJA54" s="545"/>
      <c r="KJB54" s="545"/>
      <c r="KJC54" s="545"/>
      <c r="KJD54" s="545"/>
      <c r="KJE54" s="544"/>
      <c r="KJF54" s="545"/>
      <c r="KJG54" s="545"/>
      <c r="KJH54" s="545"/>
      <c r="KJI54" s="545"/>
      <c r="KJJ54" s="545"/>
      <c r="KJK54" s="545"/>
      <c r="KJL54" s="544"/>
      <c r="KJM54" s="545"/>
      <c r="KJN54" s="545"/>
      <c r="KJO54" s="545"/>
      <c r="KJP54" s="545"/>
      <c r="KJQ54" s="545"/>
      <c r="KJR54" s="545"/>
      <c r="KJS54" s="544"/>
      <c r="KJT54" s="545"/>
      <c r="KJU54" s="545"/>
      <c r="KJV54" s="545"/>
      <c r="KJW54" s="545"/>
      <c r="KJX54" s="545"/>
      <c r="KJY54" s="545"/>
      <c r="KJZ54" s="544"/>
      <c r="KKA54" s="545"/>
      <c r="KKB54" s="545"/>
      <c r="KKC54" s="545"/>
      <c r="KKD54" s="545"/>
      <c r="KKE54" s="545"/>
      <c r="KKF54" s="545"/>
      <c r="KKG54" s="544"/>
      <c r="KKH54" s="545"/>
      <c r="KKI54" s="545"/>
      <c r="KKJ54" s="545"/>
      <c r="KKK54" s="545"/>
      <c r="KKL54" s="545"/>
      <c r="KKM54" s="545"/>
      <c r="KKN54" s="544"/>
      <c r="KKO54" s="545"/>
      <c r="KKP54" s="545"/>
      <c r="KKQ54" s="545"/>
      <c r="KKR54" s="545"/>
      <c r="KKS54" s="545"/>
      <c r="KKT54" s="545"/>
      <c r="KKU54" s="544"/>
      <c r="KKV54" s="545"/>
      <c r="KKW54" s="545"/>
      <c r="KKX54" s="545"/>
      <c r="KKY54" s="545"/>
      <c r="KKZ54" s="545"/>
      <c r="KLA54" s="545"/>
      <c r="KLB54" s="544"/>
      <c r="KLC54" s="545"/>
      <c r="KLD54" s="545"/>
      <c r="KLE54" s="545"/>
      <c r="KLF54" s="545"/>
      <c r="KLG54" s="545"/>
      <c r="KLH54" s="545"/>
      <c r="KLI54" s="544"/>
      <c r="KLJ54" s="545"/>
      <c r="KLK54" s="545"/>
      <c r="KLL54" s="545"/>
      <c r="KLM54" s="545"/>
      <c r="KLN54" s="545"/>
      <c r="KLO54" s="545"/>
      <c r="KLP54" s="544"/>
      <c r="KLQ54" s="545"/>
      <c r="KLR54" s="545"/>
      <c r="KLS54" s="545"/>
      <c r="KLT54" s="545"/>
      <c r="KLU54" s="545"/>
      <c r="KLV54" s="545"/>
      <c r="KLW54" s="544"/>
      <c r="KLX54" s="545"/>
      <c r="KLY54" s="545"/>
      <c r="KLZ54" s="545"/>
      <c r="KMA54" s="545"/>
      <c r="KMB54" s="545"/>
      <c r="KMC54" s="545"/>
      <c r="KMD54" s="544"/>
      <c r="KME54" s="545"/>
      <c r="KMF54" s="545"/>
      <c r="KMG54" s="545"/>
      <c r="KMH54" s="545"/>
      <c r="KMI54" s="545"/>
      <c r="KMJ54" s="545"/>
      <c r="KMK54" s="544"/>
      <c r="KML54" s="545"/>
      <c r="KMM54" s="545"/>
      <c r="KMN54" s="545"/>
      <c r="KMO54" s="545"/>
      <c r="KMP54" s="545"/>
      <c r="KMQ54" s="545"/>
      <c r="KMR54" s="544"/>
      <c r="KMS54" s="545"/>
      <c r="KMT54" s="545"/>
      <c r="KMU54" s="545"/>
      <c r="KMV54" s="545"/>
      <c r="KMW54" s="545"/>
      <c r="KMX54" s="545"/>
      <c r="KMY54" s="544"/>
      <c r="KMZ54" s="545"/>
      <c r="KNA54" s="545"/>
      <c r="KNB54" s="545"/>
      <c r="KNC54" s="545"/>
      <c r="KND54" s="545"/>
      <c r="KNE54" s="545"/>
      <c r="KNF54" s="544"/>
      <c r="KNG54" s="545"/>
      <c r="KNH54" s="545"/>
      <c r="KNI54" s="545"/>
      <c r="KNJ54" s="545"/>
      <c r="KNK54" s="545"/>
      <c r="KNL54" s="545"/>
      <c r="KNM54" s="544"/>
      <c r="KNN54" s="545"/>
      <c r="KNO54" s="545"/>
      <c r="KNP54" s="545"/>
      <c r="KNQ54" s="545"/>
      <c r="KNR54" s="545"/>
      <c r="KNS54" s="545"/>
      <c r="KNT54" s="544"/>
      <c r="KNU54" s="545"/>
      <c r="KNV54" s="545"/>
      <c r="KNW54" s="545"/>
      <c r="KNX54" s="545"/>
      <c r="KNY54" s="545"/>
      <c r="KNZ54" s="545"/>
      <c r="KOA54" s="544"/>
      <c r="KOB54" s="545"/>
      <c r="KOC54" s="545"/>
      <c r="KOD54" s="545"/>
      <c r="KOE54" s="545"/>
      <c r="KOF54" s="545"/>
      <c r="KOG54" s="545"/>
      <c r="KOH54" s="544"/>
      <c r="KOI54" s="545"/>
      <c r="KOJ54" s="545"/>
      <c r="KOK54" s="545"/>
      <c r="KOL54" s="545"/>
      <c r="KOM54" s="545"/>
      <c r="KON54" s="545"/>
      <c r="KOO54" s="544"/>
      <c r="KOP54" s="545"/>
      <c r="KOQ54" s="545"/>
      <c r="KOR54" s="545"/>
      <c r="KOS54" s="545"/>
      <c r="KOT54" s="545"/>
      <c r="KOU54" s="545"/>
      <c r="KOV54" s="544"/>
      <c r="KOW54" s="545"/>
      <c r="KOX54" s="545"/>
      <c r="KOY54" s="545"/>
      <c r="KOZ54" s="545"/>
      <c r="KPA54" s="545"/>
      <c r="KPB54" s="545"/>
      <c r="KPC54" s="544"/>
      <c r="KPD54" s="545"/>
      <c r="KPE54" s="545"/>
      <c r="KPF54" s="545"/>
      <c r="KPG54" s="545"/>
      <c r="KPH54" s="545"/>
      <c r="KPI54" s="545"/>
      <c r="KPJ54" s="544"/>
      <c r="KPK54" s="545"/>
      <c r="KPL54" s="545"/>
      <c r="KPM54" s="545"/>
      <c r="KPN54" s="545"/>
      <c r="KPO54" s="545"/>
      <c r="KPP54" s="545"/>
      <c r="KPQ54" s="544"/>
      <c r="KPR54" s="545"/>
      <c r="KPS54" s="545"/>
      <c r="KPT54" s="545"/>
      <c r="KPU54" s="545"/>
      <c r="KPV54" s="545"/>
      <c r="KPW54" s="545"/>
      <c r="KPX54" s="544"/>
      <c r="KPY54" s="545"/>
      <c r="KPZ54" s="545"/>
      <c r="KQA54" s="545"/>
      <c r="KQB54" s="545"/>
      <c r="KQC54" s="545"/>
      <c r="KQD54" s="545"/>
      <c r="KQE54" s="544"/>
      <c r="KQF54" s="545"/>
      <c r="KQG54" s="545"/>
      <c r="KQH54" s="545"/>
      <c r="KQI54" s="545"/>
      <c r="KQJ54" s="545"/>
      <c r="KQK54" s="545"/>
      <c r="KQL54" s="544"/>
      <c r="KQM54" s="545"/>
      <c r="KQN54" s="545"/>
      <c r="KQO54" s="545"/>
      <c r="KQP54" s="545"/>
      <c r="KQQ54" s="545"/>
      <c r="KQR54" s="545"/>
      <c r="KQS54" s="544"/>
      <c r="KQT54" s="545"/>
      <c r="KQU54" s="545"/>
      <c r="KQV54" s="545"/>
      <c r="KQW54" s="545"/>
      <c r="KQX54" s="545"/>
      <c r="KQY54" s="545"/>
      <c r="KQZ54" s="544"/>
      <c r="KRA54" s="545"/>
      <c r="KRB54" s="545"/>
      <c r="KRC54" s="545"/>
      <c r="KRD54" s="545"/>
      <c r="KRE54" s="545"/>
      <c r="KRF54" s="545"/>
      <c r="KRG54" s="544"/>
      <c r="KRH54" s="545"/>
      <c r="KRI54" s="545"/>
      <c r="KRJ54" s="545"/>
      <c r="KRK54" s="545"/>
      <c r="KRL54" s="545"/>
      <c r="KRM54" s="545"/>
      <c r="KRN54" s="544"/>
      <c r="KRO54" s="545"/>
      <c r="KRP54" s="545"/>
      <c r="KRQ54" s="545"/>
      <c r="KRR54" s="545"/>
      <c r="KRS54" s="545"/>
      <c r="KRT54" s="545"/>
      <c r="KRU54" s="544"/>
      <c r="KRV54" s="545"/>
      <c r="KRW54" s="545"/>
      <c r="KRX54" s="545"/>
      <c r="KRY54" s="545"/>
      <c r="KRZ54" s="545"/>
      <c r="KSA54" s="545"/>
      <c r="KSB54" s="544"/>
      <c r="KSC54" s="545"/>
      <c r="KSD54" s="545"/>
      <c r="KSE54" s="545"/>
      <c r="KSF54" s="545"/>
      <c r="KSG54" s="545"/>
      <c r="KSH54" s="545"/>
      <c r="KSI54" s="544"/>
      <c r="KSJ54" s="545"/>
      <c r="KSK54" s="545"/>
      <c r="KSL54" s="545"/>
      <c r="KSM54" s="545"/>
      <c r="KSN54" s="545"/>
      <c r="KSO54" s="545"/>
      <c r="KSP54" s="544"/>
      <c r="KSQ54" s="545"/>
      <c r="KSR54" s="545"/>
      <c r="KSS54" s="545"/>
      <c r="KST54" s="545"/>
      <c r="KSU54" s="545"/>
      <c r="KSV54" s="545"/>
      <c r="KSW54" s="544"/>
      <c r="KSX54" s="545"/>
      <c r="KSY54" s="545"/>
      <c r="KSZ54" s="545"/>
      <c r="KTA54" s="545"/>
      <c r="KTB54" s="545"/>
      <c r="KTC54" s="545"/>
      <c r="KTD54" s="544"/>
      <c r="KTE54" s="545"/>
      <c r="KTF54" s="545"/>
      <c r="KTG54" s="545"/>
      <c r="KTH54" s="545"/>
      <c r="KTI54" s="545"/>
      <c r="KTJ54" s="545"/>
      <c r="KTK54" s="544"/>
      <c r="KTL54" s="545"/>
      <c r="KTM54" s="545"/>
      <c r="KTN54" s="545"/>
      <c r="KTO54" s="545"/>
      <c r="KTP54" s="545"/>
      <c r="KTQ54" s="545"/>
      <c r="KTR54" s="544"/>
      <c r="KTS54" s="545"/>
      <c r="KTT54" s="545"/>
      <c r="KTU54" s="545"/>
      <c r="KTV54" s="545"/>
      <c r="KTW54" s="545"/>
      <c r="KTX54" s="545"/>
      <c r="KTY54" s="544"/>
      <c r="KTZ54" s="545"/>
      <c r="KUA54" s="545"/>
      <c r="KUB54" s="545"/>
      <c r="KUC54" s="545"/>
      <c r="KUD54" s="545"/>
      <c r="KUE54" s="545"/>
      <c r="KUF54" s="544"/>
      <c r="KUG54" s="545"/>
      <c r="KUH54" s="545"/>
      <c r="KUI54" s="545"/>
      <c r="KUJ54" s="545"/>
      <c r="KUK54" s="545"/>
      <c r="KUL54" s="545"/>
      <c r="KUM54" s="544"/>
      <c r="KUN54" s="545"/>
      <c r="KUO54" s="545"/>
      <c r="KUP54" s="545"/>
      <c r="KUQ54" s="545"/>
      <c r="KUR54" s="545"/>
      <c r="KUS54" s="545"/>
      <c r="KUT54" s="544"/>
      <c r="KUU54" s="545"/>
      <c r="KUV54" s="545"/>
      <c r="KUW54" s="545"/>
      <c r="KUX54" s="545"/>
      <c r="KUY54" s="545"/>
      <c r="KUZ54" s="545"/>
      <c r="KVA54" s="544"/>
      <c r="KVB54" s="545"/>
      <c r="KVC54" s="545"/>
      <c r="KVD54" s="545"/>
      <c r="KVE54" s="545"/>
      <c r="KVF54" s="545"/>
      <c r="KVG54" s="545"/>
      <c r="KVH54" s="544"/>
      <c r="KVI54" s="545"/>
      <c r="KVJ54" s="545"/>
      <c r="KVK54" s="545"/>
      <c r="KVL54" s="545"/>
      <c r="KVM54" s="545"/>
      <c r="KVN54" s="545"/>
      <c r="KVO54" s="544"/>
      <c r="KVP54" s="545"/>
      <c r="KVQ54" s="545"/>
      <c r="KVR54" s="545"/>
      <c r="KVS54" s="545"/>
      <c r="KVT54" s="545"/>
      <c r="KVU54" s="545"/>
      <c r="KVV54" s="544"/>
      <c r="KVW54" s="545"/>
      <c r="KVX54" s="545"/>
      <c r="KVY54" s="545"/>
      <c r="KVZ54" s="545"/>
      <c r="KWA54" s="545"/>
      <c r="KWB54" s="545"/>
      <c r="KWC54" s="544"/>
      <c r="KWD54" s="545"/>
      <c r="KWE54" s="545"/>
      <c r="KWF54" s="545"/>
      <c r="KWG54" s="545"/>
      <c r="KWH54" s="545"/>
      <c r="KWI54" s="545"/>
      <c r="KWJ54" s="544"/>
      <c r="KWK54" s="545"/>
      <c r="KWL54" s="545"/>
      <c r="KWM54" s="545"/>
      <c r="KWN54" s="545"/>
      <c r="KWO54" s="545"/>
      <c r="KWP54" s="545"/>
      <c r="KWQ54" s="544"/>
      <c r="KWR54" s="545"/>
      <c r="KWS54" s="545"/>
      <c r="KWT54" s="545"/>
      <c r="KWU54" s="545"/>
      <c r="KWV54" s="545"/>
      <c r="KWW54" s="545"/>
      <c r="KWX54" s="544"/>
      <c r="KWY54" s="545"/>
      <c r="KWZ54" s="545"/>
      <c r="KXA54" s="545"/>
      <c r="KXB54" s="545"/>
      <c r="KXC54" s="545"/>
      <c r="KXD54" s="545"/>
      <c r="KXE54" s="544"/>
      <c r="KXF54" s="545"/>
      <c r="KXG54" s="545"/>
      <c r="KXH54" s="545"/>
      <c r="KXI54" s="545"/>
      <c r="KXJ54" s="545"/>
      <c r="KXK54" s="545"/>
      <c r="KXL54" s="544"/>
      <c r="KXM54" s="545"/>
      <c r="KXN54" s="545"/>
      <c r="KXO54" s="545"/>
      <c r="KXP54" s="545"/>
      <c r="KXQ54" s="545"/>
      <c r="KXR54" s="545"/>
      <c r="KXS54" s="544"/>
      <c r="KXT54" s="545"/>
      <c r="KXU54" s="545"/>
      <c r="KXV54" s="545"/>
      <c r="KXW54" s="545"/>
      <c r="KXX54" s="545"/>
      <c r="KXY54" s="545"/>
      <c r="KXZ54" s="544"/>
      <c r="KYA54" s="545"/>
      <c r="KYB54" s="545"/>
      <c r="KYC54" s="545"/>
      <c r="KYD54" s="545"/>
      <c r="KYE54" s="545"/>
      <c r="KYF54" s="545"/>
      <c r="KYG54" s="544"/>
      <c r="KYH54" s="545"/>
      <c r="KYI54" s="545"/>
      <c r="KYJ54" s="545"/>
      <c r="KYK54" s="545"/>
      <c r="KYL54" s="545"/>
      <c r="KYM54" s="545"/>
      <c r="KYN54" s="544"/>
      <c r="KYO54" s="545"/>
      <c r="KYP54" s="545"/>
      <c r="KYQ54" s="545"/>
      <c r="KYR54" s="545"/>
      <c r="KYS54" s="545"/>
      <c r="KYT54" s="545"/>
      <c r="KYU54" s="544"/>
      <c r="KYV54" s="545"/>
      <c r="KYW54" s="545"/>
      <c r="KYX54" s="545"/>
      <c r="KYY54" s="545"/>
      <c r="KYZ54" s="545"/>
      <c r="KZA54" s="545"/>
      <c r="KZB54" s="544"/>
      <c r="KZC54" s="545"/>
      <c r="KZD54" s="545"/>
      <c r="KZE54" s="545"/>
      <c r="KZF54" s="545"/>
      <c r="KZG54" s="545"/>
      <c r="KZH54" s="545"/>
      <c r="KZI54" s="544"/>
      <c r="KZJ54" s="545"/>
      <c r="KZK54" s="545"/>
      <c r="KZL54" s="545"/>
      <c r="KZM54" s="545"/>
      <c r="KZN54" s="545"/>
      <c r="KZO54" s="545"/>
      <c r="KZP54" s="544"/>
      <c r="KZQ54" s="545"/>
      <c r="KZR54" s="545"/>
      <c r="KZS54" s="545"/>
      <c r="KZT54" s="545"/>
      <c r="KZU54" s="545"/>
      <c r="KZV54" s="545"/>
      <c r="KZW54" s="544"/>
      <c r="KZX54" s="545"/>
      <c r="KZY54" s="545"/>
      <c r="KZZ54" s="545"/>
      <c r="LAA54" s="545"/>
      <c r="LAB54" s="545"/>
      <c r="LAC54" s="545"/>
      <c r="LAD54" s="544"/>
      <c r="LAE54" s="545"/>
      <c r="LAF54" s="545"/>
      <c r="LAG54" s="545"/>
      <c r="LAH54" s="545"/>
      <c r="LAI54" s="545"/>
      <c r="LAJ54" s="545"/>
      <c r="LAK54" s="544"/>
      <c r="LAL54" s="545"/>
      <c r="LAM54" s="545"/>
      <c r="LAN54" s="545"/>
      <c r="LAO54" s="545"/>
      <c r="LAP54" s="545"/>
      <c r="LAQ54" s="545"/>
      <c r="LAR54" s="544"/>
      <c r="LAS54" s="545"/>
      <c r="LAT54" s="545"/>
      <c r="LAU54" s="545"/>
      <c r="LAV54" s="545"/>
      <c r="LAW54" s="545"/>
      <c r="LAX54" s="545"/>
      <c r="LAY54" s="544"/>
      <c r="LAZ54" s="545"/>
      <c r="LBA54" s="545"/>
      <c r="LBB54" s="545"/>
      <c r="LBC54" s="545"/>
      <c r="LBD54" s="545"/>
      <c r="LBE54" s="545"/>
      <c r="LBF54" s="544"/>
      <c r="LBG54" s="545"/>
      <c r="LBH54" s="545"/>
      <c r="LBI54" s="545"/>
      <c r="LBJ54" s="545"/>
      <c r="LBK54" s="545"/>
      <c r="LBL54" s="545"/>
      <c r="LBM54" s="544"/>
      <c r="LBN54" s="545"/>
      <c r="LBO54" s="545"/>
      <c r="LBP54" s="545"/>
      <c r="LBQ54" s="545"/>
      <c r="LBR54" s="545"/>
      <c r="LBS54" s="545"/>
      <c r="LBT54" s="544"/>
      <c r="LBU54" s="545"/>
      <c r="LBV54" s="545"/>
      <c r="LBW54" s="545"/>
      <c r="LBX54" s="545"/>
      <c r="LBY54" s="545"/>
      <c r="LBZ54" s="545"/>
      <c r="LCA54" s="544"/>
      <c r="LCB54" s="545"/>
      <c r="LCC54" s="545"/>
      <c r="LCD54" s="545"/>
      <c r="LCE54" s="545"/>
      <c r="LCF54" s="545"/>
      <c r="LCG54" s="545"/>
      <c r="LCH54" s="544"/>
      <c r="LCI54" s="545"/>
      <c r="LCJ54" s="545"/>
      <c r="LCK54" s="545"/>
      <c r="LCL54" s="545"/>
      <c r="LCM54" s="545"/>
      <c r="LCN54" s="545"/>
      <c r="LCO54" s="544"/>
      <c r="LCP54" s="545"/>
      <c r="LCQ54" s="545"/>
      <c r="LCR54" s="545"/>
      <c r="LCS54" s="545"/>
      <c r="LCT54" s="545"/>
      <c r="LCU54" s="545"/>
      <c r="LCV54" s="544"/>
      <c r="LCW54" s="545"/>
      <c r="LCX54" s="545"/>
      <c r="LCY54" s="545"/>
      <c r="LCZ54" s="545"/>
      <c r="LDA54" s="545"/>
      <c r="LDB54" s="545"/>
      <c r="LDC54" s="544"/>
      <c r="LDD54" s="545"/>
      <c r="LDE54" s="545"/>
      <c r="LDF54" s="545"/>
      <c r="LDG54" s="545"/>
      <c r="LDH54" s="545"/>
      <c r="LDI54" s="545"/>
      <c r="LDJ54" s="544"/>
      <c r="LDK54" s="545"/>
      <c r="LDL54" s="545"/>
      <c r="LDM54" s="545"/>
      <c r="LDN54" s="545"/>
      <c r="LDO54" s="545"/>
      <c r="LDP54" s="545"/>
      <c r="LDQ54" s="544"/>
      <c r="LDR54" s="545"/>
      <c r="LDS54" s="545"/>
      <c r="LDT54" s="545"/>
      <c r="LDU54" s="545"/>
      <c r="LDV54" s="545"/>
      <c r="LDW54" s="545"/>
      <c r="LDX54" s="544"/>
      <c r="LDY54" s="545"/>
      <c r="LDZ54" s="545"/>
      <c r="LEA54" s="545"/>
      <c r="LEB54" s="545"/>
      <c r="LEC54" s="545"/>
      <c r="LED54" s="545"/>
      <c r="LEE54" s="544"/>
      <c r="LEF54" s="545"/>
      <c r="LEG54" s="545"/>
      <c r="LEH54" s="545"/>
      <c r="LEI54" s="545"/>
      <c r="LEJ54" s="545"/>
      <c r="LEK54" s="545"/>
      <c r="LEL54" s="544"/>
      <c r="LEM54" s="545"/>
      <c r="LEN54" s="545"/>
      <c r="LEO54" s="545"/>
      <c r="LEP54" s="545"/>
      <c r="LEQ54" s="545"/>
      <c r="LER54" s="545"/>
      <c r="LES54" s="544"/>
      <c r="LET54" s="545"/>
      <c r="LEU54" s="545"/>
      <c r="LEV54" s="545"/>
      <c r="LEW54" s="545"/>
      <c r="LEX54" s="545"/>
      <c r="LEY54" s="545"/>
      <c r="LEZ54" s="544"/>
      <c r="LFA54" s="545"/>
      <c r="LFB54" s="545"/>
      <c r="LFC54" s="545"/>
      <c r="LFD54" s="545"/>
      <c r="LFE54" s="545"/>
      <c r="LFF54" s="545"/>
      <c r="LFG54" s="544"/>
      <c r="LFH54" s="545"/>
      <c r="LFI54" s="545"/>
      <c r="LFJ54" s="545"/>
      <c r="LFK54" s="545"/>
      <c r="LFL54" s="545"/>
      <c r="LFM54" s="545"/>
      <c r="LFN54" s="544"/>
      <c r="LFO54" s="545"/>
      <c r="LFP54" s="545"/>
      <c r="LFQ54" s="545"/>
      <c r="LFR54" s="545"/>
      <c r="LFS54" s="545"/>
      <c r="LFT54" s="545"/>
      <c r="LFU54" s="544"/>
      <c r="LFV54" s="545"/>
      <c r="LFW54" s="545"/>
      <c r="LFX54" s="545"/>
      <c r="LFY54" s="545"/>
      <c r="LFZ54" s="545"/>
      <c r="LGA54" s="545"/>
      <c r="LGB54" s="544"/>
      <c r="LGC54" s="545"/>
      <c r="LGD54" s="545"/>
      <c r="LGE54" s="545"/>
      <c r="LGF54" s="545"/>
      <c r="LGG54" s="545"/>
      <c r="LGH54" s="545"/>
      <c r="LGI54" s="544"/>
      <c r="LGJ54" s="545"/>
      <c r="LGK54" s="545"/>
      <c r="LGL54" s="545"/>
      <c r="LGM54" s="545"/>
      <c r="LGN54" s="545"/>
      <c r="LGO54" s="545"/>
      <c r="LGP54" s="544"/>
      <c r="LGQ54" s="545"/>
      <c r="LGR54" s="545"/>
      <c r="LGS54" s="545"/>
      <c r="LGT54" s="545"/>
      <c r="LGU54" s="545"/>
      <c r="LGV54" s="545"/>
      <c r="LGW54" s="544"/>
      <c r="LGX54" s="545"/>
      <c r="LGY54" s="545"/>
      <c r="LGZ54" s="545"/>
      <c r="LHA54" s="545"/>
      <c r="LHB54" s="545"/>
      <c r="LHC54" s="545"/>
      <c r="LHD54" s="544"/>
      <c r="LHE54" s="545"/>
      <c r="LHF54" s="545"/>
      <c r="LHG54" s="545"/>
      <c r="LHH54" s="545"/>
      <c r="LHI54" s="545"/>
      <c r="LHJ54" s="545"/>
      <c r="LHK54" s="544"/>
      <c r="LHL54" s="545"/>
      <c r="LHM54" s="545"/>
      <c r="LHN54" s="545"/>
      <c r="LHO54" s="545"/>
      <c r="LHP54" s="545"/>
      <c r="LHQ54" s="545"/>
      <c r="LHR54" s="544"/>
      <c r="LHS54" s="545"/>
      <c r="LHT54" s="545"/>
      <c r="LHU54" s="545"/>
      <c r="LHV54" s="545"/>
      <c r="LHW54" s="545"/>
      <c r="LHX54" s="545"/>
      <c r="LHY54" s="544"/>
      <c r="LHZ54" s="545"/>
      <c r="LIA54" s="545"/>
      <c r="LIB54" s="545"/>
      <c r="LIC54" s="545"/>
      <c r="LID54" s="545"/>
      <c r="LIE54" s="545"/>
      <c r="LIF54" s="544"/>
      <c r="LIG54" s="545"/>
      <c r="LIH54" s="545"/>
      <c r="LII54" s="545"/>
      <c r="LIJ54" s="545"/>
      <c r="LIK54" s="545"/>
      <c r="LIL54" s="545"/>
      <c r="LIM54" s="544"/>
      <c r="LIN54" s="545"/>
      <c r="LIO54" s="545"/>
      <c r="LIP54" s="545"/>
      <c r="LIQ54" s="545"/>
      <c r="LIR54" s="545"/>
      <c r="LIS54" s="545"/>
      <c r="LIT54" s="544"/>
      <c r="LIU54" s="545"/>
      <c r="LIV54" s="545"/>
      <c r="LIW54" s="545"/>
      <c r="LIX54" s="545"/>
      <c r="LIY54" s="545"/>
      <c r="LIZ54" s="545"/>
      <c r="LJA54" s="544"/>
      <c r="LJB54" s="545"/>
      <c r="LJC54" s="545"/>
      <c r="LJD54" s="545"/>
      <c r="LJE54" s="545"/>
      <c r="LJF54" s="545"/>
      <c r="LJG54" s="545"/>
      <c r="LJH54" s="544"/>
      <c r="LJI54" s="545"/>
      <c r="LJJ54" s="545"/>
      <c r="LJK54" s="545"/>
      <c r="LJL54" s="545"/>
      <c r="LJM54" s="545"/>
      <c r="LJN54" s="545"/>
      <c r="LJO54" s="544"/>
      <c r="LJP54" s="545"/>
      <c r="LJQ54" s="545"/>
      <c r="LJR54" s="545"/>
      <c r="LJS54" s="545"/>
      <c r="LJT54" s="545"/>
      <c r="LJU54" s="545"/>
      <c r="LJV54" s="544"/>
      <c r="LJW54" s="545"/>
      <c r="LJX54" s="545"/>
      <c r="LJY54" s="545"/>
      <c r="LJZ54" s="545"/>
      <c r="LKA54" s="545"/>
      <c r="LKB54" s="545"/>
      <c r="LKC54" s="544"/>
      <c r="LKD54" s="545"/>
      <c r="LKE54" s="545"/>
      <c r="LKF54" s="545"/>
      <c r="LKG54" s="545"/>
      <c r="LKH54" s="545"/>
      <c r="LKI54" s="545"/>
      <c r="LKJ54" s="544"/>
      <c r="LKK54" s="545"/>
      <c r="LKL54" s="545"/>
      <c r="LKM54" s="545"/>
      <c r="LKN54" s="545"/>
      <c r="LKO54" s="545"/>
      <c r="LKP54" s="545"/>
      <c r="LKQ54" s="544"/>
      <c r="LKR54" s="545"/>
      <c r="LKS54" s="545"/>
      <c r="LKT54" s="545"/>
      <c r="LKU54" s="545"/>
      <c r="LKV54" s="545"/>
      <c r="LKW54" s="545"/>
      <c r="LKX54" s="544"/>
      <c r="LKY54" s="545"/>
      <c r="LKZ54" s="545"/>
      <c r="LLA54" s="545"/>
      <c r="LLB54" s="545"/>
      <c r="LLC54" s="545"/>
      <c r="LLD54" s="545"/>
      <c r="LLE54" s="544"/>
      <c r="LLF54" s="545"/>
      <c r="LLG54" s="545"/>
      <c r="LLH54" s="545"/>
      <c r="LLI54" s="545"/>
      <c r="LLJ54" s="545"/>
      <c r="LLK54" s="545"/>
      <c r="LLL54" s="544"/>
      <c r="LLM54" s="545"/>
      <c r="LLN54" s="545"/>
      <c r="LLO54" s="545"/>
      <c r="LLP54" s="545"/>
      <c r="LLQ54" s="545"/>
      <c r="LLR54" s="545"/>
      <c r="LLS54" s="544"/>
      <c r="LLT54" s="545"/>
      <c r="LLU54" s="545"/>
      <c r="LLV54" s="545"/>
      <c r="LLW54" s="545"/>
      <c r="LLX54" s="545"/>
      <c r="LLY54" s="545"/>
      <c r="LLZ54" s="544"/>
      <c r="LMA54" s="545"/>
      <c r="LMB54" s="545"/>
      <c r="LMC54" s="545"/>
      <c r="LMD54" s="545"/>
      <c r="LME54" s="545"/>
      <c r="LMF54" s="545"/>
      <c r="LMG54" s="544"/>
      <c r="LMH54" s="545"/>
      <c r="LMI54" s="545"/>
      <c r="LMJ54" s="545"/>
      <c r="LMK54" s="545"/>
      <c r="LML54" s="545"/>
      <c r="LMM54" s="545"/>
      <c r="LMN54" s="544"/>
      <c r="LMO54" s="545"/>
      <c r="LMP54" s="545"/>
      <c r="LMQ54" s="545"/>
      <c r="LMR54" s="545"/>
      <c r="LMS54" s="545"/>
      <c r="LMT54" s="545"/>
      <c r="LMU54" s="544"/>
      <c r="LMV54" s="545"/>
      <c r="LMW54" s="545"/>
      <c r="LMX54" s="545"/>
      <c r="LMY54" s="545"/>
      <c r="LMZ54" s="545"/>
      <c r="LNA54" s="545"/>
      <c r="LNB54" s="544"/>
      <c r="LNC54" s="545"/>
      <c r="LND54" s="545"/>
      <c r="LNE54" s="545"/>
      <c r="LNF54" s="545"/>
      <c r="LNG54" s="545"/>
      <c r="LNH54" s="545"/>
      <c r="LNI54" s="544"/>
      <c r="LNJ54" s="545"/>
      <c r="LNK54" s="545"/>
      <c r="LNL54" s="545"/>
      <c r="LNM54" s="545"/>
      <c r="LNN54" s="545"/>
      <c r="LNO54" s="545"/>
      <c r="LNP54" s="544"/>
      <c r="LNQ54" s="545"/>
      <c r="LNR54" s="545"/>
      <c r="LNS54" s="545"/>
      <c r="LNT54" s="545"/>
      <c r="LNU54" s="545"/>
      <c r="LNV54" s="545"/>
      <c r="LNW54" s="544"/>
      <c r="LNX54" s="545"/>
      <c r="LNY54" s="545"/>
      <c r="LNZ54" s="545"/>
      <c r="LOA54" s="545"/>
      <c r="LOB54" s="545"/>
      <c r="LOC54" s="545"/>
      <c r="LOD54" s="544"/>
      <c r="LOE54" s="545"/>
      <c r="LOF54" s="545"/>
      <c r="LOG54" s="545"/>
      <c r="LOH54" s="545"/>
      <c r="LOI54" s="545"/>
      <c r="LOJ54" s="545"/>
      <c r="LOK54" s="544"/>
      <c r="LOL54" s="545"/>
      <c r="LOM54" s="545"/>
      <c r="LON54" s="545"/>
      <c r="LOO54" s="545"/>
      <c r="LOP54" s="545"/>
      <c r="LOQ54" s="545"/>
      <c r="LOR54" s="544"/>
      <c r="LOS54" s="545"/>
      <c r="LOT54" s="545"/>
      <c r="LOU54" s="545"/>
      <c r="LOV54" s="545"/>
      <c r="LOW54" s="545"/>
      <c r="LOX54" s="545"/>
      <c r="LOY54" s="544"/>
      <c r="LOZ54" s="545"/>
      <c r="LPA54" s="545"/>
      <c r="LPB54" s="545"/>
      <c r="LPC54" s="545"/>
      <c r="LPD54" s="545"/>
      <c r="LPE54" s="545"/>
      <c r="LPF54" s="544"/>
      <c r="LPG54" s="545"/>
      <c r="LPH54" s="545"/>
      <c r="LPI54" s="545"/>
      <c r="LPJ54" s="545"/>
      <c r="LPK54" s="545"/>
      <c r="LPL54" s="545"/>
      <c r="LPM54" s="544"/>
      <c r="LPN54" s="545"/>
      <c r="LPO54" s="545"/>
      <c r="LPP54" s="545"/>
      <c r="LPQ54" s="545"/>
      <c r="LPR54" s="545"/>
      <c r="LPS54" s="545"/>
      <c r="LPT54" s="544"/>
      <c r="LPU54" s="545"/>
      <c r="LPV54" s="545"/>
      <c r="LPW54" s="545"/>
      <c r="LPX54" s="545"/>
      <c r="LPY54" s="545"/>
      <c r="LPZ54" s="545"/>
      <c r="LQA54" s="544"/>
      <c r="LQB54" s="545"/>
      <c r="LQC54" s="545"/>
      <c r="LQD54" s="545"/>
      <c r="LQE54" s="545"/>
      <c r="LQF54" s="545"/>
      <c r="LQG54" s="545"/>
      <c r="LQH54" s="544"/>
      <c r="LQI54" s="545"/>
      <c r="LQJ54" s="545"/>
      <c r="LQK54" s="545"/>
      <c r="LQL54" s="545"/>
      <c r="LQM54" s="545"/>
      <c r="LQN54" s="545"/>
      <c r="LQO54" s="544"/>
      <c r="LQP54" s="545"/>
      <c r="LQQ54" s="545"/>
      <c r="LQR54" s="545"/>
      <c r="LQS54" s="545"/>
      <c r="LQT54" s="545"/>
      <c r="LQU54" s="545"/>
      <c r="LQV54" s="544"/>
      <c r="LQW54" s="545"/>
      <c r="LQX54" s="545"/>
      <c r="LQY54" s="545"/>
      <c r="LQZ54" s="545"/>
      <c r="LRA54" s="545"/>
      <c r="LRB54" s="545"/>
      <c r="LRC54" s="544"/>
      <c r="LRD54" s="545"/>
      <c r="LRE54" s="545"/>
      <c r="LRF54" s="545"/>
      <c r="LRG54" s="545"/>
      <c r="LRH54" s="545"/>
      <c r="LRI54" s="545"/>
      <c r="LRJ54" s="544"/>
      <c r="LRK54" s="545"/>
      <c r="LRL54" s="545"/>
      <c r="LRM54" s="545"/>
      <c r="LRN54" s="545"/>
      <c r="LRO54" s="545"/>
      <c r="LRP54" s="545"/>
      <c r="LRQ54" s="544"/>
      <c r="LRR54" s="545"/>
      <c r="LRS54" s="545"/>
      <c r="LRT54" s="545"/>
      <c r="LRU54" s="545"/>
      <c r="LRV54" s="545"/>
      <c r="LRW54" s="545"/>
      <c r="LRX54" s="544"/>
      <c r="LRY54" s="545"/>
      <c r="LRZ54" s="545"/>
      <c r="LSA54" s="545"/>
      <c r="LSB54" s="545"/>
      <c r="LSC54" s="545"/>
      <c r="LSD54" s="545"/>
      <c r="LSE54" s="544"/>
      <c r="LSF54" s="545"/>
      <c r="LSG54" s="545"/>
      <c r="LSH54" s="545"/>
      <c r="LSI54" s="545"/>
      <c r="LSJ54" s="545"/>
      <c r="LSK54" s="545"/>
      <c r="LSL54" s="544"/>
      <c r="LSM54" s="545"/>
      <c r="LSN54" s="545"/>
      <c r="LSO54" s="545"/>
      <c r="LSP54" s="545"/>
      <c r="LSQ54" s="545"/>
      <c r="LSR54" s="545"/>
      <c r="LSS54" s="544"/>
      <c r="LST54" s="545"/>
      <c r="LSU54" s="545"/>
      <c r="LSV54" s="545"/>
      <c r="LSW54" s="545"/>
      <c r="LSX54" s="545"/>
      <c r="LSY54" s="545"/>
      <c r="LSZ54" s="544"/>
      <c r="LTA54" s="545"/>
      <c r="LTB54" s="545"/>
      <c r="LTC54" s="545"/>
      <c r="LTD54" s="545"/>
      <c r="LTE54" s="545"/>
      <c r="LTF54" s="545"/>
      <c r="LTG54" s="544"/>
      <c r="LTH54" s="545"/>
      <c r="LTI54" s="545"/>
      <c r="LTJ54" s="545"/>
      <c r="LTK54" s="545"/>
      <c r="LTL54" s="545"/>
      <c r="LTM54" s="545"/>
      <c r="LTN54" s="544"/>
      <c r="LTO54" s="545"/>
      <c r="LTP54" s="545"/>
      <c r="LTQ54" s="545"/>
      <c r="LTR54" s="545"/>
      <c r="LTS54" s="545"/>
      <c r="LTT54" s="545"/>
      <c r="LTU54" s="544"/>
      <c r="LTV54" s="545"/>
      <c r="LTW54" s="545"/>
      <c r="LTX54" s="545"/>
      <c r="LTY54" s="545"/>
      <c r="LTZ54" s="545"/>
      <c r="LUA54" s="545"/>
      <c r="LUB54" s="544"/>
      <c r="LUC54" s="545"/>
      <c r="LUD54" s="545"/>
      <c r="LUE54" s="545"/>
      <c r="LUF54" s="545"/>
      <c r="LUG54" s="545"/>
      <c r="LUH54" s="545"/>
      <c r="LUI54" s="544"/>
      <c r="LUJ54" s="545"/>
      <c r="LUK54" s="545"/>
      <c r="LUL54" s="545"/>
      <c r="LUM54" s="545"/>
      <c r="LUN54" s="545"/>
      <c r="LUO54" s="545"/>
      <c r="LUP54" s="544"/>
      <c r="LUQ54" s="545"/>
      <c r="LUR54" s="545"/>
      <c r="LUS54" s="545"/>
      <c r="LUT54" s="545"/>
      <c r="LUU54" s="545"/>
      <c r="LUV54" s="545"/>
      <c r="LUW54" s="544"/>
      <c r="LUX54" s="545"/>
      <c r="LUY54" s="545"/>
      <c r="LUZ54" s="545"/>
      <c r="LVA54" s="545"/>
      <c r="LVB54" s="545"/>
      <c r="LVC54" s="545"/>
      <c r="LVD54" s="544"/>
      <c r="LVE54" s="545"/>
      <c r="LVF54" s="545"/>
      <c r="LVG54" s="545"/>
      <c r="LVH54" s="545"/>
      <c r="LVI54" s="545"/>
      <c r="LVJ54" s="545"/>
      <c r="LVK54" s="544"/>
      <c r="LVL54" s="545"/>
      <c r="LVM54" s="545"/>
      <c r="LVN54" s="545"/>
      <c r="LVO54" s="545"/>
      <c r="LVP54" s="545"/>
      <c r="LVQ54" s="545"/>
      <c r="LVR54" s="544"/>
      <c r="LVS54" s="545"/>
      <c r="LVT54" s="545"/>
      <c r="LVU54" s="545"/>
      <c r="LVV54" s="545"/>
      <c r="LVW54" s="545"/>
      <c r="LVX54" s="545"/>
      <c r="LVY54" s="544"/>
      <c r="LVZ54" s="545"/>
      <c r="LWA54" s="545"/>
      <c r="LWB54" s="545"/>
      <c r="LWC54" s="545"/>
      <c r="LWD54" s="545"/>
      <c r="LWE54" s="545"/>
      <c r="LWF54" s="544"/>
      <c r="LWG54" s="545"/>
      <c r="LWH54" s="545"/>
      <c r="LWI54" s="545"/>
      <c r="LWJ54" s="545"/>
      <c r="LWK54" s="545"/>
      <c r="LWL54" s="545"/>
      <c r="LWM54" s="544"/>
      <c r="LWN54" s="545"/>
      <c r="LWO54" s="545"/>
      <c r="LWP54" s="545"/>
      <c r="LWQ54" s="545"/>
      <c r="LWR54" s="545"/>
      <c r="LWS54" s="545"/>
      <c r="LWT54" s="544"/>
      <c r="LWU54" s="545"/>
      <c r="LWV54" s="545"/>
      <c r="LWW54" s="545"/>
      <c r="LWX54" s="545"/>
      <c r="LWY54" s="545"/>
      <c r="LWZ54" s="545"/>
      <c r="LXA54" s="544"/>
      <c r="LXB54" s="545"/>
      <c r="LXC54" s="545"/>
      <c r="LXD54" s="545"/>
      <c r="LXE54" s="545"/>
      <c r="LXF54" s="545"/>
      <c r="LXG54" s="545"/>
      <c r="LXH54" s="544"/>
      <c r="LXI54" s="545"/>
      <c r="LXJ54" s="545"/>
      <c r="LXK54" s="545"/>
      <c r="LXL54" s="545"/>
      <c r="LXM54" s="545"/>
      <c r="LXN54" s="545"/>
      <c r="LXO54" s="544"/>
      <c r="LXP54" s="545"/>
      <c r="LXQ54" s="545"/>
      <c r="LXR54" s="545"/>
      <c r="LXS54" s="545"/>
      <c r="LXT54" s="545"/>
      <c r="LXU54" s="545"/>
      <c r="LXV54" s="544"/>
      <c r="LXW54" s="545"/>
      <c r="LXX54" s="545"/>
      <c r="LXY54" s="545"/>
      <c r="LXZ54" s="545"/>
      <c r="LYA54" s="545"/>
      <c r="LYB54" s="545"/>
      <c r="LYC54" s="544"/>
      <c r="LYD54" s="545"/>
      <c r="LYE54" s="545"/>
      <c r="LYF54" s="545"/>
      <c r="LYG54" s="545"/>
      <c r="LYH54" s="545"/>
      <c r="LYI54" s="545"/>
      <c r="LYJ54" s="544"/>
      <c r="LYK54" s="545"/>
      <c r="LYL54" s="545"/>
      <c r="LYM54" s="545"/>
      <c r="LYN54" s="545"/>
      <c r="LYO54" s="545"/>
      <c r="LYP54" s="545"/>
      <c r="LYQ54" s="544"/>
      <c r="LYR54" s="545"/>
      <c r="LYS54" s="545"/>
      <c r="LYT54" s="545"/>
      <c r="LYU54" s="545"/>
      <c r="LYV54" s="545"/>
      <c r="LYW54" s="545"/>
      <c r="LYX54" s="544"/>
      <c r="LYY54" s="545"/>
      <c r="LYZ54" s="545"/>
      <c r="LZA54" s="545"/>
      <c r="LZB54" s="545"/>
      <c r="LZC54" s="545"/>
      <c r="LZD54" s="545"/>
      <c r="LZE54" s="544"/>
      <c r="LZF54" s="545"/>
      <c r="LZG54" s="545"/>
      <c r="LZH54" s="545"/>
      <c r="LZI54" s="545"/>
      <c r="LZJ54" s="545"/>
      <c r="LZK54" s="545"/>
      <c r="LZL54" s="544"/>
      <c r="LZM54" s="545"/>
      <c r="LZN54" s="545"/>
      <c r="LZO54" s="545"/>
      <c r="LZP54" s="545"/>
      <c r="LZQ54" s="545"/>
      <c r="LZR54" s="545"/>
      <c r="LZS54" s="544"/>
      <c r="LZT54" s="545"/>
      <c r="LZU54" s="545"/>
      <c r="LZV54" s="545"/>
      <c r="LZW54" s="545"/>
      <c r="LZX54" s="545"/>
      <c r="LZY54" s="545"/>
      <c r="LZZ54" s="544"/>
      <c r="MAA54" s="545"/>
      <c r="MAB54" s="545"/>
      <c r="MAC54" s="545"/>
      <c r="MAD54" s="545"/>
      <c r="MAE54" s="545"/>
      <c r="MAF54" s="545"/>
      <c r="MAG54" s="544"/>
      <c r="MAH54" s="545"/>
      <c r="MAI54" s="545"/>
      <c r="MAJ54" s="545"/>
      <c r="MAK54" s="545"/>
      <c r="MAL54" s="545"/>
      <c r="MAM54" s="545"/>
      <c r="MAN54" s="544"/>
      <c r="MAO54" s="545"/>
      <c r="MAP54" s="545"/>
      <c r="MAQ54" s="545"/>
      <c r="MAR54" s="545"/>
      <c r="MAS54" s="545"/>
      <c r="MAT54" s="545"/>
      <c r="MAU54" s="544"/>
      <c r="MAV54" s="545"/>
      <c r="MAW54" s="545"/>
      <c r="MAX54" s="545"/>
      <c r="MAY54" s="545"/>
      <c r="MAZ54" s="545"/>
      <c r="MBA54" s="545"/>
      <c r="MBB54" s="544"/>
      <c r="MBC54" s="545"/>
      <c r="MBD54" s="545"/>
      <c r="MBE54" s="545"/>
      <c r="MBF54" s="545"/>
      <c r="MBG54" s="545"/>
      <c r="MBH54" s="545"/>
      <c r="MBI54" s="544"/>
      <c r="MBJ54" s="545"/>
      <c r="MBK54" s="545"/>
      <c r="MBL54" s="545"/>
      <c r="MBM54" s="545"/>
      <c r="MBN54" s="545"/>
      <c r="MBO54" s="545"/>
      <c r="MBP54" s="544"/>
      <c r="MBQ54" s="545"/>
      <c r="MBR54" s="545"/>
      <c r="MBS54" s="545"/>
      <c r="MBT54" s="545"/>
      <c r="MBU54" s="545"/>
      <c r="MBV54" s="545"/>
      <c r="MBW54" s="544"/>
      <c r="MBX54" s="545"/>
      <c r="MBY54" s="545"/>
      <c r="MBZ54" s="545"/>
      <c r="MCA54" s="545"/>
      <c r="MCB54" s="545"/>
      <c r="MCC54" s="545"/>
      <c r="MCD54" s="544"/>
      <c r="MCE54" s="545"/>
      <c r="MCF54" s="545"/>
      <c r="MCG54" s="545"/>
      <c r="MCH54" s="545"/>
      <c r="MCI54" s="545"/>
      <c r="MCJ54" s="545"/>
      <c r="MCK54" s="544"/>
      <c r="MCL54" s="545"/>
      <c r="MCM54" s="545"/>
      <c r="MCN54" s="545"/>
      <c r="MCO54" s="545"/>
      <c r="MCP54" s="545"/>
      <c r="MCQ54" s="545"/>
      <c r="MCR54" s="544"/>
      <c r="MCS54" s="545"/>
      <c r="MCT54" s="545"/>
      <c r="MCU54" s="545"/>
      <c r="MCV54" s="545"/>
      <c r="MCW54" s="545"/>
      <c r="MCX54" s="545"/>
      <c r="MCY54" s="544"/>
      <c r="MCZ54" s="545"/>
      <c r="MDA54" s="545"/>
      <c r="MDB54" s="545"/>
      <c r="MDC54" s="545"/>
      <c r="MDD54" s="545"/>
      <c r="MDE54" s="545"/>
      <c r="MDF54" s="544"/>
      <c r="MDG54" s="545"/>
      <c r="MDH54" s="545"/>
      <c r="MDI54" s="545"/>
      <c r="MDJ54" s="545"/>
      <c r="MDK54" s="545"/>
      <c r="MDL54" s="545"/>
      <c r="MDM54" s="544"/>
      <c r="MDN54" s="545"/>
      <c r="MDO54" s="545"/>
      <c r="MDP54" s="545"/>
      <c r="MDQ54" s="545"/>
      <c r="MDR54" s="545"/>
      <c r="MDS54" s="545"/>
      <c r="MDT54" s="544"/>
      <c r="MDU54" s="545"/>
      <c r="MDV54" s="545"/>
      <c r="MDW54" s="545"/>
      <c r="MDX54" s="545"/>
      <c r="MDY54" s="545"/>
      <c r="MDZ54" s="545"/>
      <c r="MEA54" s="544"/>
      <c r="MEB54" s="545"/>
      <c r="MEC54" s="545"/>
      <c r="MED54" s="545"/>
      <c r="MEE54" s="545"/>
      <c r="MEF54" s="545"/>
      <c r="MEG54" s="545"/>
      <c r="MEH54" s="544"/>
      <c r="MEI54" s="545"/>
      <c r="MEJ54" s="545"/>
      <c r="MEK54" s="545"/>
      <c r="MEL54" s="545"/>
      <c r="MEM54" s="545"/>
      <c r="MEN54" s="545"/>
      <c r="MEO54" s="544"/>
      <c r="MEP54" s="545"/>
      <c r="MEQ54" s="545"/>
      <c r="MER54" s="545"/>
      <c r="MES54" s="545"/>
      <c r="MET54" s="545"/>
      <c r="MEU54" s="545"/>
      <c r="MEV54" s="544"/>
      <c r="MEW54" s="545"/>
      <c r="MEX54" s="545"/>
      <c r="MEY54" s="545"/>
      <c r="MEZ54" s="545"/>
      <c r="MFA54" s="545"/>
      <c r="MFB54" s="545"/>
      <c r="MFC54" s="544"/>
      <c r="MFD54" s="545"/>
      <c r="MFE54" s="545"/>
      <c r="MFF54" s="545"/>
      <c r="MFG54" s="545"/>
      <c r="MFH54" s="545"/>
      <c r="MFI54" s="545"/>
      <c r="MFJ54" s="544"/>
      <c r="MFK54" s="545"/>
      <c r="MFL54" s="545"/>
      <c r="MFM54" s="545"/>
      <c r="MFN54" s="545"/>
      <c r="MFO54" s="545"/>
      <c r="MFP54" s="545"/>
      <c r="MFQ54" s="544"/>
      <c r="MFR54" s="545"/>
      <c r="MFS54" s="545"/>
      <c r="MFT54" s="545"/>
      <c r="MFU54" s="545"/>
      <c r="MFV54" s="545"/>
      <c r="MFW54" s="545"/>
      <c r="MFX54" s="544"/>
      <c r="MFY54" s="545"/>
      <c r="MFZ54" s="545"/>
      <c r="MGA54" s="545"/>
      <c r="MGB54" s="545"/>
      <c r="MGC54" s="545"/>
      <c r="MGD54" s="545"/>
      <c r="MGE54" s="544"/>
      <c r="MGF54" s="545"/>
      <c r="MGG54" s="545"/>
      <c r="MGH54" s="545"/>
      <c r="MGI54" s="545"/>
      <c r="MGJ54" s="545"/>
      <c r="MGK54" s="545"/>
      <c r="MGL54" s="544"/>
      <c r="MGM54" s="545"/>
      <c r="MGN54" s="545"/>
      <c r="MGO54" s="545"/>
      <c r="MGP54" s="545"/>
      <c r="MGQ54" s="545"/>
      <c r="MGR54" s="545"/>
      <c r="MGS54" s="544"/>
      <c r="MGT54" s="545"/>
      <c r="MGU54" s="545"/>
      <c r="MGV54" s="545"/>
      <c r="MGW54" s="545"/>
      <c r="MGX54" s="545"/>
      <c r="MGY54" s="545"/>
      <c r="MGZ54" s="544"/>
      <c r="MHA54" s="545"/>
      <c r="MHB54" s="545"/>
      <c r="MHC54" s="545"/>
      <c r="MHD54" s="545"/>
      <c r="MHE54" s="545"/>
      <c r="MHF54" s="545"/>
      <c r="MHG54" s="544"/>
      <c r="MHH54" s="545"/>
      <c r="MHI54" s="545"/>
      <c r="MHJ54" s="545"/>
      <c r="MHK54" s="545"/>
      <c r="MHL54" s="545"/>
      <c r="MHM54" s="545"/>
      <c r="MHN54" s="544"/>
      <c r="MHO54" s="545"/>
      <c r="MHP54" s="545"/>
      <c r="MHQ54" s="545"/>
      <c r="MHR54" s="545"/>
      <c r="MHS54" s="545"/>
      <c r="MHT54" s="545"/>
      <c r="MHU54" s="544"/>
      <c r="MHV54" s="545"/>
      <c r="MHW54" s="545"/>
      <c r="MHX54" s="545"/>
      <c r="MHY54" s="545"/>
      <c r="MHZ54" s="545"/>
      <c r="MIA54" s="545"/>
      <c r="MIB54" s="544"/>
      <c r="MIC54" s="545"/>
      <c r="MID54" s="545"/>
      <c r="MIE54" s="545"/>
      <c r="MIF54" s="545"/>
      <c r="MIG54" s="545"/>
      <c r="MIH54" s="545"/>
      <c r="MII54" s="544"/>
      <c r="MIJ54" s="545"/>
      <c r="MIK54" s="545"/>
      <c r="MIL54" s="545"/>
      <c r="MIM54" s="545"/>
      <c r="MIN54" s="545"/>
      <c r="MIO54" s="545"/>
      <c r="MIP54" s="544"/>
      <c r="MIQ54" s="545"/>
      <c r="MIR54" s="545"/>
      <c r="MIS54" s="545"/>
      <c r="MIT54" s="545"/>
      <c r="MIU54" s="545"/>
      <c r="MIV54" s="545"/>
      <c r="MIW54" s="544"/>
      <c r="MIX54" s="545"/>
      <c r="MIY54" s="545"/>
      <c r="MIZ54" s="545"/>
      <c r="MJA54" s="545"/>
      <c r="MJB54" s="545"/>
      <c r="MJC54" s="545"/>
      <c r="MJD54" s="544"/>
      <c r="MJE54" s="545"/>
      <c r="MJF54" s="545"/>
      <c r="MJG54" s="545"/>
      <c r="MJH54" s="545"/>
      <c r="MJI54" s="545"/>
      <c r="MJJ54" s="545"/>
      <c r="MJK54" s="544"/>
      <c r="MJL54" s="545"/>
      <c r="MJM54" s="545"/>
      <c r="MJN54" s="545"/>
      <c r="MJO54" s="545"/>
      <c r="MJP54" s="545"/>
      <c r="MJQ54" s="545"/>
      <c r="MJR54" s="544"/>
      <c r="MJS54" s="545"/>
      <c r="MJT54" s="545"/>
      <c r="MJU54" s="545"/>
      <c r="MJV54" s="545"/>
      <c r="MJW54" s="545"/>
      <c r="MJX54" s="545"/>
      <c r="MJY54" s="544"/>
      <c r="MJZ54" s="545"/>
      <c r="MKA54" s="545"/>
      <c r="MKB54" s="545"/>
      <c r="MKC54" s="545"/>
      <c r="MKD54" s="545"/>
      <c r="MKE54" s="545"/>
      <c r="MKF54" s="544"/>
      <c r="MKG54" s="545"/>
      <c r="MKH54" s="545"/>
      <c r="MKI54" s="545"/>
      <c r="MKJ54" s="545"/>
      <c r="MKK54" s="545"/>
      <c r="MKL54" s="545"/>
      <c r="MKM54" s="544"/>
      <c r="MKN54" s="545"/>
      <c r="MKO54" s="545"/>
      <c r="MKP54" s="545"/>
      <c r="MKQ54" s="545"/>
      <c r="MKR54" s="545"/>
      <c r="MKS54" s="545"/>
      <c r="MKT54" s="544"/>
      <c r="MKU54" s="545"/>
      <c r="MKV54" s="545"/>
      <c r="MKW54" s="545"/>
      <c r="MKX54" s="545"/>
      <c r="MKY54" s="545"/>
      <c r="MKZ54" s="545"/>
      <c r="MLA54" s="544"/>
      <c r="MLB54" s="545"/>
      <c r="MLC54" s="545"/>
      <c r="MLD54" s="545"/>
      <c r="MLE54" s="545"/>
      <c r="MLF54" s="545"/>
      <c r="MLG54" s="545"/>
      <c r="MLH54" s="544"/>
      <c r="MLI54" s="545"/>
      <c r="MLJ54" s="545"/>
      <c r="MLK54" s="545"/>
      <c r="MLL54" s="545"/>
      <c r="MLM54" s="545"/>
      <c r="MLN54" s="545"/>
      <c r="MLO54" s="544"/>
      <c r="MLP54" s="545"/>
      <c r="MLQ54" s="545"/>
      <c r="MLR54" s="545"/>
      <c r="MLS54" s="545"/>
      <c r="MLT54" s="545"/>
      <c r="MLU54" s="545"/>
      <c r="MLV54" s="544"/>
      <c r="MLW54" s="545"/>
      <c r="MLX54" s="545"/>
      <c r="MLY54" s="545"/>
      <c r="MLZ54" s="545"/>
      <c r="MMA54" s="545"/>
      <c r="MMB54" s="545"/>
      <c r="MMC54" s="544"/>
      <c r="MMD54" s="545"/>
      <c r="MME54" s="545"/>
      <c r="MMF54" s="545"/>
      <c r="MMG54" s="545"/>
      <c r="MMH54" s="545"/>
      <c r="MMI54" s="545"/>
      <c r="MMJ54" s="544"/>
      <c r="MMK54" s="545"/>
      <c r="MML54" s="545"/>
      <c r="MMM54" s="545"/>
      <c r="MMN54" s="545"/>
      <c r="MMO54" s="545"/>
      <c r="MMP54" s="545"/>
      <c r="MMQ54" s="544"/>
      <c r="MMR54" s="545"/>
      <c r="MMS54" s="545"/>
      <c r="MMT54" s="545"/>
      <c r="MMU54" s="545"/>
      <c r="MMV54" s="545"/>
      <c r="MMW54" s="545"/>
      <c r="MMX54" s="544"/>
      <c r="MMY54" s="545"/>
      <c r="MMZ54" s="545"/>
      <c r="MNA54" s="545"/>
      <c r="MNB54" s="545"/>
      <c r="MNC54" s="545"/>
      <c r="MND54" s="545"/>
      <c r="MNE54" s="544"/>
      <c r="MNF54" s="545"/>
      <c r="MNG54" s="545"/>
      <c r="MNH54" s="545"/>
      <c r="MNI54" s="545"/>
      <c r="MNJ54" s="545"/>
      <c r="MNK54" s="545"/>
      <c r="MNL54" s="544"/>
      <c r="MNM54" s="545"/>
      <c r="MNN54" s="545"/>
      <c r="MNO54" s="545"/>
      <c r="MNP54" s="545"/>
      <c r="MNQ54" s="545"/>
      <c r="MNR54" s="545"/>
      <c r="MNS54" s="544"/>
      <c r="MNT54" s="545"/>
      <c r="MNU54" s="545"/>
      <c r="MNV54" s="545"/>
      <c r="MNW54" s="545"/>
      <c r="MNX54" s="545"/>
      <c r="MNY54" s="545"/>
      <c r="MNZ54" s="544"/>
      <c r="MOA54" s="545"/>
      <c r="MOB54" s="545"/>
      <c r="MOC54" s="545"/>
      <c r="MOD54" s="545"/>
      <c r="MOE54" s="545"/>
      <c r="MOF54" s="545"/>
      <c r="MOG54" s="544"/>
      <c r="MOH54" s="545"/>
      <c r="MOI54" s="545"/>
      <c r="MOJ54" s="545"/>
      <c r="MOK54" s="545"/>
      <c r="MOL54" s="545"/>
      <c r="MOM54" s="545"/>
      <c r="MON54" s="544"/>
      <c r="MOO54" s="545"/>
      <c r="MOP54" s="545"/>
      <c r="MOQ54" s="545"/>
      <c r="MOR54" s="545"/>
      <c r="MOS54" s="545"/>
      <c r="MOT54" s="545"/>
      <c r="MOU54" s="544"/>
      <c r="MOV54" s="545"/>
      <c r="MOW54" s="545"/>
      <c r="MOX54" s="545"/>
      <c r="MOY54" s="545"/>
      <c r="MOZ54" s="545"/>
      <c r="MPA54" s="545"/>
      <c r="MPB54" s="544"/>
      <c r="MPC54" s="545"/>
      <c r="MPD54" s="545"/>
      <c r="MPE54" s="545"/>
      <c r="MPF54" s="545"/>
      <c r="MPG54" s="545"/>
      <c r="MPH54" s="545"/>
      <c r="MPI54" s="544"/>
      <c r="MPJ54" s="545"/>
      <c r="MPK54" s="545"/>
      <c r="MPL54" s="545"/>
      <c r="MPM54" s="545"/>
      <c r="MPN54" s="545"/>
      <c r="MPO54" s="545"/>
      <c r="MPP54" s="544"/>
      <c r="MPQ54" s="545"/>
      <c r="MPR54" s="545"/>
      <c r="MPS54" s="545"/>
      <c r="MPT54" s="545"/>
      <c r="MPU54" s="545"/>
      <c r="MPV54" s="545"/>
      <c r="MPW54" s="544"/>
      <c r="MPX54" s="545"/>
      <c r="MPY54" s="545"/>
      <c r="MPZ54" s="545"/>
      <c r="MQA54" s="545"/>
      <c r="MQB54" s="545"/>
      <c r="MQC54" s="545"/>
      <c r="MQD54" s="544"/>
      <c r="MQE54" s="545"/>
      <c r="MQF54" s="545"/>
      <c r="MQG54" s="545"/>
      <c r="MQH54" s="545"/>
      <c r="MQI54" s="545"/>
      <c r="MQJ54" s="545"/>
      <c r="MQK54" s="544"/>
      <c r="MQL54" s="545"/>
      <c r="MQM54" s="545"/>
      <c r="MQN54" s="545"/>
      <c r="MQO54" s="545"/>
      <c r="MQP54" s="545"/>
      <c r="MQQ54" s="545"/>
      <c r="MQR54" s="544"/>
      <c r="MQS54" s="545"/>
      <c r="MQT54" s="545"/>
      <c r="MQU54" s="545"/>
      <c r="MQV54" s="545"/>
      <c r="MQW54" s="545"/>
      <c r="MQX54" s="545"/>
      <c r="MQY54" s="544"/>
      <c r="MQZ54" s="545"/>
      <c r="MRA54" s="545"/>
      <c r="MRB54" s="545"/>
      <c r="MRC54" s="545"/>
      <c r="MRD54" s="545"/>
      <c r="MRE54" s="545"/>
      <c r="MRF54" s="544"/>
      <c r="MRG54" s="545"/>
      <c r="MRH54" s="545"/>
      <c r="MRI54" s="545"/>
      <c r="MRJ54" s="545"/>
      <c r="MRK54" s="545"/>
      <c r="MRL54" s="545"/>
      <c r="MRM54" s="544"/>
      <c r="MRN54" s="545"/>
      <c r="MRO54" s="545"/>
      <c r="MRP54" s="545"/>
      <c r="MRQ54" s="545"/>
      <c r="MRR54" s="545"/>
      <c r="MRS54" s="545"/>
      <c r="MRT54" s="544"/>
      <c r="MRU54" s="545"/>
      <c r="MRV54" s="545"/>
      <c r="MRW54" s="545"/>
      <c r="MRX54" s="545"/>
      <c r="MRY54" s="545"/>
      <c r="MRZ54" s="545"/>
      <c r="MSA54" s="544"/>
      <c r="MSB54" s="545"/>
      <c r="MSC54" s="545"/>
      <c r="MSD54" s="545"/>
      <c r="MSE54" s="545"/>
      <c r="MSF54" s="545"/>
      <c r="MSG54" s="545"/>
      <c r="MSH54" s="544"/>
      <c r="MSI54" s="545"/>
      <c r="MSJ54" s="545"/>
      <c r="MSK54" s="545"/>
      <c r="MSL54" s="545"/>
      <c r="MSM54" s="545"/>
      <c r="MSN54" s="545"/>
      <c r="MSO54" s="544"/>
      <c r="MSP54" s="545"/>
      <c r="MSQ54" s="545"/>
      <c r="MSR54" s="545"/>
      <c r="MSS54" s="545"/>
      <c r="MST54" s="545"/>
      <c r="MSU54" s="545"/>
      <c r="MSV54" s="544"/>
      <c r="MSW54" s="545"/>
      <c r="MSX54" s="545"/>
      <c r="MSY54" s="545"/>
      <c r="MSZ54" s="545"/>
      <c r="MTA54" s="545"/>
      <c r="MTB54" s="545"/>
      <c r="MTC54" s="544"/>
      <c r="MTD54" s="545"/>
      <c r="MTE54" s="545"/>
      <c r="MTF54" s="545"/>
      <c r="MTG54" s="545"/>
      <c r="MTH54" s="545"/>
      <c r="MTI54" s="545"/>
      <c r="MTJ54" s="544"/>
      <c r="MTK54" s="545"/>
      <c r="MTL54" s="545"/>
      <c r="MTM54" s="545"/>
      <c r="MTN54" s="545"/>
      <c r="MTO54" s="545"/>
      <c r="MTP54" s="545"/>
      <c r="MTQ54" s="544"/>
      <c r="MTR54" s="545"/>
      <c r="MTS54" s="545"/>
      <c r="MTT54" s="545"/>
      <c r="MTU54" s="545"/>
      <c r="MTV54" s="545"/>
      <c r="MTW54" s="545"/>
      <c r="MTX54" s="544"/>
      <c r="MTY54" s="545"/>
      <c r="MTZ54" s="545"/>
      <c r="MUA54" s="545"/>
      <c r="MUB54" s="545"/>
      <c r="MUC54" s="545"/>
      <c r="MUD54" s="545"/>
      <c r="MUE54" s="544"/>
      <c r="MUF54" s="545"/>
      <c r="MUG54" s="545"/>
      <c r="MUH54" s="545"/>
      <c r="MUI54" s="545"/>
      <c r="MUJ54" s="545"/>
      <c r="MUK54" s="545"/>
      <c r="MUL54" s="544"/>
      <c r="MUM54" s="545"/>
      <c r="MUN54" s="545"/>
      <c r="MUO54" s="545"/>
      <c r="MUP54" s="545"/>
      <c r="MUQ54" s="545"/>
      <c r="MUR54" s="545"/>
      <c r="MUS54" s="544"/>
      <c r="MUT54" s="545"/>
      <c r="MUU54" s="545"/>
      <c r="MUV54" s="545"/>
      <c r="MUW54" s="545"/>
      <c r="MUX54" s="545"/>
      <c r="MUY54" s="545"/>
      <c r="MUZ54" s="544"/>
      <c r="MVA54" s="545"/>
      <c r="MVB54" s="545"/>
      <c r="MVC54" s="545"/>
      <c r="MVD54" s="545"/>
      <c r="MVE54" s="545"/>
      <c r="MVF54" s="545"/>
      <c r="MVG54" s="544"/>
      <c r="MVH54" s="545"/>
      <c r="MVI54" s="545"/>
      <c r="MVJ54" s="545"/>
      <c r="MVK54" s="545"/>
      <c r="MVL54" s="545"/>
      <c r="MVM54" s="545"/>
      <c r="MVN54" s="544"/>
      <c r="MVO54" s="545"/>
      <c r="MVP54" s="545"/>
      <c r="MVQ54" s="545"/>
      <c r="MVR54" s="545"/>
      <c r="MVS54" s="545"/>
      <c r="MVT54" s="545"/>
      <c r="MVU54" s="544"/>
      <c r="MVV54" s="545"/>
      <c r="MVW54" s="545"/>
      <c r="MVX54" s="545"/>
      <c r="MVY54" s="545"/>
      <c r="MVZ54" s="545"/>
      <c r="MWA54" s="545"/>
      <c r="MWB54" s="544"/>
      <c r="MWC54" s="545"/>
      <c r="MWD54" s="545"/>
      <c r="MWE54" s="545"/>
      <c r="MWF54" s="545"/>
      <c r="MWG54" s="545"/>
      <c r="MWH54" s="545"/>
      <c r="MWI54" s="544"/>
      <c r="MWJ54" s="545"/>
      <c r="MWK54" s="545"/>
      <c r="MWL54" s="545"/>
      <c r="MWM54" s="545"/>
      <c r="MWN54" s="545"/>
      <c r="MWO54" s="545"/>
      <c r="MWP54" s="544"/>
      <c r="MWQ54" s="545"/>
      <c r="MWR54" s="545"/>
      <c r="MWS54" s="545"/>
      <c r="MWT54" s="545"/>
      <c r="MWU54" s="545"/>
      <c r="MWV54" s="545"/>
      <c r="MWW54" s="544"/>
      <c r="MWX54" s="545"/>
      <c r="MWY54" s="545"/>
      <c r="MWZ54" s="545"/>
      <c r="MXA54" s="545"/>
      <c r="MXB54" s="545"/>
      <c r="MXC54" s="545"/>
      <c r="MXD54" s="544"/>
      <c r="MXE54" s="545"/>
      <c r="MXF54" s="545"/>
      <c r="MXG54" s="545"/>
      <c r="MXH54" s="545"/>
      <c r="MXI54" s="545"/>
      <c r="MXJ54" s="545"/>
      <c r="MXK54" s="544"/>
      <c r="MXL54" s="545"/>
      <c r="MXM54" s="545"/>
      <c r="MXN54" s="545"/>
      <c r="MXO54" s="545"/>
      <c r="MXP54" s="545"/>
      <c r="MXQ54" s="545"/>
      <c r="MXR54" s="544"/>
      <c r="MXS54" s="545"/>
      <c r="MXT54" s="545"/>
      <c r="MXU54" s="545"/>
      <c r="MXV54" s="545"/>
      <c r="MXW54" s="545"/>
      <c r="MXX54" s="545"/>
      <c r="MXY54" s="544"/>
      <c r="MXZ54" s="545"/>
      <c r="MYA54" s="545"/>
      <c r="MYB54" s="545"/>
      <c r="MYC54" s="545"/>
      <c r="MYD54" s="545"/>
      <c r="MYE54" s="545"/>
      <c r="MYF54" s="544"/>
      <c r="MYG54" s="545"/>
      <c r="MYH54" s="545"/>
      <c r="MYI54" s="545"/>
      <c r="MYJ54" s="545"/>
      <c r="MYK54" s="545"/>
      <c r="MYL54" s="545"/>
      <c r="MYM54" s="544"/>
      <c r="MYN54" s="545"/>
      <c r="MYO54" s="545"/>
      <c r="MYP54" s="545"/>
      <c r="MYQ54" s="545"/>
      <c r="MYR54" s="545"/>
      <c r="MYS54" s="545"/>
      <c r="MYT54" s="544"/>
      <c r="MYU54" s="545"/>
      <c r="MYV54" s="545"/>
      <c r="MYW54" s="545"/>
      <c r="MYX54" s="545"/>
      <c r="MYY54" s="545"/>
      <c r="MYZ54" s="545"/>
      <c r="MZA54" s="544"/>
      <c r="MZB54" s="545"/>
      <c r="MZC54" s="545"/>
      <c r="MZD54" s="545"/>
      <c r="MZE54" s="545"/>
      <c r="MZF54" s="545"/>
      <c r="MZG54" s="545"/>
      <c r="MZH54" s="544"/>
      <c r="MZI54" s="545"/>
      <c r="MZJ54" s="545"/>
      <c r="MZK54" s="545"/>
      <c r="MZL54" s="545"/>
      <c r="MZM54" s="545"/>
      <c r="MZN54" s="545"/>
      <c r="MZO54" s="544"/>
      <c r="MZP54" s="545"/>
      <c r="MZQ54" s="545"/>
      <c r="MZR54" s="545"/>
      <c r="MZS54" s="545"/>
      <c r="MZT54" s="545"/>
      <c r="MZU54" s="545"/>
      <c r="MZV54" s="544"/>
      <c r="MZW54" s="545"/>
      <c r="MZX54" s="545"/>
      <c r="MZY54" s="545"/>
      <c r="MZZ54" s="545"/>
      <c r="NAA54" s="545"/>
      <c r="NAB54" s="545"/>
      <c r="NAC54" s="544"/>
      <c r="NAD54" s="545"/>
      <c r="NAE54" s="545"/>
      <c r="NAF54" s="545"/>
      <c r="NAG54" s="545"/>
      <c r="NAH54" s="545"/>
      <c r="NAI54" s="545"/>
      <c r="NAJ54" s="544"/>
      <c r="NAK54" s="545"/>
      <c r="NAL54" s="545"/>
      <c r="NAM54" s="545"/>
      <c r="NAN54" s="545"/>
      <c r="NAO54" s="545"/>
      <c r="NAP54" s="545"/>
      <c r="NAQ54" s="544"/>
      <c r="NAR54" s="545"/>
      <c r="NAS54" s="545"/>
      <c r="NAT54" s="545"/>
      <c r="NAU54" s="545"/>
      <c r="NAV54" s="545"/>
      <c r="NAW54" s="545"/>
      <c r="NAX54" s="544"/>
      <c r="NAY54" s="545"/>
      <c r="NAZ54" s="545"/>
      <c r="NBA54" s="545"/>
      <c r="NBB54" s="545"/>
      <c r="NBC54" s="545"/>
      <c r="NBD54" s="545"/>
      <c r="NBE54" s="544"/>
      <c r="NBF54" s="545"/>
      <c r="NBG54" s="545"/>
      <c r="NBH54" s="545"/>
      <c r="NBI54" s="545"/>
      <c r="NBJ54" s="545"/>
      <c r="NBK54" s="545"/>
      <c r="NBL54" s="544"/>
      <c r="NBM54" s="545"/>
      <c r="NBN54" s="545"/>
      <c r="NBO54" s="545"/>
      <c r="NBP54" s="545"/>
      <c r="NBQ54" s="545"/>
      <c r="NBR54" s="545"/>
      <c r="NBS54" s="544"/>
      <c r="NBT54" s="545"/>
      <c r="NBU54" s="545"/>
      <c r="NBV54" s="545"/>
      <c r="NBW54" s="545"/>
      <c r="NBX54" s="545"/>
      <c r="NBY54" s="545"/>
      <c r="NBZ54" s="544"/>
      <c r="NCA54" s="545"/>
      <c r="NCB54" s="545"/>
      <c r="NCC54" s="545"/>
      <c r="NCD54" s="545"/>
      <c r="NCE54" s="545"/>
      <c r="NCF54" s="545"/>
      <c r="NCG54" s="544"/>
      <c r="NCH54" s="545"/>
      <c r="NCI54" s="545"/>
      <c r="NCJ54" s="545"/>
      <c r="NCK54" s="545"/>
      <c r="NCL54" s="545"/>
      <c r="NCM54" s="545"/>
      <c r="NCN54" s="544"/>
      <c r="NCO54" s="545"/>
      <c r="NCP54" s="545"/>
      <c r="NCQ54" s="545"/>
      <c r="NCR54" s="545"/>
      <c r="NCS54" s="545"/>
      <c r="NCT54" s="545"/>
      <c r="NCU54" s="544"/>
      <c r="NCV54" s="545"/>
      <c r="NCW54" s="545"/>
      <c r="NCX54" s="545"/>
      <c r="NCY54" s="545"/>
      <c r="NCZ54" s="545"/>
      <c r="NDA54" s="545"/>
      <c r="NDB54" s="544"/>
      <c r="NDC54" s="545"/>
      <c r="NDD54" s="545"/>
      <c r="NDE54" s="545"/>
      <c r="NDF54" s="545"/>
      <c r="NDG54" s="545"/>
      <c r="NDH54" s="545"/>
      <c r="NDI54" s="544"/>
      <c r="NDJ54" s="545"/>
      <c r="NDK54" s="545"/>
      <c r="NDL54" s="545"/>
      <c r="NDM54" s="545"/>
      <c r="NDN54" s="545"/>
      <c r="NDO54" s="545"/>
      <c r="NDP54" s="544"/>
      <c r="NDQ54" s="545"/>
      <c r="NDR54" s="545"/>
      <c r="NDS54" s="545"/>
      <c r="NDT54" s="545"/>
      <c r="NDU54" s="545"/>
      <c r="NDV54" s="545"/>
      <c r="NDW54" s="544"/>
      <c r="NDX54" s="545"/>
      <c r="NDY54" s="545"/>
      <c r="NDZ54" s="545"/>
      <c r="NEA54" s="545"/>
      <c r="NEB54" s="545"/>
      <c r="NEC54" s="545"/>
      <c r="NED54" s="544"/>
      <c r="NEE54" s="545"/>
      <c r="NEF54" s="545"/>
      <c r="NEG54" s="545"/>
      <c r="NEH54" s="545"/>
      <c r="NEI54" s="545"/>
      <c r="NEJ54" s="545"/>
      <c r="NEK54" s="544"/>
      <c r="NEL54" s="545"/>
      <c r="NEM54" s="545"/>
      <c r="NEN54" s="545"/>
      <c r="NEO54" s="545"/>
      <c r="NEP54" s="545"/>
      <c r="NEQ54" s="545"/>
      <c r="NER54" s="544"/>
      <c r="NES54" s="545"/>
      <c r="NET54" s="545"/>
      <c r="NEU54" s="545"/>
      <c r="NEV54" s="545"/>
      <c r="NEW54" s="545"/>
      <c r="NEX54" s="545"/>
      <c r="NEY54" s="544"/>
      <c r="NEZ54" s="545"/>
      <c r="NFA54" s="545"/>
      <c r="NFB54" s="545"/>
      <c r="NFC54" s="545"/>
      <c r="NFD54" s="545"/>
      <c r="NFE54" s="545"/>
      <c r="NFF54" s="544"/>
      <c r="NFG54" s="545"/>
      <c r="NFH54" s="545"/>
      <c r="NFI54" s="545"/>
      <c r="NFJ54" s="545"/>
      <c r="NFK54" s="545"/>
      <c r="NFL54" s="545"/>
      <c r="NFM54" s="544"/>
      <c r="NFN54" s="545"/>
      <c r="NFO54" s="545"/>
      <c r="NFP54" s="545"/>
      <c r="NFQ54" s="545"/>
      <c r="NFR54" s="545"/>
      <c r="NFS54" s="545"/>
      <c r="NFT54" s="544"/>
      <c r="NFU54" s="545"/>
      <c r="NFV54" s="545"/>
      <c r="NFW54" s="545"/>
      <c r="NFX54" s="545"/>
      <c r="NFY54" s="545"/>
      <c r="NFZ54" s="545"/>
      <c r="NGA54" s="544"/>
      <c r="NGB54" s="545"/>
      <c r="NGC54" s="545"/>
      <c r="NGD54" s="545"/>
      <c r="NGE54" s="545"/>
      <c r="NGF54" s="545"/>
      <c r="NGG54" s="545"/>
      <c r="NGH54" s="544"/>
      <c r="NGI54" s="545"/>
      <c r="NGJ54" s="545"/>
      <c r="NGK54" s="545"/>
      <c r="NGL54" s="545"/>
      <c r="NGM54" s="545"/>
      <c r="NGN54" s="545"/>
      <c r="NGO54" s="544"/>
      <c r="NGP54" s="545"/>
      <c r="NGQ54" s="545"/>
      <c r="NGR54" s="545"/>
      <c r="NGS54" s="545"/>
      <c r="NGT54" s="545"/>
      <c r="NGU54" s="545"/>
      <c r="NGV54" s="544"/>
      <c r="NGW54" s="545"/>
      <c r="NGX54" s="545"/>
      <c r="NGY54" s="545"/>
      <c r="NGZ54" s="545"/>
      <c r="NHA54" s="545"/>
      <c r="NHB54" s="545"/>
      <c r="NHC54" s="544"/>
      <c r="NHD54" s="545"/>
      <c r="NHE54" s="545"/>
      <c r="NHF54" s="545"/>
      <c r="NHG54" s="545"/>
      <c r="NHH54" s="545"/>
      <c r="NHI54" s="545"/>
      <c r="NHJ54" s="544"/>
      <c r="NHK54" s="545"/>
      <c r="NHL54" s="545"/>
      <c r="NHM54" s="545"/>
      <c r="NHN54" s="545"/>
      <c r="NHO54" s="545"/>
      <c r="NHP54" s="545"/>
      <c r="NHQ54" s="544"/>
      <c r="NHR54" s="545"/>
      <c r="NHS54" s="545"/>
      <c r="NHT54" s="545"/>
      <c r="NHU54" s="545"/>
      <c r="NHV54" s="545"/>
      <c r="NHW54" s="545"/>
      <c r="NHX54" s="544"/>
      <c r="NHY54" s="545"/>
      <c r="NHZ54" s="545"/>
      <c r="NIA54" s="545"/>
      <c r="NIB54" s="545"/>
      <c r="NIC54" s="545"/>
      <c r="NID54" s="545"/>
      <c r="NIE54" s="544"/>
      <c r="NIF54" s="545"/>
      <c r="NIG54" s="545"/>
      <c r="NIH54" s="545"/>
      <c r="NII54" s="545"/>
      <c r="NIJ54" s="545"/>
      <c r="NIK54" s="545"/>
      <c r="NIL54" s="544"/>
      <c r="NIM54" s="545"/>
      <c r="NIN54" s="545"/>
      <c r="NIO54" s="545"/>
      <c r="NIP54" s="545"/>
      <c r="NIQ54" s="545"/>
      <c r="NIR54" s="545"/>
      <c r="NIS54" s="544"/>
      <c r="NIT54" s="545"/>
      <c r="NIU54" s="545"/>
      <c r="NIV54" s="545"/>
      <c r="NIW54" s="545"/>
      <c r="NIX54" s="545"/>
      <c r="NIY54" s="545"/>
      <c r="NIZ54" s="544"/>
      <c r="NJA54" s="545"/>
      <c r="NJB54" s="545"/>
      <c r="NJC54" s="545"/>
      <c r="NJD54" s="545"/>
      <c r="NJE54" s="545"/>
      <c r="NJF54" s="545"/>
      <c r="NJG54" s="544"/>
      <c r="NJH54" s="545"/>
      <c r="NJI54" s="545"/>
      <c r="NJJ54" s="545"/>
      <c r="NJK54" s="545"/>
      <c r="NJL54" s="545"/>
      <c r="NJM54" s="545"/>
      <c r="NJN54" s="544"/>
      <c r="NJO54" s="545"/>
      <c r="NJP54" s="545"/>
      <c r="NJQ54" s="545"/>
      <c r="NJR54" s="545"/>
      <c r="NJS54" s="545"/>
      <c r="NJT54" s="545"/>
      <c r="NJU54" s="544"/>
      <c r="NJV54" s="545"/>
      <c r="NJW54" s="545"/>
      <c r="NJX54" s="545"/>
      <c r="NJY54" s="545"/>
      <c r="NJZ54" s="545"/>
      <c r="NKA54" s="545"/>
      <c r="NKB54" s="544"/>
      <c r="NKC54" s="545"/>
      <c r="NKD54" s="545"/>
      <c r="NKE54" s="545"/>
      <c r="NKF54" s="545"/>
      <c r="NKG54" s="545"/>
      <c r="NKH54" s="545"/>
      <c r="NKI54" s="544"/>
      <c r="NKJ54" s="545"/>
      <c r="NKK54" s="545"/>
      <c r="NKL54" s="545"/>
      <c r="NKM54" s="545"/>
      <c r="NKN54" s="545"/>
      <c r="NKO54" s="545"/>
      <c r="NKP54" s="544"/>
      <c r="NKQ54" s="545"/>
      <c r="NKR54" s="545"/>
      <c r="NKS54" s="545"/>
      <c r="NKT54" s="545"/>
      <c r="NKU54" s="545"/>
      <c r="NKV54" s="545"/>
      <c r="NKW54" s="544"/>
      <c r="NKX54" s="545"/>
      <c r="NKY54" s="545"/>
      <c r="NKZ54" s="545"/>
      <c r="NLA54" s="545"/>
      <c r="NLB54" s="545"/>
      <c r="NLC54" s="545"/>
      <c r="NLD54" s="544"/>
      <c r="NLE54" s="545"/>
      <c r="NLF54" s="545"/>
      <c r="NLG54" s="545"/>
      <c r="NLH54" s="545"/>
      <c r="NLI54" s="545"/>
      <c r="NLJ54" s="545"/>
      <c r="NLK54" s="544"/>
      <c r="NLL54" s="545"/>
      <c r="NLM54" s="545"/>
      <c r="NLN54" s="545"/>
      <c r="NLO54" s="545"/>
      <c r="NLP54" s="545"/>
      <c r="NLQ54" s="545"/>
      <c r="NLR54" s="544"/>
      <c r="NLS54" s="545"/>
      <c r="NLT54" s="545"/>
      <c r="NLU54" s="545"/>
      <c r="NLV54" s="545"/>
      <c r="NLW54" s="545"/>
      <c r="NLX54" s="545"/>
      <c r="NLY54" s="544"/>
      <c r="NLZ54" s="545"/>
      <c r="NMA54" s="545"/>
      <c r="NMB54" s="545"/>
      <c r="NMC54" s="545"/>
      <c r="NMD54" s="545"/>
      <c r="NME54" s="545"/>
      <c r="NMF54" s="544"/>
      <c r="NMG54" s="545"/>
      <c r="NMH54" s="545"/>
      <c r="NMI54" s="545"/>
      <c r="NMJ54" s="545"/>
      <c r="NMK54" s="545"/>
      <c r="NML54" s="545"/>
      <c r="NMM54" s="544"/>
      <c r="NMN54" s="545"/>
      <c r="NMO54" s="545"/>
      <c r="NMP54" s="545"/>
      <c r="NMQ54" s="545"/>
      <c r="NMR54" s="545"/>
      <c r="NMS54" s="545"/>
      <c r="NMT54" s="544"/>
      <c r="NMU54" s="545"/>
      <c r="NMV54" s="545"/>
      <c r="NMW54" s="545"/>
      <c r="NMX54" s="545"/>
      <c r="NMY54" s="545"/>
      <c r="NMZ54" s="545"/>
      <c r="NNA54" s="544"/>
      <c r="NNB54" s="545"/>
      <c r="NNC54" s="545"/>
      <c r="NND54" s="545"/>
      <c r="NNE54" s="545"/>
      <c r="NNF54" s="545"/>
      <c r="NNG54" s="545"/>
      <c r="NNH54" s="544"/>
      <c r="NNI54" s="545"/>
      <c r="NNJ54" s="545"/>
      <c r="NNK54" s="545"/>
      <c r="NNL54" s="545"/>
      <c r="NNM54" s="545"/>
      <c r="NNN54" s="545"/>
      <c r="NNO54" s="544"/>
      <c r="NNP54" s="545"/>
      <c r="NNQ54" s="545"/>
      <c r="NNR54" s="545"/>
      <c r="NNS54" s="545"/>
      <c r="NNT54" s="545"/>
      <c r="NNU54" s="545"/>
      <c r="NNV54" s="544"/>
      <c r="NNW54" s="545"/>
      <c r="NNX54" s="545"/>
      <c r="NNY54" s="545"/>
      <c r="NNZ54" s="545"/>
      <c r="NOA54" s="545"/>
      <c r="NOB54" s="545"/>
      <c r="NOC54" s="544"/>
      <c r="NOD54" s="545"/>
      <c r="NOE54" s="545"/>
      <c r="NOF54" s="545"/>
      <c r="NOG54" s="545"/>
      <c r="NOH54" s="545"/>
      <c r="NOI54" s="545"/>
      <c r="NOJ54" s="544"/>
      <c r="NOK54" s="545"/>
      <c r="NOL54" s="545"/>
      <c r="NOM54" s="545"/>
      <c r="NON54" s="545"/>
      <c r="NOO54" s="545"/>
      <c r="NOP54" s="545"/>
      <c r="NOQ54" s="544"/>
      <c r="NOR54" s="545"/>
      <c r="NOS54" s="545"/>
      <c r="NOT54" s="545"/>
      <c r="NOU54" s="545"/>
      <c r="NOV54" s="545"/>
      <c r="NOW54" s="545"/>
      <c r="NOX54" s="544"/>
      <c r="NOY54" s="545"/>
      <c r="NOZ54" s="545"/>
      <c r="NPA54" s="545"/>
      <c r="NPB54" s="545"/>
      <c r="NPC54" s="545"/>
      <c r="NPD54" s="545"/>
      <c r="NPE54" s="544"/>
      <c r="NPF54" s="545"/>
      <c r="NPG54" s="545"/>
      <c r="NPH54" s="545"/>
      <c r="NPI54" s="545"/>
      <c r="NPJ54" s="545"/>
      <c r="NPK54" s="545"/>
      <c r="NPL54" s="544"/>
      <c r="NPM54" s="545"/>
      <c r="NPN54" s="545"/>
      <c r="NPO54" s="545"/>
      <c r="NPP54" s="545"/>
      <c r="NPQ54" s="545"/>
      <c r="NPR54" s="545"/>
      <c r="NPS54" s="544"/>
      <c r="NPT54" s="545"/>
      <c r="NPU54" s="545"/>
      <c r="NPV54" s="545"/>
      <c r="NPW54" s="545"/>
      <c r="NPX54" s="545"/>
      <c r="NPY54" s="545"/>
      <c r="NPZ54" s="544"/>
      <c r="NQA54" s="545"/>
      <c r="NQB54" s="545"/>
      <c r="NQC54" s="545"/>
      <c r="NQD54" s="545"/>
      <c r="NQE54" s="545"/>
      <c r="NQF54" s="545"/>
      <c r="NQG54" s="544"/>
      <c r="NQH54" s="545"/>
      <c r="NQI54" s="545"/>
      <c r="NQJ54" s="545"/>
      <c r="NQK54" s="545"/>
      <c r="NQL54" s="545"/>
      <c r="NQM54" s="545"/>
      <c r="NQN54" s="544"/>
      <c r="NQO54" s="545"/>
      <c r="NQP54" s="545"/>
      <c r="NQQ54" s="545"/>
      <c r="NQR54" s="545"/>
      <c r="NQS54" s="545"/>
      <c r="NQT54" s="545"/>
      <c r="NQU54" s="544"/>
      <c r="NQV54" s="545"/>
      <c r="NQW54" s="545"/>
      <c r="NQX54" s="545"/>
      <c r="NQY54" s="545"/>
      <c r="NQZ54" s="545"/>
      <c r="NRA54" s="545"/>
      <c r="NRB54" s="544"/>
      <c r="NRC54" s="545"/>
      <c r="NRD54" s="545"/>
      <c r="NRE54" s="545"/>
      <c r="NRF54" s="545"/>
      <c r="NRG54" s="545"/>
      <c r="NRH54" s="545"/>
      <c r="NRI54" s="544"/>
      <c r="NRJ54" s="545"/>
      <c r="NRK54" s="545"/>
      <c r="NRL54" s="545"/>
      <c r="NRM54" s="545"/>
      <c r="NRN54" s="545"/>
      <c r="NRO54" s="545"/>
      <c r="NRP54" s="544"/>
      <c r="NRQ54" s="545"/>
      <c r="NRR54" s="545"/>
      <c r="NRS54" s="545"/>
      <c r="NRT54" s="545"/>
      <c r="NRU54" s="545"/>
      <c r="NRV54" s="545"/>
      <c r="NRW54" s="544"/>
      <c r="NRX54" s="545"/>
      <c r="NRY54" s="545"/>
      <c r="NRZ54" s="545"/>
      <c r="NSA54" s="545"/>
      <c r="NSB54" s="545"/>
      <c r="NSC54" s="545"/>
      <c r="NSD54" s="544"/>
      <c r="NSE54" s="545"/>
      <c r="NSF54" s="545"/>
      <c r="NSG54" s="545"/>
      <c r="NSH54" s="545"/>
      <c r="NSI54" s="545"/>
      <c r="NSJ54" s="545"/>
      <c r="NSK54" s="544"/>
      <c r="NSL54" s="545"/>
      <c r="NSM54" s="545"/>
      <c r="NSN54" s="545"/>
      <c r="NSO54" s="545"/>
      <c r="NSP54" s="545"/>
      <c r="NSQ54" s="545"/>
      <c r="NSR54" s="544"/>
      <c r="NSS54" s="545"/>
      <c r="NST54" s="545"/>
      <c r="NSU54" s="545"/>
      <c r="NSV54" s="545"/>
      <c r="NSW54" s="545"/>
      <c r="NSX54" s="545"/>
      <c r="NSY54" s="544"/>
      <c r="NSZ54" s="545"/>
      <c r="NTA54" s="545"/>
      <c r="NTB54" s="545"/>
      <c r="NTC54" s="545"/>
      <c r="NTD54" s="545"/>
      <c r="NTE54" s="545"/>
      <c r="NTF54" s="544"/>
      <c r="NTG54" s="545"/>
      <c r="NTH54" s="545"/>
      <c r="NTI54" s="545"/>
      <c r="NTJ54" s="545"/>
      <c r="NTK54" s="545"/>
      <c r="NTL54" s="545"/>
      <c r="NTM54" s="544"/>
      <c r="NTN54" s="545"/>
      <c r="NTO54" s="545"/>
      <c r="NTP54" s="545"/>
      <c r="NTQ54" s="545"/>
      <c r="NTR54" s="545"/>
      <c r="NTS54" s="545"/>
      <c r="NTT54" s="544"/>
      <c r="NTU54" s="545"/>
      <c r="NTV54" s="545"/>
      <c r="NTW54" s="545"/>
      <c r="NTX54" s="545"/>
      <c r="NTY54" s="545"/>
      <c r="NTZ54" s="545"/>
      <c r="NUA54" s="544"/>
      <c r="NUB54" s="545"/>
      <c r="NUC54" s="545"/>
      <c r="NUD54" s="545"/>
      <c r="NUE54" s="545"/>
      <c r="NUF54" s="545"/>
      <c r="NUG54" s="545"/>
      <c r="NUH54" s="544"/>
      <c r="NUI54" s="545"/>
      <c r="NUJ54" s="545"/>
      <c r="NUK54" s="545"/>
      <c r="NUL54" s="545"/>
      <c r="NUM54" s="545"/>
      <c r="NUN54" s="545"/>
      <c r="NUO54" s="544"/>
      <c r="NUP54" s="545"/>
      <c r="NUQ54" s="545"/>
      <c r="NUR54" s="545"/>
      <c r="NUS54" s="545"/>
      <c r="NUT54" s="545"/>
      <c r="NUU54" s="545"/>
      <c r="NUV54" s="544"/>
      <c r="NUW54" s="545"/>
      <c r="NUX54" s="545"/>
      <c r="NUY54" s="545"/>
      <c r="NUZ54" s="545"/>
      <c r="NVA54" s="545"/>
      <c r="NVB54" s="545"/>
      <c r="NVC54" s="544"/>
      <c r="NVD54" s="545"/>
      <c r="NVE54" s="545"/>
      <c r="NVF54" s="545"/>
      <c r="NVG54" s="545"/>
      <c r="NVH54" s="545"/>
      <c r="NVI54" s="545"/>
      <c r="NVJ54" s="544"/>
      <c r="NVK54" s="545"/>
      <c r="NVL54" s="545"/>
      <c r="NVM54" s="545"/>
      <c r="NVN54" s="545"/>
      <c r="NVO54" s="545"/>
      <c r="NVP54" s="545"/>
      <c r="NVQ54" s="544"/>
      <c r="NVR54" s="545"/>
      <c r="NVS54" s="545"/>
      <c r="NVT54" s="545"/>
      <c r="NVU54" s="545"/>
      <c r="NVV54" s="545"/>
      <c r="NVW54" s="545"/>
      <c r="NVX54" s="544"/>
      <c r="NVY54" s="545"/>
      <c r="NVZ54" s="545"/>
      <c r="NWA54" s="545"/>
      <c r="NWB54" s="545"/>
      <c r="NWC54" s="545"/>
      <c r="NWD54" s="545"/>
      <c r="NWE54" s="544"/>
      <c r="NWF54" s="545"/>
      <c r="NWG54" s="545"/>
      <c r="NWH54" s="545"/>
      <c r="NWI54" s="545"/>
      <c r="NWJ54" s="545"/>
      <c r="NWK54" s="545"/>
      <c r="NWL54" s="544"/>
      <c r="NWM54" s="545"/>
      <c r="NWN54" s="545"/>
      <c r="NWO54" s="545"/>
      <c r="NWP54" s="545"/>
      <c r="NWQ54" s="545"/>
      <c r="NWR54" s="545"/>
      <c r="NWS54" s="544"/>
      <c r="NWT54" s="545"/>
      <c r="NWU54" s="545"/>
      <c r="NWV54" s="545"/>
      <c r="NWW54" s="545"/>
      <c r="NWX54" s="545"/>
      <c r="NWY54" s="545"/>
      <c r="NWZ54" s="544"/>
      <c r="NXA54" s="545"/>
      <c r="NXB54" s="545"/>
      <c r="NXC54" s="545"/>
      <c r="NXD54" s="545"/>
      <c r="NXE54" s="545"/>
      <c r="NXF54" s="545"/>
      <c r="NXG54" s="544"/>
      <c r="NXH54" s="545"/>
      <c r="NXI54" s="545"/>
      <c r="NXJ54" s="545"/>
      <c r="NXK54" s="545"/>
      <c r="NXL54" s="545"/>
      <c r="NXM54" s="545"/>
      <c r="NXN54" s="544"/>
      <c r="NXO54" s="545"/>
      <c r="NXP54" s="545"/>
      <c r="NXQ54" s="545"/>
      <c r="NXR54" s="545"/>
      <c r="NXS54" s="545"/>
      <c r="NXT54" s="545"/>
      <c r="NXU54" s="544"/>
      <c r="NXV54" s="545"/>
      <c r="NXW54" s="545"/>
      <c r="NXX54" s="545"/>
      <c r="NXY54" s="545"/>
      <c r="NXZ54" s="545"/>
      <c r="NYA54" s="545"/>
      <c r="NYB54" s="544"/>
      <c r="NYC54" s="545"/>
      <c r="NYD54" s="545"/>
      <c r="NYE54" s="545"/>
      <c r="NYF54" s="545"/>
      <c r="NYG54" s="545"/>
      <c r="NYH54" s="545"/>
      <c r="NYI54" s="544"/>
      <c r="NYJ54" s="545"/>
      <c r="NYK54" s="545"/>
      <c r="NYL54" s="545"/>
      <c r="NYM54" s="545"/>
      <c r="NYN54" s="545"/>
      <c r="NYO54" s="545"/>
      <c r="NYP54" s="544"/>
      <c r="NYQ54" s="545"/>
      <c r="NYR54" s="545"/>
      <c r="NYS54" s="545"/>
      <c r="NYT54" s="545"/>
      <c r="NYU54" s="545"/>
      <c r="NYV54" s="545"/>
      <c r="NYW54" s="544"/>
      <c r="NYX54" s="545"/>
      <c r="NYY54" s="545"/>
      <c r="NYZ54" s="545"/>
      <c r="NZA54" s="545"/>
      <c r="NZB54" s="545"/>
      <c r="NZC54" s="545"/>
      <c r="NZD54" s="544"/>
      <c r="NZE54" s="545"/>
      <c r="NZF54" s="545"/>
      <c r="NZG54" s="545"/>
      <c r="NZH54" s="545"/>
      <c r="NZI54" s="545"/>
      <c r="NZJ54" s="545"/>
      <c r="NZK54" s="544"/>
      <c r="NZL54" s="545"/>
      <c r="NZM54" s="545"/>
      <c r="NZN54" s="545"/>
      <c r="NZO54" s="545"/>
      <c r="NZP54" s="545"/>
      <c r="NZQ54" s="545"/>
      <c r="NZR54" s="544"/>
      <c r="NZS54" s="545"/>
      <c r="NZT54" s="545"/>
      <c r="NZU54" s="545"/>
      <c r="NZV54" s="545"/>
      <c r="NZW54" s="545"/>
      <c r="NZX54" s="545"/>
      <c r="NZY54" s="544"/>
      <c r="NZZ54" s="545"/>
      <c r="OAA54" s="545"/>
      <c r="OAB54" s="545"/>
      <c r="OAC54" s="545"/>
      <c r="OAD54" s="545"/>
      <c r="OAE54" s="545"/>
      <c r="OAF54" s="544"/>
      <c r="OAG54" s="545"/>
      <c r="OAH54" s="545"/>
      <c r="OAI54" s="545"/>
      <c r="OAJ54" s="545"/>
      <c r="OAK54" s="545"/>
      <c r="OAL54" s="545"/>
      <c r="OAM54" s="544"/>
      <c r="OAN54" s="545"/>
      <c r="OAO54" s="545"/>
      <c r="OAP54" s="545"/>
      <c r="OAQ54" s="545"/>
      <c r="OAR54" s="545"/>
      <c r="OAS54" s="545"/>
      <c r="OAT54" s="544"/>
      <c r="OAU54" s="545"/>
      <c r="OAV54" s="545"/>
      <c r="OAW54" s="545"/>
      <c r="OAX54" s="545"/>
      <c r="OAY54" s="545"/>
      <c r="OAZ54" s="545"/>
      <c r="OBA54" s="544"/>
      <c r="OBB54" s="545"/>
      <c r="OBC54" s="545"/>
      <c r="OBD54" s="545"/>
      <c r="OBE54" s="545"/>
      <c r="OBF54" s="545"/>
      <c r="OBG54" s="545"/>
      <c r="OBH54" s="544"/>
      <c r="OBI54" s="545"/>
      <c r="OBJ54" s="545"/>
      <c r="OBK54" s="545"/>
      <c r="OBL54" s="545"/>
      <c r="OBM54" s="545"/>
      <c r="OBN54" s="545"/>
      <c r="OBO54" s="544"/>
      <c r="OBP54" s="545"/>
      <c r="OBQ54" s="545"/>
      <c r="OBR54" s="545"/>
      <c r="OBS54" s="545"/>
      <c r="OBT54" s="545"/>
      <c r="OBU54" s="545"/>
      <c r="OBV54" s="544"/>
      <c r="OBW54" s="545"/>
      <c r="OBX54" s="545"/>
      <c r="OBY54" s="545"/>
      <c r="OBZ54" s="545"/>
      <c r="OCA54" s="545"/>
      <c r="OCB54" s="545"/>
      <c r="OCC54" s="544"/>
      <c r="OCD54" s="545"/>
      <c r="OCE54" s="545"/>
      <c r="OCF54" s="545"/>
      <c r="OCG54" s="545"/>
      <c r="OCH54" s="545"/>
      <c r="OCI54" s="545"/>
      <c r="OCJ54" s="544"/>
      <c r="OCK54" s="545"/>
      <c r="OCL54" s="545"/>
      <c r="OCM54" s="545"/>
      <c r="OCN54" s="545"/>
      <c r="OCO54" s="545"/>
      <c r="OCP54" s="545"/>
      <c r="OCQ54" s="544"/>
      <c r="OCR54" s="545"/>
      <c r="OCS54" s="545"/>
      <c r="OCT54" s="545"/>
      <c r="OCU54" s="545"/>
      <c r="OCV54" s="545"/>
      <c r="OCW54" s="545"/>
      <c r="OCX54" s="544"/>
      <c r="OCY54" s="545"/>
      <c r="OCZ54" s="545"/>
      <c r="ODA54" s="545"/>
      <c r="ODB54" s="545"/>
      <c r="ODC54" s="545"/>
      <c r="ODD54" s="545"/>
      <c r="ODE54" s="544"/>
      <c r="ODF54" s="545"/>
      <c r="ODG54" s="545"/>
      <c r="ODH54" s="545"/>
      <c r="ODI54" s="545"/>
      <c r="ODJ54" s="545"/>
      <c r="ODK54" s="545"/>
      <c r="ODL54" s="544"/>
      <c r="ODM54" s="545"/>
      <c r="ODN54" s="545"/>
      <c r="ODO54" s="545"/>
      <c r="ODP54" s="545"/>
      <c r="ODQ54" s="545"/>
      <c r="ODR54" s="545"/>
      <c r="ODS54" s="544"/>
      <c r="ODT54" s="545"/>
      <c r="ODU54" s="545"/>
      <c r="ODV54" s="545"/>
      <c r="ODW54" s="545"/>
      <c r="ODX54" s="545"/>
      <c r="ODY54" s="545"/>
      <c r="ODZ54" s="544"/>
      <c r="OEA54" s="545"/>
      <c r="OEB54" s="545"/>
      <c r="OEC54" s="545"/>
      <c r="OED54" s="545"/>
      <c r="OEE54" s="545"/>
      <c r="OEF54" s="545"/>
      <c r="OEG54" s="544"/>
      <c r="OEH54" s="545"/>
      <c r="OEI54" s="545"/>
      <c r="OEJ54" s="545"/>
      <c r="OEK54" s="545"/>
      <c r="OEL54" s="545"/>
      <c r="OEM54" s="545"/>
      <c r="OEN54" s="544"/>
      <c r="OEO54" s="545"/>
      <c r="OEP54" s="545"/>
      <c r="OEQ54" s="545"/>
      <c r="OER54" s="545"/>
      <c r="OES54" s="545"/>
      <c r="OET54" s="545"/>
      <c r="OEU54" s="544"/>
      <c r="OEV54" s="545"/>
      <c r="OEW54" s="545"/>
      <c r="OEX54" s="545"/>
      <c r="OEY54" s="545"/>
      <c r="OEZ54" s="545"/>
      <c r="OFA54" s="545"/>
      <c r="OFB54" s="544"/>
      <c r="OFC54" s="545"/>
      <c r="OFD54" s="545"/>
      <c r="OFE54" s="545"/>
      <c r="OFF54" s="545"/>
      <c r="OFG54" s="545"/>
      <c r="OFH54" s="545"/>
      <c r="OFI54" s="544"/>
      <c r="OFJ54" s="545"/>
      <c r="OFK54" s="545"/>
      <c r="OFL54" s="545"/>
      <c r="OFM54" s="545"/>
      <c r="OFN54" s="545"/>
      <c r="OFO54" s="545"/>
      <c r="OFP54" s="544"/>
      <c r="OFQ54" s="545"/>
      <c r="OFR54" s="545"/>
      <c r="OFS54" s="545"/>
      <c r="OFT54" s="545"/>
      <c r="OFU54" s="545"/>
      <c r="OFV54" s="545"/>
      <c r="OFW54" s="544"/>
      <c r="OFX54" s="545"/>
      <c r="OFY54" s="545"/>
      <c r="OFZ54" s="545"/>
      <c r="OGA54" s="545"/>
      <c r="OGB54" s="545"/>
      <c r="OGC54" s="545"/>
      <c r="OGD54" s="544"/>
      <c r="OGE54" s="545"/>
      <c r="OGF54" s="545"/>
      <c r="OGG54" s="545"/>
      <c r="OGH54" s="545"/>
      <c r="OGI54" s="545"/>
      <c r="OGJ54" s="545"/>
      <c r="OGK54" s="544"/>
      <c r="OGL54" s="545"/>
      <c r="OGM54" s="545"/>
      <c r="OGN54" s="545"/>
      <c r="OGO54" s="545"/>
      <c r="OGP54" s="545"/>
      <c r="OGQ54" s="545"/>
      <c r="OGR54" s="544"/>
      <c r="OGS54" s="545"/>
      <c r="OGT54" s="545"/>
      <c r="OGU54" s="545"/>
      <c r="OGV54" s="545"/>
      <c r="OGW54" s="545"/>
      <c r="OGX54" s="545"/>
      <c r="OGY54" s="544"/>
      <c r="OGZ54" s="545"/>
      <c r="OHA54" s="545"/>
      <c r="OHB54" s="545"/>
      <c r="OHC54" s="545"/>
      <c r="OHD54" s="545"/>
      <c r="OHE54" s="545"/>
      <c r="OHF54" s="544"/>
      <c r="OHG54" s="545"/>
      <c r="OHH54" s="545"/>
      <c r="OHI54" s="545"/>
      <c r="OHJ54" s="545"/>
      <c r="OHK54" s="545"/>
      <c r="OHL54" s="545"/>
      <c r="OHM54" s="544"/>
      <c r="OHN54" s="545"/>
      <c r="OHO54" s="545"/>
      <c r="OHP54" s="545"/>
      <c r="OHQ54" s="545"/>
      <c r="OHR54" s="545"/>
      <c r="OHS54" s="545"/>
      <c r="OHT54" s="544"/>
      <c r="OHU54" s="545"/>
      <c r="OHV54" s="545"/>
      <c r="OHW54" s="545"/>
      <c r="OHX54" s="545"/>
      <c r="OHY54" s="545"/>
      <c r="OHZ54" s="545"/>
      <c r="OIA54" s="544"/>
      <c r="OIB54" s="545"/>
      <c r="OIC54" s="545"/>
      <c r="OID54" s="545"/>
      <c r="OIE54" s="545"/>
      <c r="OIF54" s="545"/>
      <c r="OIG54" s="545"/>
      <c r="OIH54" s="544"/>
      <c r="OII54" s="545"/>
      <c r="OIJ54" s="545"/>
      <c r="OIK54" s="545"/>
      <c r="OIL54" s="545"/>
      <c r="OIM54" s="545"/>
      <c r="OIN54" s="545"/>
      <c r="OIO54" s="544"/>
      <c r="OIP54" s="545"/>
      <c r="OIQ54" s="545"/>
      <c r="OIR54" s="545"/>
      <c r="OIS54" s="545"/>
      <c r="OIT54" s="545"/>
      <c r="OIU54" s="545"/>
      <c r="OIV54" s="544"/>
      <c r="OIW54" s="545"/>
      <c r="OIX54" s="545"/>
      <c r="OIY54" s="545"/>
      <c r="OIZ54" s="545"/>
      <c r="OJA54" s="545"/>
      <c r="OJB54" s="545"/>
      <c r="OJC54" s="544"/>
      <c r="OJD54" s="545"/>
      <c r="OJE54" s="545"/>
      <c r="OJF54" s="545"/>
      <c r="OJG54" s="545"/>
      <c r="OJH54" s="545"/>
      <c r="OJI54" s="545"/>
      <c r="OJJ54" s="544"/>
      <c r="OJK54" s="545"/>
      <c r="OJL54" s="545"/>
      <c r="OJM54" s="545"/>
      <c r="OJN54" s="545"/>
      <c r="OJO54" s="545"/>
      <c r="OJP54" s="545"/>
      <c r="OJQ54" s="544"/>
      <c r="OJR54" s="545"/>
      <c r="OJS54" s="545"/>
      <c r="OJT54" s="545"/>
      <c r="OJU54" s="545"/>
      <c r="OJV54" s="545"/>
      <c r="OJW54" s="545"/>
      <c r="OJX54" s="544"/>
      <c r="OJY54" s="545"/>
      <c r="OJZ54" s="545"/>
      <c r="OKA54" s="545"/>
      <c r="OKB54" s="545"/>
      <c r="OKC54" s="545"/>
      <c r="OKD54" s="545"/>
      <c r="OKE54" s="544"/>
      <c r="OKF54" s="545"/>
      <c r="OKG54" s="545"/>
      <c r="OKH54" s="545"/>
      <c r="OKI54" s="545"/>
      <c r="OKJ54" s="545"/>
      <c r="OKK54" s="545"/>
      <c r="OKL54" s="544"/>
      <c r="OKM54" s="545"/>
      <c r="OKN54" s="545"/>
      <c r="OKO54" s="545"/>
      <c r="OKP54" s="545"/>
      <c r="OKQ54" s="545"/>
      <c r="OKR54" s="545"/>
      <c r="OKS54" s="544"/>
      <c r="OKT54" s="545"/>
      <c r="OKU54" s="545"/>
      <c r="OKV54" s="545"/>
      <c r="OKW54" s="545"/>
      <c r="OKX54" s="545"/>
      <c r="OKY54" s="545"/>
      <c r="OKZ54" s="544"/>
      <c r="OLA54" s="545"/>
      <c r="OLB54" s="545"/>
      <c r="OLC54" s="545"/>
      <c r="OLD54" s="545"/>
      <c r="OLE54" s="545"/>
      <c r="OLF54" s="545"/>
      <c r="OLG54" s="544"/>
      <c r="OLH54" s="545"/>
      <c r="OLI54" s="545"/>
      <c r="OLJ54" s="545"/>
      <c r="OLK54" s="545"/>
      <c r="OLL54" s="545"/>
      <c r="OLM54" s="545"/>
      <c r="OLN54" s="544"/>
      <c r="OLO54" s="545"/>
      <c r="OLP54" s="545"/>
      <c r="OLQ54" s="545"/>
      <c r="OLR54" s="545"/>
      <c r="OLS54" s="545"/>
      <c r="OLT54" s="545"/>
      <c r="OLU54" s="544"/>
      <c r="OLV54" s="545"/>
      <c r="OLW54" s="545"/>
      <c r="OLX54" s="545"/>
      <c r="OLY54" s="545"/>
      <c r="OLZ54" s="545"/>
      <c r="OMA54" s="545"/>
      <c r="OMB54" s="544"/>
      <c r="OMC54" s="545"/>
      <c r="OMD54" s="545"/>
      <c r="OME54" s="545"/>
      <c r="OMF54" s="545"/>
      <c r="OMG54" s="545"/>
      <c r="OMH54" s="545"/>
      <c r="OMI54" s="544"/>
      <c r="OMJ54" s="545"/>
      <c r="OMK54" s="545"/>
      <c r="OML54" s="545"/>
      <c r="OMM54" s="545"/>
      <c r="OMN54" s="545"/>
      <c r="OMO54" s="545"/>
      <c r="OMP54" s="544"/>
      <c r="OMQ54" s="545"/>
      <c r="OMR54" s="545"/>
      <c r="OMS54" s="545"/>
      <c r="OMT54" s="545"/>
      <c r="OMU54" s="545"/>
      <c r="OMV54" s="545"/>
      <c r="OMW54" s="544"/>
      <c r="OMX54" s="545"/>
      <c r="OMY54" s="545"/>
      <c r="OMZ54" s="545"/>
      <c r="ONA54" s="545"/>
      <c r="ONB54" s="545"/>
      <c r="ONC54" s="545"/>
      <c r="OND54" s="544"/>
      <c r="ONE54" s="545"/>
      <c r="ONF54" s="545"/>
      <c r="ONG54" s="545"/>
      <c r="ONH54" s="545"/>
      <c r="ONI54" s="545"/>
      <c r="ONJ54" s="545"/>
      <c r="ONK54" s="544"/>
      <c r="ONL54" s="545"/>
      <c r="ONM54" s="545"/>
      <c r="ONN54" s="545"/>
      <c r="ONO54" s="545"/>
      <c r="ONP54" s="545"/>
      <c r="ONQ54" s="545"/>
      <c r="ONR54" s="544"/>
      <c r="ONS54" s="545"/>
      <c r="ONT54" s="545"/>
      <c r="ONU54" s="545"/>
      <c r="ONV54" s="545"/>
      <c r="ONW54" s="545"/>
      <c r="ONX54" s="545"/>
      <c r="ONY54" s="544"/>
      <c r="ONZ54" s="545"/>
      <c r="OOA54" s="545"/>
      <c r="OOB54" s="545"/>
      <c r="OOC54" s="545"/>
      <c r="OOD54" s="545"/>
      <c r="OOE54" s="545"/>
      <c r="OOF54" s="544"/>
      <c r="OOG54" s="545"/>
      <c r="OOH54" s="545"/>
      <c r="OOI54" s="545"/>
      <c r="OOJ54" s="545"/>
      <c r="OOK54" s="545"/>
      <c r="OOL54" s="545"/>
      <c r="OOM54" s="544"/>
      <c r="OON54" s="545"/>
      <c r="OOO54" s="545"/>
      <c r="OOP54" s="545"/>
      <c r="OOQ54" s="545"/>
      <c r="OOR54" s="545"/>
      <c r="OOS54" s="545"/>
      <c r="OOT54" s="544"/>
      <c r="OOU54" s="545"/>
      <c r="OOV54" s="545"/>
      <c r="OOW54" s="545"/>
      <c r="OOX54" s="545"/>
      <c r="OOY54" s="545"/>
      <c r="OOZ54" s="545"/>
      <c r="OPA54" s="544"/>
      <c r="OPB54" s="545"/>
      <c r="OPC54" s="545"/>
      <c r="OPD54" s="545"/>
      <c r="OPE54" s="545"/>
      <c r="OPF54" s="545"/>
      <c r="OPG54" s="545"/>
      <c r="OPH54" s="544"/>
      <c r="OPI54" s="545"/>
      <c r="OPJ54" s="545"/>
      <c r="OPK54" s="545"/>
      <c r="OPL54" s="545"/>
      <c r="OPM54" s="545"/>
      <c r="OPN54" s="545"/>
      <c r="OPO54" s="544"/>
      <c r="OPP54" s="545"/>
      <c r="OPQ54" s="545"/>
      <c r="OPR54" s="545"/>
      <c r="OPS54" s="545"/>
      <c r="OPT54" s="545"/>
      <c r="OPU54" s="545"/>
      <c r="OPV54" s="544"/>
      <c r="OPW54" s="545"/>
      <c r="OPX54" s="545"/>
      <c r="OPY54" s="545"/>
      <c r="OPZ54" s="545"/>
      <c r="OQA54" s="545"/>
      <c r="OQB54" s="545"/>
      <c r="OQC54" s="544"/>
      <c r="OQD54" s="545"/>
      <c r="OQE54" s="545"/>
      <c r="OQF54" s="545"/>
      <c r="OQG54" s="545"/>
      <c r="OQH54" s="545"/>
      <c r="OQI54" s="545"/>
      <c r="OQJ54" s="544"/>
      <c r="OQK54" s="545"/>
      <c r="OQL54" s="545"/>
      <c r="OQM54" s="545"/>
      <c r="OQN54" s="545"/>
      <c r="OQO54" s="545"/>
      <c r="OQP54" s="545"/>
      <c r="OQQ54" s="544"/>
      <c r="OQR54" s="545"/>
      <c r="OQS54" s="545"/>
      <c r="OQT54" s="545"/>
      <c r="OQU54" s="545"/>
      <c r="OQV54" s="545"/>
      <c r="OQW54" s="545"/>
      <c r="OQX54" s="544"/>
      <c r="OQY54" s="545"/>
      <c r="OQZ54" s="545"/>
      <c r="ORA54" s="545"/>
      <c r="ORB54" s="545"/>
      <c r="ORC54" s="545"/>
      <c r="ORD54" s="545"/>
      <c r="ORE54" s="544"/>
      <c r="ORF54" s="545"/>
      <c r="ORG54" s="545"/>
      <c r="ORH54" s="545"/>
      <c r="ORI54" s="545"/>
      <c r="ORJ54" s="545"/>
      <c r="ORK54" s="545"/>
      <c r="ORL54" s="544"/>
      <c r="ORM54" s="545"/>
      <c r="ORN54" s="545"/>
      <c r="ORO54" s="545"/>
      <c r="ORP54" s="545"/>
      <c r="ORQ54" s="545"/>
      <c r="ORR54" s="545"/>
      <c r="ORS54" s="544"/>
      <c r="ORT54" s="545"/>
      <c r="ORU54" s="545"/>
      <c r="ORV54" s="545"/>
      <c r="ORW54" s="545"/>
      <c r="ORX54" s="545"/>
      <c r="ORY54" s="545"/>
      <c r="ORZ54" s="544"/>
      <c r="OSA54" s="545"/>
      <c r="OSB54" s="545"/>
      <c r="OSC54" s="545"/>
      <c r="OSD54" s="545"/>
      <c r="OSE54" s="545"/>
      <c r="OSF54" s="545"/>
      <c r="OSG54" s="544"/>
      <c r="OSH54" s="545"/>
      <c r="OSI54" s="545"/>
      <c r="OSJ54" s="545"/>
      <c r="OSK54" s="545"/>
      <c r="OSL54" s="545"/>
      <c r="OSM54" s="545"/>
      <c r="OSN54" s="544"/>
      <c r="OSO54" s="545"/>
      <c r="OSP54" s="545"/>
      <c r="OSQ54" s="545"/>
      <c r="OSR54" s="545"/>
      <c r="OSS54" s="545"/>
      <c r="OST54" s="545"/>
      <c r="OSU54" s="544"/>
      <c r="OSV54" s="545"/>
      <c r="OSW54" s="545"/>
      <c r="OSX54" s="545"/>
      <c r="OSY54" s="545"/>
      <c r="OSZ54" s="545"/>
      <c r="OTA54" s="545"/>
      <c r="OTB54" s="544"/>
      <c r="OTC54" s="545"/>
      <c r="OTD54" s="545"/>
      <c r="OTE54" s="545"/>
      <c r="OTF54" s="545"/>
      <c r="OTG54" s="545"/>
      <c r="OTH54" s="545"/>
      <c r="OTI54" s="544"/>
      <c r="OTJ54" s="545"/>
      <c r="OTK54" s="545"/>
      <c r="OTL54" s="545"/>
      <c r="OTM54" s="545"/>
      <c r="OTN54" s="545"/>
      <c r="OTO54" s="545"/>
      <c r="OTP54" s="544"/>
      <c r="OTQ54" s="545"/>
      <c r="OTR54" s="545"/>
      <c r="OTS54" s="545"/>
      <c r="OTT54" s="545"/>
      <c r="OTU54" s="545"/>
      <c r="OTV54" s="545"/>
      <c r="OTW54" s="544"/>
      <c r="OTX54" s="545"/>
      <c r="OTY54" s="545"/>
      <c r="OTZ54" s="545"/>
      <c r="OUA54" s="545"/>
      <c r="OUB54" s="545"/>
      <c r="OUC54" s="545"/>
      <c r="OUD54" s="544"/>
      <c r="OUE54" s="545"/>
      <c r="OUF54" s="545"/>
      <c r="OUG54" s="545"/>
      <c r="OUH54" s="545"/>
      <c r="OUI54" s="545"/>
      <c r="OUJ54" s="545"/>
      <c r="OUK54" s="544"/>
      <c r="OUL54" s="545"/>
      <c r="OUM54" s="545"/>
      <c r="OUN54" s="545"/>
      <c r="OUO54" s="545"/>
      <c r="OUP54" s="545"/>
      <c r="OUQ54" s="545"/>
      <c r="OUR54" s="544"/>
      <c r="OUS54" s="545"/>
      <c r="OUT54" s="545"/>
      <c r="OUU54" s="545"/>
      <c r="OUV54" s="545"/>
      <c r="OUW54" s="545"/>
      <c r="OUX54" s="545"/>
      <c r="OUY54" s="544"/>
      <c r="OUZ54" s="545"/>
      <c r="OVA54" s="545"/>
      <c r="OVB54" s="545"/>
      <c r="OVC54" s="545"/>
      <c r="OVD54" s="545"/>
      <c r="OVE54" s="545"/>
      <c r="OVF54" s="544"/>
      <c r="OVG54" s="545"/>
      <c r="OVH54" s="545"/>
      <c r="OVI54" s="545"/>
      <c r="OVJ54" s="545"/>
      <c r="OVK54" s="545"/>
      <c r="OVL54" s="545"/>
      <c r="OVM54" s="544"/>
      <c r="OVN54" s="545"/>
      <c r="OVO54" s="545"/>
      <c r="OVP54" s="545"/>
      <c r="OVQ54" s="545"/>
      <c r="OVR54" s="545"/>
      <c r="OVS54" s="545"/>
      <c r="OVT54" s="544"/>
      <c r="OVU54" s="545"/>
      <c r="OVV54" s="545"/>
      <c r="OVW54" s="545"/>
      <c r="OVX54" s="545"/>
      <c r="OVY54" s="545"/>
      <c r="OVZ54" s="545"/>
      <c r="OWA54" s="544"/>
      <c r="OWB54" s="545"/>
      <c r="OWC54" s="545"/>
      <c r="OWD54" s="545"/>
      <c r="OWE54" s="545"/>
      <c r="OWF54" s="545"/>
      <c r="OWG54" s="545"/>
      <c r="OWH54" s="544"/>
      <c r="OWI54" s="545"/>
      <c r="OWJ54" s="545"/>
      <c r="OWK54" s="545"/>
      <c r="OWL54" s="545"/>
      <c r="OWM54" s="545"/>
      <c r="OWN54" s="545"/>
      <c r="OWO54" s="544"/>
      <c r="OWP54" s="545"/>
      <c r="OWQ54" s="545"/>
      <c r="OWR54" s="545"/>
      <c r="OWS54" s="545"/>
      <c r="OWT54" s="545"/>
      <c r="OWU54" s="545"/>
      <c r="OWV54" s="544"/>
      <c r="OWW54" s="545"/>
      <c r="OWX54" s="545"/>
      <c r="OWY54" s="545"/>
      <c r="OWZ54" s="545"/>
      <c r="OXA54" s="545"/>
      <c r="OXB54" s="545"/>
      <c r="OXC54" s="544"/>
      <c r="OXD54" s="545"/>
      <c r="OXE54" s="545"/>
      <c r="OXF54" s="545"/>
      <c r="OXG54" s="545"/>
      <c r="OXH54" s="545"/>
      <c r="OXI54" s="545"/>
      <c r="OXJ54" s="544"/>
      <c r="OXK54" s="545"/>
      <c r="OXL54" s="545"/>
      <c r="OXM54" s="545"/>
      <c r="OXN54" s="545"/>
      <c r="OXO54" s="545"/>
      <c r="OXP54" s="545"/>
      <c r="OXQ54" s="544"/>
      <c r="OXR54" s="545"/>
      <c r="OXS54" s="545"/>
      <c r="OXT54" s="545"/>
      <c r="OXU54" s="545"/>
      <c r="OXV54" s="545"/>
      <c r="OXW54" s="545"/>
      <c r="OXX54" s="544"/>
      <c r="OXY54" s="545"/>
      <c r="OXZ54" s="545"/>
      <c r="OYA54" s="545"/>
      <c r="OYB54" s="545"/>
      <c r="OYC54" s="545"/>
      <c r="OYD54" s="545"/>
      <c r="OYE54" s="544"/>
      <c r="OYF54" s="545"/>
      <c r="OYG54" s="545"/>
      <c r="OYH54" s="545"/>
      <c r="OYI54" s="545"/>
      <c r="OYJ54" s="545"/>
      <c r="OYK54" s="545"/>
      <c r="OYL54" s="544"/>
      <c r="OYM54" s="545"/>
      <c r="OYN54" s="545"/>
      <c r="OYO54" s="545"/>
      <c r="OYP54" s="545"/>
      <c r="OYQ54" s="545"/>
      <c r="OYR54" s="545"/>
      <c r="OYS54" s="544"/>
      <c r="OYT54" s="545"/>
      <c r="OYU54" s="545"/>
      <c r="OYV54" s="545"/>
      <c r="OYW54" s="545"/>
      <c r="OYX54" s="545"/>
      <c r="OYY54" s="545"/>
      <c r="OYZ54" s="544"/>
      <c r="OZA54" s="545"/>
      <c r="OZB54" s="545"/>
      <c r="OZC54" s="545"/>
      <c r="OZD54" s="545"/>
      <c r="OZE54" s="545"/>
      <c r="OZF54" s="545"/>
      <c r="OZG54" s="544"/>
      <c r="OZH54" s="545"/>
      <c r="OZI54" s="545"/>
      <c r="OZJ54" s="545"/>
      <c r="OZK54" s="545"/>
      <c r="OZL54" s="545"/>
      <c r="OZM54" s="545"/>
      <c r="OZN54" s="544"/>
      <c r="OZO54" s="545"/>
      <c r="OZP54" s="545"/>
      <c r="OZQ54" s="545"/>
      <c r="OZR54" s="545"/>
      <c r="OZS54" s="545"/>
      <c r="OZT54" s="545"/>
      <c r="OZU54" s="544"/>
      <c r="OZV54" s="545"/>
      <c r="OZW54" s="545"/>
      <c r="OZX54" s="545"/>
      <c r="OZY54" s="545"/>
      <c r="OZZ54" s="545"/>
      <c r="PAA54" s="545"/>
      <c r="PAB54" s="544"/>
      <c r="PAC54" s="545"/>
      <c r="PAD54" s="545"/>
      <c r="PAE54" s="545"/>
      <c r="PAF54" s="545"/>
      <c r="PAG54" s="545"/>
      <c r="PAH54" s="545"/>
      <c r="PAI54" s="544"/>
      <c r="PAJ54" s="545"/>
      <c r="PAK54" s="545"/>
      <c r="PAL54" s="545"/>
      <c r="PAM54" s="545"/>
      <c r="PAN54" s="545"/>
      <c r="PAO54" s="545"/>
      <c r="PAP54" s="544"/>
      <c r="PAQ54" s="545"/>
      <c r="PAR54" s="545"/>
      <c r="PAS54" s="545"/>
      <c r="PAT54" s="545"/>
      <c r="PAU54" s="545"/>
      <c r="PAV54" s="545"/>
      <c r="PAW54" s="544"/>
      <c r="PAX54" s="545"/>
      <c r="PAY54" s="545"/>
      <c r="PAZ54" s="545"/>
      <c r="PBA54" s="545"/>
      <c r="PBB54" s="545"/>
      <c r="PBC54" s="545"/>
      <c r="PBD54" s="544"/>
      <c r="PBE54" s="545"/>
      <c r="PBF54" s="545"/>
      <c r="PBG54" s="545"/>
      <c r="PBH54" s="545"/>
      <c r="PBI54" s="545"/>
      <c r="PBJ54" s="545"/>
      <c r="PBK54" s="544"/>
      <c r="PBL54" s="545"/>
      <c r="PBM54" s="545"/>
      <c r="PBN54" s="545"/>
      <c r="PBO54" s="545"/>
      <c r="PBP54" s="545"/>
      <c r="PBQ54" s="545"/>
      <c r="PBR54" s="544"/>
      <c r="PBS54" s="545"/>
      <c r="PBT54" s="545"/>
      <c r="PBU54" s="545"/>
      <c r="PBV54" s="545"/>
      <c r="PBW54" s="545"/>
      <c r="PBX54" s="545"/>
      <c r="PBY54" s="544"/>
      <c r="PBZ54" s="545"/>
      <c r="PCA54" s="545"/>
      <c r="PCB54" s="545"/>
      <c r="PCC54" s="545"/>
      <c r="PCD54" s="545"/>
      <c r="PCE54" s="545"/>
      <c r="PCF54" s="544"/>
      <c r="PCG54" s="545"/>
      <c r="PCH54" s="545"/>
      <c r="PCI54" s="545"/>
      <c r="PCJ54" s="545"/>
      <c r="PCK54" s="545"/>
      <c r="PCL54" s="545"/>
      <c r="PCM54" s="544"/>
      <c r="PCN54" s="545"/>
      <c r="PCO54" s="545"/>
      <c r="PCP54" s="545"/>
      <c r="PCQ54" s="545"/>
      <c r="PCR54" s="545"/>
      <c r="PCS54" s="545"/>
      <c r="PCT54" s="544"/>
      <c r="PCU54" s="545"/>
      <c r="PCV54" s="545"/>
      <c r="PCW54" s="545"/>
      <c r="PCX54" s="545"/>
      <c r="PCY54" s="545"/>
      <c r="PCZ54" s="545"/>
      <c r="PDA54" s="544"/>
      <c r="PDB54" s="545"/>
      <c r="PDC54" s="545"/>
      <c r="PDD54" s="545"/>
      <c r="PDE54" s="545"/>
      <c r="PDF54" s="545"/>
      <c r="PDG54" s="545"/>
      <c r="PDH54" s="544"/>
      <c r="PDI54" s="545"/>
      <c r="PDJ54" s="545"/>
      <c r="PDK54" s="545"/>
      <c r="PDL54" s="545"/>
      <c r="PDM54" s="545"/>
      <c r="PDN54" s="545"/>
      <c r="PDO54" s="544"/>
      <c r="PDP54" s="545"/>
      <c r="PDQ54" s="545"/>
      <c r="PDR54" s="545"/>
      <c r="PDS54" s="545"/>
      <c r="PDT54" s="545"/>
      <c r="PDU54" s="545"/>
      <c r="PDV54" s="544"/>
      <c r="PDW54" s="545"/>
      <c r="PDX54" s="545"/>
      <c r="PDY54" s="545"/>
      <c r="PDZ54" s="545"/>
      <c r="PEA54" s="545"/>
      <c r="PEB54" s="545"/>
      <c r="PEC54" s="544"/>
      <c r="PED54" s="545"/>
      <c r="PEE54" s="545"/>
      <c r="PEF54" s="545"/>
      <c r="PEG54" s="545"/>
      <c r="PEH54" s="545"/>
      <c r="PEI54" s="545"/>
      <c r="PEJ54" s="544"/>
      <c r="PEK54" s="545"/>
      <c r="PEL54" s="545"/>
      <c r="PEM54" s="545"/>
      <c r="PEN54" s="545"/>
      <c r="PEO54" s="545"/>
      <c r="PEP54" s="545"/>
      <c r="PEQ54" s="544"/>
      <c r="PER54" s="545"/>
      <c r="PES54" s="545"/>
      <c r="PET54" s="545"/>
      <c r="PEU54" s="545"/>
      <c r="PEV54" s="545"/>
      <c r="PEW54" s="545"/>
      <c r="PEX54" s="544"/>
      <c r="PEY54" s="545"/>
      <c r="PEZ54" s="545"/>
      <c r="PFA54" s="545"/>
      <c r="PFB54" s="545"/>
      <c r="PFC54" s="545"/>
      <c r="PFD54" s="545"/>
      <c r="PFE54" s="544"/>
      <c r="PFF54" s="545"/>
      <c r="PFG54" s="545"/>
      <c r="PFH54" s="545"/>
      <c r="PFI54" s="545"/>
      <c r="PFJ54" s="545"/>
      <c r="PFK54" s="545"/>
      <c r="PFL54" s="544"/>
      <c r="PFM54" s="545"/>
      <c r="PFN54" s="545"/>
      <c r="PFO54" s="545"/>
      <c r="PFP54" s="545"/>
      <c r="PFQ54" s="545"/>
      <c r="PFR54" s="545"/>
      <c r="PFS54" s="544"/>
      <c r="PFT54" s="545"/>
      <c r="PFU54" s="545"/>
      <c r="PFV54" s="545"/>
      <c r="PFW54" s="545"/>
      <c r="PFX54" s="545"/>
      <c r="PFY54" s="545"/>
      <c r="PFZ54" s="544"/>
      <c r="PGA54" s="545"/>
      <c r="PGB54" s="545"/>
      <c r="PGC54" s="545"/>
      <c r="PGD54" s="545"/>
      <c r="PGE54" s="545"/>
      <c r="PGF54" s="545"/>
      <c r="PGG54" s="544"/>
      <c r="PGH54" s="545"/>
      <c r="PGI54" s="545"/>
      <c r="PGJ54" s="545"/>
      <c r="PGK54" s="545"/>
      <c r="PGL54" s="545"/>
      <c r="PGM54" s="545"/>
      <c r="PGN54" s="544"/>
      <c r="PGO54" s="545"/>
      <c r="PGP54" s="545"/>
      <c r="PGQ54" s="545"/>
      <c r="PGR54" s="545"/>
      <c r="PGS54" s="545"/>
      <c r="PGT54" s="545"/>
      <c r="PGU54" s="544"/>
      <c r="PGV54" s="545"/>
      <c r="PGW54" s="545"/>
      <c r="PGX54" s="545"/>
      <c r="PGY54" s="545"/>
      <c r="PGZ54" s="545"/>
      <c r="PHA54" s="545"/>
      <c r="PHB54" s="544"/>
      <c r="PHC54" s="545"/>
      <c r="PHD54" s="545"/>
      <c r="PHE54" s="545"/>
      <c r="PHF54" s="545"/>
      <c r="PHG54" s="545"/>
      <c r="PHH54" s="545"/>
      <c r="PHI54" s="544"/>
      <c r="PHJ54" s="545"/>
      <c r="PHK54" s="545"/>
      <c r="PHL54" s="545"/>
      <c r="PHM54" s="545"/>
      <c r="PHN54" s="545"/>
      <c r="PHO54" s="545"/>
      <c r="PHP54" s="544"/>
      <c r="PHQ54" s="545"/>
      <c r="PHR54" s="545"/>
      <c r="PHS54" s="545"/>
      <c r="PHT54" s="545"/>
      <c r="PHU54" s="545"/>
      <c r="PHV54" s="545"/>
      <c r="PHW54" s="544"/>
      <c r="PHX54" s="545"/>
      <c r="PHY54" s="545"/>
      <c r="PHZ54" s="545"/>
      <c r="PIA54" s="545"/>
      <c r="PIB54" s="545"/>
      <c r="PIC54" s="545"/>
      <c r="PID54" s="544"/>
      <c r="PIE54" s="545"/>
      <c r="PIF54" s="545"/>
      <c r="PIG54" s="545"/>
      <c r="PIH54" s="545"/>
      <c r="PII54" s="545"/>
      <c r="PIJ54" s="545"/>
      <c r="PIK54" s="544"/>
      <c r="PIL54" s="545"/>
      <c r="PIM54" s="545"/>
      <c r="PIN54" s="545"/>
      <c r="PIO54" s="545"/>
      <c r="PIP54" s="545"/>
      <c r="PIQ54" s="545"/>
      <c r="PIR54" s="544"/>
      <c r="PIS54" s="545"/>
      <c r="PIT54" s="545"/>
      <c r="PIU54" s="545"/>
      <c r="PIV54" s="545"/>
      <c r="PIW54" s="545"/>
      <c r="PIX54" s="545"/>
      <c r="PIY54" s="544"/>
      <c r="PIZ54" s="545"/>
      <c r="PJA54" s="545"/>
      <c r="PJB54" s="545"/>
      <c r="PJC54" s="545"/>
      <c r="PJD54" s="545"/>
      <c r="PJE54" s="545"/>
      <c r="PJF54" s="544"/>
      <c r="PJG54" s="545"/>
      <c r="PJH54" s="545"/>
      <c r="PJI54" s="545"/>
      <c r="PJJ54" s="545"/>
      <c r="PJK54" s="545"/>
      <c r="PJL54" s="545"/>
      <c r="PJM54" s="544"/>
      <c r="PJN54" s="545"/>
      <c r="PJO54" s="545"/>
      <c r="PJP54" s="545"/>
      <c r="PJQ54" s="545"/>
      <c r="PJR54" s="545"/>
      <c r="PJS54" s="545"/>
      <c r="PJT54" s="544"/>
      <c r="PJU54" s="545"/>
      <c r="PJV54" s="545"/>
      <c r="PJW54" s="545"/>
      <c r="PJX54" s="545"/>
      <c r="PJY54" s="545"/>
      <c r="PJZ54" s="545"/>
      <c r="PKA54" s="544"/>
      <c r="PKB54" s="545"/>
      <c r="PKC54" s="545"/>
      <c r="PKD54" s="545"/>
      <c r="PKE54" s="545"/>
      <c r="PKF54" s="545"/>
      <c r="PKG54" s="545"/>
      <c r="PKH54" s="544"/>
      <c r="PKI54" s="545"/>
      <c r="PKJ54" s="545"/>
      <c r="PKK54" s="545"/>
      <c r="PKL54" s="545"/>
      <c r="PKM54" s="545"/>
      <c r="PKN54" s="545"/>
      <c r="PKO54" s="544"/>
      <c r="PKP54" s="545"/>
      <c r="PKQ54" s="545"/>
      <c r="PKR54" s="545"/>
      <c r="PKS54" s="545"/>
      <c r="PKT54" s="545"/>
      <c r="PKU54" s="545"/>
      <c r="PKV54" s="544"/>
      <c r="PKW54" s="545"/>
      <c r="PKX54" s="545"/>
      <c r="PKY54" s="545"/>
      <c r="PKZ54" s="545"/>
      <c r="PLA54" s="545"/>
      <c r="PLB54" s="545"/>
      <c r="PLC54" s="544"/>
      <c r="PLD54" s="545"/>
      <c r="PLE54" s="545"/>
      <c r="PLF54" s="545"/>
      <c r="PLG54" s="545"/>
      <c r="PLH54" s="545"/>
      <c r="PLI54" s="545"/>
      <c r="PLJ54" s="544"/>
      <c r="PLK54" s="545"/>
      <c r="PLL54" s="545"/>
      <c r="PLM54" s="545"/>
      <c r="PLN54" s="545"/>
      <c r="PLO54" s="545"/>
      <c r="PLP54" s="545"/>
      <c r="PLQ54" s="544"/>
      <c r="PLR54" s="545"/>
      <c r="PLS54" s="545"/>
      <c r="PLT54" s="545"/>
      <c r="PLU54" s="545"/>
      <c r="PLV54" s="545"/>
      <c r="PLW54" s="545"/>
      <c r="PLX54" s="544"/>
      <c r="PLY54" s="545"/>
      <c r="PLZ54" s="545"/>
      <c r="PMA54" s="545"/>
      <c r="PMB54" s="545"/>
      <c r="PMC54" s="545"/>
      <c r="PMD54" s="545"/>
      <c r="PME54" s="544"/>
      <c r="PMF54" s="545"/>
      <c r="PMG54" s="545"/>
      <c r="PMH54" s="545"/>
      <c r="PMI54" s="545"/>
      <c r="PMJ54" s="545"/>
      <c r="PMK54" s="545"/>
      <c r="PML54" s="544"/>
      <c r="PMM54" s="545"/>
      <c r="PMN54" s="545"/>
      <c r="PMO54" s="545"/>
      <c r="PMP54" s="545"/>
      <c r="PMQ54" s="545"/>
      <c r="PMR54" s="545"/>
      <c r="PMS54" s="544"/>
      <c r="PMT54" s="545"/>
      <c r="PMU54" s="545"/>
      <c r="PMV54" s="545"/>
      <c r="PMW54" s="545"/>
      <c r="PMX54" s="545"/>
      <c r="PMY54" s="545"/>
      <c r="PMZ54" s="544"/>
      <c r="PNA54" s="545"/>
      <c r="PNB54" s="545"/>
      <c r="PNC54" s="545"/>
      <c r="PND54" s="545"/>
      <c r="PNE54" s="545"/>
      <c r="PNF54" s="545"/>
      <c r="PNG54" s="544"/>
      <c r="PNH54" s="545"/>
      <c r="PNI54" s="545"/>
      <c r="PNJ54" s="545"/>
      <c r="PNK54" s="545"/>
      <c r="PNL54" s="545"/>
      <c r="PNM54" s="545"/>
      <c r="PNN54" s="544"/>
      <c r="PNO54" s="545"/>
      <c r="PNP54" s="545"/>
      <c r="PNQ54" s="545"/>
      <c r="PNR54" s="545"/>
      <c r="PNS54" s="545"/>
      <c r="PNT54" s="545"/>
      <c r="PNU54" s="544"/>
      <c r="PNV54" s="545"/>
      <c r="PNW54" s="545"/>
      <c r="PNX54" s="545"/>
      <c r="PNY54" s="545"/>
      <c r="PNZ54" s="545"/>
      <c r="POA54" s="545"/>
      <c r="POB54" s="544"/>
      <c r="POC54" s="545"/>
      <c r="POD54" s="545"/>
      <c r="POE54" s="545"/>
      <c r="POF54" s="545"/>
      <c r="POG54" s="545"/>
      <c r="POH54" s="545"/>
      <c r="POI54" s="544"/>
      <c r="POJ54" s="545"/>
      <c r="POK54" s="545"/>
      <c r="POL54" s="545"/>
      <c r="POM54" s="545"/>
      <c r="PON54" s="545"/>
      <c r="POO54" s="545"/>
      <c r="POP54" s="544"/>
      <c r="POQ54" s="545"/>
      <c r="POR54" s="545"/>
      <c r="POS54" s="545"/>
      <c r="POT54" s="545"/>
      <c r="POU54" s="545"/>
      <c r="POV54" s="545"/>
      <c r="POW54" s="544"/>
      <c r="POX54" s="545"/>
      <c r="POY54" s="545"/>
      <c r="POZ54" s="545"/>
      <c r="PPA54" s="545"/>
      <c r="PPB54" s="545"/>
      <c r="PPC54" s="545"/>
      <c r="PPD54" s="544"/>
      <c r="PPE54" s="545"/>
      <c r="PPF54" s="545"/>
      <c r="PPG54" s="545"/>
      <c r="PPH54" s="545"/>
      <c r="PPI54" s="545"/>
      <c r="PPJ54" s="545"/>
      <c r="PPK54" s="544"/>
      <c r="PPL54" s="545"/>
      <c r="PPM54" s="545"/>
      <c r="PPN54" s="545"/>
      <c r="PPO54" s="545"/>
      <c r="PPP54" s="545"/>
      <c r="PPQ54" s="545"/>
      <c r="PPR54" s="544"/>
      <c r="PPS54" s="545"/>
      <c r="PPT54" s="545"/>
      <c r="PPU54" s="545"/>
      <c r="PPV54" s="545"/>
      <c r="PPW54" s="545"/>
      <c r="PPX54" s="545"/>
      <c r="PPY54" s="544"/>
      <c r="PPZ54" s="545"/>
      <c r="PQA54" s="545"/>
      <c r="PQB54" s="545"/>
      <c r="PQC54" s="545"/>
      <c r="PQD54" s="545"/>
      <c r="PQE54" s="545"/>
      <c r="PQF54" s="544"/>
      <c r="PQG54" s="545"/>
      <c r="PQH54" s="545"/>
      <c r="PQI54" s="545"/>
      <c r="PQJ54" s="545"/>
      <c r="PQK54" s="545"/>
      <c r="PQL54" s="545"/>
      <c r="PQM54" s="544"/>
      <c r="PQN54" s="545"/>
      <c r="PQO54" s="545"/>
      <c r="PQP54" s="545"/>
      <c r="PQQ54" s="545"/>
      <c r="PQR54" s="545"/>
      <c r="PQS54" s="545"/>
      <c r="PQT54" s="544"/>
      <c r="PQU54" s="545"/>
      <c r="PQV54" s="545"/>
      <c r="PQW54" s="545"/>
      <c r="PQX54" s="545"/>
      <c r="PQY54" s="545"/>
      <c r="PQZ54" s="545"/>
      <c r="PRA54" s="544"/>
      <c r="PRB54" s="545"/>
      <c r="PRC54" s="545"/>
      <c r="PRD54" s="545"/>
      <c r="PRE54" s="545"/>
      <c r="PRF54" s="545"/>
      <c r="PRG54" s="545"/>
      <c r="PRH54" s="544"/>
      <c r="PRI54" s="545"/>
      <c r="PRJ54" s="545"/>
      <c r="PRK54" s="545"/>
      <c r="PRL54" s="545"/>
      <c r="PRM54" s="545"/>
      <c r="PRN54" s="545"/>
      <c r="PRO54" s="544"/>
      <c r="PRP54" s="545"/>
      <c r="PRQ54" s="545"/>
      <c r="PRR54" s="545"/>
      <c r="PRS54" s="545"/>
      <c r="PRT54" s="545"/>
      <c r="PRU54" s="545"/>
      <c r="PRV54" s="544"/>
      <c r="PRW54" s="545"/>
      <c r="PRX54" s="545"/>
      <c r="PRY54" s="545"/>
      <c r="PRZ54" s="545"/>
      <c r="PSA54" s="545"/>
      <c r="PSB54" s="545"/>
      <c r="PSC54" s="544"/>
      <c r="PSD54" s="545"/>
      <c r="PSE54" s="545"/>
      <c r="PSF54" s="545"/>
      <c r="PSG54" s="545"/>
      <c r="PSH54" s="545"/>
      <c r="PSI54" s="545"/>
      <c r="PSJ54" s="544"/>
      <c r="PSK54" s="545"/>
      <c r="PSL54" s="545"/>
      <c r="PSM54" s="545"/>
      <c r="PSN54" s="545"/>
      <c r="PSO54" s="545"/>
      <c r="PSP54" s="545"/>
      <c r="PSQ54" s="544"/>
      <c r="PSR54" s="545"/>
      <c r="PSS54" s="545"/>
      <c r="PST54" s="545"/>
      <c r="PSU54" s="545"/>
      <c r="PSV54" s="545"/>
      <c r="PSW54" s="545"/>
      <c r="PSX54" s="544"/>
      <c r="PSY54" s="545"/>
      <c r="PSZ54" s="545"/>
      <c r="PTA54" s="545"/>
      <c r="PTB54" s="545"/>
      <c r="PTC54" s="545"/>
      <c r="PTD54" s="545"/>
      <c r="PTE54" s="544"/>
      <c r="PTF54" s="545"/>
      <c r="PTG54" s="545"/>
      <c r="PTH54" s="545"/>
      <c r="PTI54" s="545"/>
      <c r="PTJ54" s="545"/>
      <c r="PTK54" s="545"/>
      <c r="PTL54" s="544"/>
      <c r="PTM54" s="545"/>
      <c r="PTN54" s="545"/>
      <c r="PTO54" s="545"/>
      <c r="PTP54" s="545"/>
      <c r="PTQ54" s="545"/>
      <c r="PTR54" s="545"/>
      <c r="PTS54" s="544"/>
      <c r="PTT54" s="545"/>
      <c r="PTU54" s="545"/>
      <c r="PTV54" s="545"/>
      <c r="PTW54" s="545"/>
      <c r="PTX54" s="545"/>
      <c r="PTY54" s="545"/>
      <c r="PTZ54" s="544"/>
      <c r="PUA54" s="545"/>
      <c r="PUB54" s="545"/>
      <c r="PUC54" s="545"/>
      <c r="PUD54" s="545"/>
      <c r="PUE54" s="545"/>
      <c r="PUF54" s="545"/>
      <c r="PUG54" s="544"/>
      <c r="PUH54" s="545"/>
      <c r="PUI54" s="545"/>
      <c r="PUJ54" s="545"/>
      <c r="PUK54" s="545"/>
      <c r="PUL54" s="545"/>
      <c r="PUM54" s="545"/>
      <c r="PUN54" s="544"/>
      <c r="PUO54" s="545"/>
      <c r="PUP54" s="545"/>
      <c r="PUQ54" s="545"/>
      <c r="PUR54" s="545"/>
      <c r="PUS54" s="545"/>
      <c r="PUT54" s="545"/>
      <c r="PUU54" s="544"/>
      <c r="PUV54" s="545"/>
      <c r="PUW54" s="545"/>
      <c r="PUX54" s="545"/>
      <c r="PUY54" s="545"/>
      <c r="PUZ54" s="545"/>
      <c r="PVA54" s="545"/>
      <c r="PVB54" s="544"/>
      <c r="PVC54" s="545"/>
      <c r="PVD54" s="545"/>
      <c r="PVE54" s="545"/>
      <c r="PVF54" s="545"/>
      <c r="PVG54" s="545"/>
      <c r="PVH54" s="545"/>
      <c r="PVI54" s="544"/>
      <c r="PVJ54" s="545"/>
      <c r="PVK54" s="545"/>
      <c r="PVL54" s="545"/>
      <c r="PVM54" s="545"/>
      <c r="PVN54" s="545"/>
      <c r="PVO54" s="545"/>
      <c r="PVP54" s="544"/>
      <c r="PVQ54" s="545"/>
      <c r="PVR54" s="545"/>
      <c r="PVS54" s="545"/>
      <c r="PVT54" s="545"/>
      <c r="PVU54" s="545"/>
      <c r="PVV54" s="545"/>
      <c r="PVW54" s="544"/>
      <c r="PVX54" s="545"/>
      <c r="PVY54" s="545"/>
      <c r="PVZ54" s="545"/>
      <c r="PWA54" s="545"/>
      <c r="PWB54" s="545"/>
      <c r="PWC54" s="545"/>
      <c r="PWD54" s="544"/>
      <c r="PWE54" s="545"/>
      <c r="PWF54" s="545"/>
      <c r="PWG54" s="545"/>
      <c r="PWH54" s="545"/>
      <c r="PWI54" s="545"/>
      <c r="PWJ54" s="545"/>
      <c r="PWK54" s="544"/>
      <c r="PWL54" s="545"/>
      <c r="PWM54" s="545"/>
      <c r="PWN54" s="545"/>
      <c r="PWO54" s="545"/>
      <c r="PWP54" s="545"/>
      <c r="PWQ54" s="545"/>
      <c r="PWR54" s="544"/>
      <c r="PWS54" s="545"/>
      <c r="PWT54" s="545"/>
      <c r="PWU54" s="545"/>
      <c r="PWV54" s="545"/>
      <c r="PWW54" s="545"/>
      <c r="PWX54" s="545"/>
      <c r="PWY54" s="544"/>
      <c r="PWZ54" s="545"/>
      <c r="PXA54" s="545"/>
      <c r="PXB54" s="545"/>
      <c r="PXC54" s="545"/>
      <c r="PXD54" s="545"/>
      <c r="PXE54" s="545"/>
      <c r="PXF54" s="544"/>
      <c r="PXG54" s="545"/>
      <c r="PXH54" s="545"/>
      <c r="PXI54" s="545"/>
      <c r="PXJ54" s="545"/>
      <c r="PXK54" s="545"/>
      <c r="PXL54" s="545"/>
      <c r="PXM54" s="544"/>
      <c r="PXN54" s="545"/>
      <c r="PXO54" s="545"/>
      <c r="PXP54" s="545"/>
      <c r="PXQ54" s="545"/>
      <c r="PXR54" s="545"/>
      <c r="PXS54" s="545"/>
      <c r="PXT54" s="544"/>
      <c r="PXU54" s="545"/>
      <c r="PXV54" s="545"/>
      <c r="PXW54" s="545"/>
      <c r="PXX54" s="545"/>
      <c r="PXY54" s="545"/>
      <c r="PXZ54" s="545"/>
      <c r="PYA54" s="544"/>
      <c r="PYB54" s="545"/>
      <c r="PYC54" s="545"/>
      <c r="PYD54" s="545"/>
      <c r="PYE54" s="545"/>
      <c r="PYF54" s="545"/>
      <c r="PYG54" s="545"/>
      <c r="PYH54" s="544"/>
      <c r="PYI54" s="545"/>
      <c r="PYJ54" s="545"/>
      <c r="PYK54" s="545"/>
      <c r="PYL54" s="545"/>
      <c r="PYM54" s="545"/>
      <c r="PYN54" s="545"/>
      <c r="PYO54" s="544"/>
      <c r="PYP54" s="545"/>
      <c r="PYQ54" s="545"/>
      <c r="PYR54" s="545"/>
      <c r="PYS54" s="545"/>
      <c r="PYT54" s="545"/>
      <c r="PYU54" s="545"/>
      <c r="PYV54" s="544"/>
      <c r="PYW54" s="545"/>
      <c r="PYX54" s="545"/>
      <c r="PYY54" s="545"/>
      <c r="PYZ54" s="545"/>
      <c r="PZA54" s="545"/>
      <c r="PZB54" s="545"/>
      <c r="PZC54" s="544"/>
      <c r="PZD54" s="545"/>
      <c r="PZE54" s="545"/>
      <c r="PZF54" s="545"/>
      <c r="PZG54" s="545"/>
      <c r="PZH54" s="545"/>
      <c r="PZI54" s="545"/>
      <c r="PZJ54" s="544"/>
      <c r="PZK54" s="545"/>
      <c r="PZL54" s="545"/>
      <c r="PZM54" s="545"/>
      <c r="PZN54" s="545"/>
      <c r="PZO54" s="545"/>
      <c r="PZP54" s="545"/>
      <c r="PZQ54" s="544"/>
      <c r="PZR54" s="545"/>
      <c r="PZS54" s="545"/>
      <c r="PZT54" s="545"/>
      <c r="PZU54" s="545"/>
      <c r="PZV54" s="545"/>
      <c r="PZW54" s="545"/>
      <c r="PZX54" s="544"/>
      <c r="PZY54" s="545"/>
      <c r="PZZ54" s="545"/>
      <c r="QAA54" s="545"/>
      <c r="QAB54" s="545"/>
      <c r="QAC54" s="545"/>
      <c r="QAD54" s="545"/>
      <c r="QAE54" s="544"/>
      <c r="QAF54" s="545"/>
      <c r="QAG54" s="545"/>
      <c r="QAH54" s="545"/>
      <c r="QAI54" s="545"/>
      <c r="QAJ54" s="545"/>
      <c r="QAK54" s="545"/>
      <c r="QAL54" s="544"/>
      <c r="QAM54" s="545"/>
      <c r="QAN54" s="545"/>
      <c r="QAO54" s="545"/>
      <c r="QAP54" s="545"/>
      <c r="QAQ54" s="545"/>
      <c r="QAR54" s="545"/>
      <c r="QAS54" s="544"/>
      <c r="QAT54" s="545"/>
      <c r="QAU54" s="545"/>
      <c r="QAV54" s="545"/>
      <c r="QAW54" s="545"/>
      <c r="QAX54" s="545"/>
      <c r="QAY54" s="545"/>
      <c r="QAZ54" s="544"/>
      <c r="QBA54" s="545"/>
      <c r="QBB54" s="545"/>
      <c r="QBC54" s="545"/>
      <c r="QBD54" s="545"/>
      <c r="QBE54" s="545"/>
      <c r="QBF54" s="545"/>
      <c r="QBG54" s="544"/>
      <c r="QBH54" s="545"/>
      <c r="QBI54" s="545"/>
      <c r="QBJ54" s="545"/>
      <c r="QBK54" s="545"/>
      <c r="QBL54" s="545"/>
      <c r="QBM54" s="545"/>
      <c r="QBN54" s="544"/>
      <c r="QBO54" s="545"/>
      <c r="QBP54" s="545"/>
      <c r="QBQ54" s="545"/>
      <c r="QBR54" s="545"/>
      <c r="QBS54" s="545"/>
      <c r="QBT54" s="545"/>
      <c r="QBU54" s="544"/>
      <c r="QBV54" s="545"/>
      <c r="QBW54" s="545"/>
      <c r="QBX54" s="545"/>
      <c r="QBY54" s="545"/>
      <c r="QBZ54" s="545"/>
      <c r="QCA54" s="545"/>
      <c r="QCB54" s="544"/>
      <c r="QCC54" s="545"/>
      <c r="QCD54" s="545"/>
      <c r="QCE54" s="545"/>
      <c r="QCF54" s="545"/>
      <c r="QCG54" s="545"/>
      <c r="QCH54" s="545"/>
      <c r="QCI54" s="544"/>
      <c r="QCJ54" s="545"/>
      <c r="QCK54" s="545"/>
      <c r="QCL54" s="545"/>
      <c r="QCM54" s="545"/>
      <c r="QCN54" s="545"/>
      <c r="QCO54" s="545"/>
      <c r="QCP54" s="544"/>
      <c r="QCQ54" s="545"/>
      <c r="QCR54" s="545"/>
      <c r="QCS54" s="545"/>
      <c r="QCT54" s="545"/>
      <c r="QCU54" s="545"/>
      <c r="QCV54" s="545"/>
      <c r="QCW54" s="544"/>
      <c r="QCX54" s="545"/>
      <c r="QCY54" s="545"/>
      <c r="QCZ54" s="545"/>
      <c r="QDA54" s="545"/>
      <c r="QDB54" s="545"/>
      <c r="QDC54" s="545"/>
      <c r="QDD54" s="544"/>
      <c r="QDE54" s="545"/>
      <c r="QDF54" s="545"/>
      <c r="QDG54" s="545"/>
      <c r="QDH54" s="545"/>
      <c r="QDI54" s="545"/>
      <c r="QDJ54" s="545"/>
      <c r="QDK54" s="544"/>
      <c r="QDL54" s="545"/>
      <c r="QDM54" s="545"/>
      <c r="QDN54" s="545"/>
      <c r="QDO54" s="545"/>
      <c r="QDP54" s="545"/>
      <c r="QDQ54" s="545"/>
      <c r="QDR54" s="544"/>
      <c r="QDS54" s="545"/>
      <c r="QDT54" s="545"/>
      <c r="QDU54" s="545"/>
      <c r="QDV54" s="545"/>
      <c r="QDW54" s="545"/>
      <c r="QDX54" s="545"/>
      <c r="QDY54" s="544"/>
      <c r="QDZ54" s="545"/>
      <c r="QEA54" s="545"/>
      <c r="QEB54" s="545"/>
      <c r="QEC54" s="545"/>
      <c r="QED54" s="545"/>
      <c r="QEE54" s="545"/>
      <c r="QEF54" s="544"/>
      <c r="QEG54" s="545"/>
      <c r="QEH54" s="545"/>
      <c r="QEI54" s="545"/>
      <c r="QEJ54" s="545"/>
      <c r="QEK54" s="545"/>
      <c r="QEL54" s="545"/>
      <c r="QEM54" s="544"/>
      <c r="QEN54" s="545"/>
      <c r="QEO54" s="545"/>
      <c r="QEP54" s="545"/>
      <c r="QEQ54" s="545"/>
      <c r="QER54" s="545"/>
      <c r="QES54" s="545"/>
      <c r="QET54" s="544"/>
      <c r="QEU54" s="545"/>
      <c r="QEV54" s="545"/>
      <c r="QEW54" s="545"/>
      <c r="QEX54" s="545"/>
      <c r="QEY54" s="545"/>
      <c r="QEZ54" s="545"/>
      <c r="QFA54" s="544"/>
      <c r="QFB54" s="545"/>
      <c r="QFC54" s="545"/>
      <c r="QFD54" s="545"/>
      <c r="QFE54" s="545"/>
      <c r="QFF54" s="545"/>
      <c r="QFG54" s="545"/>
      <c r="QFH54" s="544"/>
      <c r="QFI54" s="545"/>
      <c r="QFJ54" s="545"/>
      <c r="QFK54" s="545"/>
      <c r="QFL54" s="545"/>
      <c r="QFM54" s="545"/>
      <c r="QFN54" s="545"/>
      <c r="QFO54" s="544"/>
      <c r="QFP54" s="545"/>
      <c r="QFQ54" s="545"/>
      <c r="QFR54" s="545"/>
      <c r="QFS54" s="545"/>
      <c r="QFT54" s="545"/>
      <c r="QFU54" s="545"/>
      <c r="QFV54" s="544"/>
      <c r="QFW54" s="545"/>
      <c r="QFX54" s="545"/>
      <c r="QFY54" s="545"/>
      <c r="QFZ54" s="545"/>
      <c r="QGA54" s="545"/>
      <c r="QGB54" s="545"/>
      <c r="QGC54" s="544"/>
      <c r="QGD54" s="545"/>
      <c r="QGE54" s="545"/>
      <c r="QGF54" s="545"/>
      <c r="QGG54" s="545"/>
      <c r="QGH54" s="545"/>
      <c r="QGI54" s="545"/>
      <c r="QGJ54" s="544"/>
      <c r="QGK54" s="545"/>
      <c r="QGL54" s="545"/>
      <c r="QGM54" s="545"/>
      <c r="QGN54" s="545"/>
      <c r="QGO54" s="545"/>
      <c r="QGP54" s="545"/>
      <c r="QGQ54" s="544"/>
      <c r="QGR54" s="545"/>
      <c r="QGS54" s="545"/>
      <c r="QGT54" s="545"/>
      <c r="QGU54" s="545"/>
      <c r="QGV54" s="545"/>
      <c r="QGW54" s="545"/>
      <c r="QGX54" s="544"/>
      <c r="QGY54" s="545"/>
      <c r="QGZ54" s="545"/>
      <c r="QHA54" s="545"/>
      <c r="QHB54" s="545"/>
      <c r="QHC54" s="545"/>
      <c r="QHD54" s="545"/>
      <c r="QHE54" s="544"/>
      <c r="QHF54" s="545"/>
      <c r="QHG54" s="545"/>
      <c r="QHH54" s="545"/>
      <c r="QHI54" s="545"/>
      <c r="QHJ54" s="545"/>
      <c r="QHK54" s="545"/>
      <c r="QHL54" s="544"/>
      <c r="QHM54" s="545"/>
      <c r="QHN54" s="545"/>
      <c r="QHO54" s="545"/>
      <c r="QHP54" s="545"/>
      <c r="QHQ54" s="545"/>
      <c r="QHR54" s="545"/>
      <c r="QHS54" s="544"/>
      <c r="QHT54" s="545"/>
      <c r="QHU54" s="545"/>
      <c r="QHV54" s="545"/>
      <c r="QHW54" s="545"/>
      <c r="QHX54" s="545"/>
      <c r="QHY54" s="545"/>
      <c r="QHZ54" s="544"/>
      <c r="QIA54" s="545"/>
      <c r="QIB54" s="545"/>
      <c r="QIC54" s="545"/>
      <c r="QID54" s="545"/>
      <c r="QIE54" s="545"/>
      <c r="QIF54" s="545"/>
      <c r="QIG54" s="544"/>
      <c r="QIH54" s="545"/>
      <c r="QII54" s="545"/>
      <c r="QIJ54" s="545"/>
      <c r="QIK54" s="545"/>
      <c r="QIL54" s="545"/>
      <c r="QIM54" s="545"/>
      <c r="QIN54" s="544"/>
      <c r="QIO54" s="545"/>
      <c r="QIP54" s="545"/>
      <c r="QIQ54" s="545"/>
      <c r="QIR54" s="545"/>
      <c r="QIS54" s="545"/>
      <c r="QIT54" s="545"/>
      <c r="QIU54" s="544"/>
      <c r="QIV54" s="545"/>
      <c r="QIW54" s="545"/>
      <c r="QIX54" s="545"/>
      <c r="QIY54" s="545"/>
      <c r="QIZ54" s="545"/>
      <c r="QJA54" s="545"/>
      <c r="QJB54" s="544"/>
      <c r="QJC54" s="545"/>
      <c r="QJD54" s="545"/>
      <c r="QJE54" s="545"/>
      <c r="QJF54" s="545"/>
      <c r="QJG54" s="545"/>
      <c r="QJH54" s="545"/>
      <c r="QJI54" s="544"/>
      <c r="QJJ54" s="545"/>
      <c r="QJK54" s="545"/>
      <c r="QJL54" s="545"/>
      <c r="QJM54" s="545"/>
      <c r="QJN54" s="545"/>
      <c r="QJO54" s="545"/>
      <c r="QJP54" s="544"/>
      <c r="QJQ54" s="545"/>
      <c r="QJR54" s="545"/>
      <c r="QJS54" s="545"/>
      <c r="QJT54" s="545"/>
      <c r="QJU54" s="545"/>
      <c r="QJV54" s="545"/>
      <c r="QJW54" s="544"/>
      <c r="QJX54" s="545"/>
      <c r="QJY54" s="545"/>
      <c r="QJZ54" s="545"/>
      <c r="QKA54" s="545"/>
      <c r="QKB54" s="545"/>
      <c r="QKC54" s="545"/>
      <c r="QKD54" s="544"/>
      <c r="QKE54" s="545"/>
      <c r="QKF54" s="545"/>
      <c r="QKG54" s="545"/>
      <c r="QKH54" s="545"/>
      <c r="QKI54" s="545"/>
      <c r="QKJ54" s="545"/>
      <c r="QKK54" s="544"/>
      <c r="QKL54" s="545"/>
      <c r="QKM54" s="545"/>
      <c r="QKN54" s="545"/>
      <c r="QKO54" s="545"/>
      <c r="QKP54" s="545"/>
      <c r="QKQ54" s="545"/>
      <c r="QKR54" s="544"/>
      <c r="QKS54" s="545"/>
      <c r="QKT54" s="545"/>
      <c r="QKU54" s="545"/>
      <c r="QKV54" s="545"/>
      <c r="QKW54" s="545"/>
      <c r="QKX54" s="545"/>
      <c r="QKY54" s="544"/>
      <c r="QKZ54" s="545"/>
      <c r="QLA54" s="545"/>
      <c r="QLB54" s="545"/>
      <c r="QLC54" s="545"/>
      <c r="QLD54" s="545"/>
      <c r="QLE54" s="545"/>
      <c r="QLF54" s="544"/>
      <c r="QLG54" s="545"/>
      <c r="QLH54" s="545"/>
      <c r="QLI54" s="545"/>
      <c r="QLJ54" s="545"/>
      <c r="QLK54" s="545"/>
      <c r="QLL54" s="545"/>
      <c r="QLM54" s="544"/>
      <c r="QLN54" s="545"/>
      <c r="QLO54" s="545"/>
      <c r="QLP54" s="545"/>
      <c r="QLQ54" s="545"/>
      <c r="QLR54" s="545"/>
      <c r="QLS54" s="545"/>
      <c r="QLT54" s="544"/>
      <c r="QLU54" s="545"/>
      <c r="QLV54" s="545"/>
      <c r="QLW54" s="545"/>
      <c r="QLX54" s="545"/>
      <c r="QLY54" s="545"/>
      <c r="QLZ54" s="545"/>
      <c r="QMA54" s="544"/>
      <c r="QMB54" s="545"/>
      <c r="QMC54" s="545"/>
      <c r="QMD54" s="545"/>
      <c r="QME54" s="545"/>
      <c r="QMF54" s="545"/>
      <c r="QMG54" s="545"/>
      <c r="QMH54" s="544"/>
      <c r="QMI54" s="545"/>
      <c r="QMJ54" s="545"/>
      <c r="QMK54" s="545"/>
      <c r="QML54" s="545"/>
      <c r="QMM54" s="545"/>
      <c r="QMN54" s="545"/>
      <c r="QMO54" s="544"/>
      <c r="QMP54" s="545"/>
      <c r="QMQ54" s="545"/>
      <c r="QMR54" s="545"/>
      <c r="QMS54" s="545"/>
      <c r="QMT54" s="545"/>
      <c r="QMU54" s="545"/>
      <c r="QMV54" s="544"/>
      <c r="QMW54" s="545"/>
      <c r="QMX54" s="545"/>
      <c r="QMY54" s="545"/>
      <c r="QMZ54" s="545"/>
      <c r="QNA54" s="545"/>
      <c r="QNB54" s="545"/>
      <c r="QNC54" s="544"/>
      <c r="QND54" s="545"/>
      <c r="QNE54" s="545"/>
      <c r="QNF54" s="545"/>
      <c r="QNG54" s="545"/>
      <c r="QNH54" s="545"/>
      <c r="QNI54" s="545"/>
      <c r="QNJ54" s="544"/>
      <c r="QNK54" s="545"/>
      <c r="QNL54" s="545"/>
      <c r="QNM54" s="545"/>
      <c r="QNN54" s="545"/>
      <c r="QNO54" s="545"/>
      <c r="QNP54" s="545"/>
      <c r="QNQ54" s="544"/>
      <c r="QNR54" s="545"/>
      <c r="QNS54" s="545"/>
      <c r="QNT54" s="545"/>
      <c r="QNU54" s="545"/>
      <c r="QNV54" s="545"/>
      <c r="QNW54" s="545"/>
      <c r="QNX54" s="544"/>
      <c r="QNY54" s="545"/>
      <c r="QNZ54" s="545"/>
      <c r="QOA54" s="545"/>
      <c r="QOB54" s="545"/>
      <c r="QOC54" s="545"/>
      <c r="QOD54" s="545"/>
      <c r="QOE54" s="544"/>
      <c r="QOF54" s="545"/>
      <c r="QOG54" s="545"/>
      <c r="QOH54" s="545"/>
      <c r="QOI54" s="545"/>
      <c r="QOJ54" s="545"/>
      <c r="QOK54" s="545"/>
      <c r="QOL54" s="544"/>
      <c r="QOM54" s="545"/>
      <c r="QON54" s="545"/>
      <c r="QOO54" s="545"/>
      <c r="QOP54" s="545"/>
      <c r="QOQ54" s="545"/>
      <c r="QOR54" s="545"/>
      <c r="QOS54" s="544"/>
      <c r="QOT54" s="545"/>
      <c r="QOU54" s="545"/>
      <c r="QOV54" s="545"/>
      <c r="QOW54" s="545"/>
      <c r="QOX54" s="545"/>
      <c r="QOY54" s="545"/>
      <c r="QOZ54" s="544"/>
      <c r="QPA54" s="545"/>
      <c r="QPB54" s="545"/>
      <c r="QPC54" s="545"/>
      <c r="QPD54" s="545"/>
      <c r="QPE54" s="545"/>
      <c r="QPF54" s="545"/>
      <c r="QPG54" s="544"/>
      <c r="QPH54" s="545"/>
      <c r="QPI54" s="545"/>
      <c r="QPJ54" s="545"/>
      <c r="QPK54" s="545"/>
      <c r="QPL54" s="545"/>
      <c r="QPM54" s="545"/>
      <c r="QPN54" s="544"/>
      <c r="QPO54" s="545"/>
      <c r="QPP54" s="545"/>
      <c r="QPQ54" s="545"/>
      <c r="QPR54" s="545"/>
      <c r="QPS54" s="545"/>
      <c r="QPT54" s="545"/>
      <c r="QPU54" s="544"/>
      <c r="QPV54" s="545"/>
      <c r="QPW54" s="545"/>
      <c r="QPX54" s="545"/>
      <c r="QPY54" s="545"/>
      <c r="QPZ54" s="545"/>
      <c r="QQA54" s="545"/>
      <c r="QQB54" s="544"/>
      <c r="QQC54" s="545"/>
      <c r="QQD54" s="545"/>
      <c r="QQE54" s="545"/>
      <c r="QQF54" s="545"/>
      <c r="QQG54" s="545"/>
      <c r="QQH54" s="545"/>
      <c r="QQI54" s="544"/>
      <c r="QQJ54" s="545"/>
      <c r="QQK54" s="545"/>
      <c r="QQL54" s="545"/>
      <c r="QQM54" s="545"/>
      <c r="QQN54" s="545"/>
      <c r="QQO54" s="545"/>
      <c r="QQP54" s="544"/>
      <c r="QQQ54" s="545"/>
      <c r="QQR54" s="545"/>
      <c r="QQS54" s="545"/>
      <c r="QQT54" s="545"/>
      <c r="QQU54" s="545"/>
      <c r="QQV54" s="545"/>
      <c r="QQW54" s="544"/>
      <c r="QQX54" s="545"/>
      <c r="QQY54" s="545"/>
      <c r="QQZ54" s="545"/>
      <c r="QRA54" s="545"/>
      <c r="QRB54" s="545"/>
      <c r="QRC54" s="545"/>
      <c r="QRD54" s="544"/>
      <c r="QRE54" s="545"/>
      <c r="QRF54" s="545"/>
      <c r="QRG54" s="545"/>
      <c r="QRH54" s="545"/>
      <c r="QRI54" s="545"/>
      <c r="QRJ54" s="545"/>
      <c r="QRK54" s="544"/>
      <c r="QRL54" s="545"/>
      <c r="QRM54" s="545"/>
      <c r="QRN54" s="545"/>
      <c r="QRO54" s="545"/>
      <c r="QRP54" s="545"/>
      <c r="QRQ54" s="545"/>
      <c r="QRR54" s="544"/>
      <c r="QRS54" s="545"/>
      <c r="QRT54" s="545"/>
      <c r="QRU54" s="545"/>
      <c r="QRV54" s="545"/>
      <c r="QRW54" s="545"/>
      <c r="QRX54" s="545"/>
      <c r="QRY54" s="544"/>
      <c r="QRZ54" s="545"/>
      <c r="QSA54" s="545"/>
      <c r="QSB54" s="545"/>
      <c r="QSC54" s="545"/>
      <c r="QSD54" s="545"/>
      <c r="QSE54" s="545"/>
      <c r="QSF54" s="544"/>
      <c r="QSG54" s="545"/>
      <c r="QSH54" s="545"/>
      <c r="QSI54" s="545"/>
      <c r="QSJ54" s="545"/>
      <c r="QSK54" s="545"/>
      <c r="QSL54" s="545"/>
      <c r="QSM54" s="544"/>
      <c r="QSN54" s="545"/>
      <c r="QSO54" s="545"/>
      <c r="QSP54" s="545"/>
      <c r="QSQ54" s="545"/>
      <c r="QSR54" s="545"/>
      <c r="QSS54" s="545"/>
      <c r="QST54" s="544"/>
      <c r="QSU54" s="545"/>
      <c r="QSV54" s="545"/>
      <c r="QSW54" s="545"/>
      <c r="QSX54" s="545"/>
      <c r="QSY54" s="545"/>
      <c r="QSZ54" s="545"/>
      <c r="QTA54" s="544"/>
      <c r="QTB54" s="545"/>
      <c r="QTC54" s="545"/>
      <c r="QTD54" s="545"/>
      <c r="QTE54" s="545"/>
      <c r="QTF54" s="545"/>
      <c r="QTG54" s="545"/>
      <c r="QTH54" s="544"/>
      <c r="QTI54" s="545"/>
      <c r="QTJ54" s="545"/>
      <c r="QTK54" s="545"/>
      <c r="QTL54" s="545"/>
      <c r="QTM54" s="545"/>
      <c r="QTN54" s="545"/>
      <c r="QTO54" s="544"/>
      <c r="QTP54" s="545"/>
      <c r="QTQ54" s="545"/>
      <c r="QTR54" s="545"/>
      <c r="QTS54" s="545"/>
      <c r="QTT54" s="545"/>
      <c r="QTU54" s="545"/>
      <c r="QTV54" s="544"/>
      <c r="QTW54" s="545"/>
      <c r="QTX54" s="545"/>
      <c r="QTY54" s="545"/>
      <c r="QTZ54" s="545"/>
      <c r="QUA54" s="545"/>
      <c r="QUB54" s="545"/>
      <c r="QUC54" s="544"/>
      <c r="QUD54" s="545"/>
      <c r="QUE54" s="545"/>
      <c r="QUF54" s="545"/>
      <c r="QUG54" s="545"/>
      <c r="QUH54" s="545"/>
      <c r="QUI54" s="545"/>
      <c r="QUJ54" s="544"/>
      <c r="QUK54" s="545"/>
      <c r="QUL54" s="545"/>
      <c r="QUM54" s="545"/>
      <c r="QUN54" s="545"/>
      <c r="QUO54" s="545"/>
      <c r="QUP54" s="545"/>
      <c r="QUQ54" s="544"/>
      <c r="QUR54" s="545"/>
      <c r="QUS54" s="545"/>
      <c r="QUT54" s="545"/>
      <c r="QUU54" s="545"/>
      <c r="QUV54" s="545"/>
      <c r="QUW54" s="545"/>
      <c r="QUX54" s="544"/>
      <c r="QUY54" s="545"/>
      <c r="QUZ54" s="545"/>
      <c r="QVA54" s="545"/>
      <c r="QVB54" s="545"/>
      <c r="QVC54" s="545"/>
      <c r="QVD54" s="545"/>
      <c r="QVE54" s="544"/>
      <c r="QVF54" s="545"/>
      <c r="QVG54" s="545"/>
      <c r="QVH54" s="545"/>
      <c r="QVI54" s="545"/>
      <c r="QVJ54" s="545"/>
      <c r="QVK54" s="545"/>
      <c r="QVL54" s="544"/>
      <c r="QVM54" s="545"/>
      <c r="QVN54" s="545"/>
      <c r="QVO54" s="545"/>
      <c r="QVP54" s="545"/>
      <c r="QVQ54" s="545"/>
      <c r="QVR54" s="545"/>
      <c r="QVS54" s="544"/>
      <c r="QVT54" s="545"/>
      <c r="QVU54" s="545"/>
      <c r="QVV54" s="545"/>
      <c r="QVW54" s="545"/>
      <c r="QVX54" s="545"/>
      <c r="QVY54" s="545"/>
      <c r="QVZ54" s="544"/>
      <c r="QWA54" s="545"/>
      <c r="QWB54" s="545"/>
      <c r="QWC54" s="545"/>
      <c r="QWD54" s="545"/>
      <c r="QWE54" s="545"/>
      <c r="QWF54" s="545"/>
      <c r="QWG54" s="544"/>
      <c r="QWH54" s="545"/>
      <c r="QWI54" s="545"/>
      <c r="QWJ54" s="545"/>
      <c r="QWK54" s="545"/>
      <c r="QWL54" s="545"/>
      <c r="QWM54" s="545"/>
      <c r="QWN54" s="544"/>
      <c r="QWO54" s="545"/>
      <c r="QWP54" s="545"/>
      <c r="QWQ54" s="545"/>
      <c r="QWR54" s="545"/>
      <c r="QWS54" s="545"/>
      <c r="QWT54" s="545"/>
      <c r="QWU54" s="544"/>
      <c r="QWV54" s="545"/>
      <c r="QWW54" s="545"/>
      <c r="QWX54" s="545"/>
      <c r="QWY54" s="545"/>
      <c r="QWZ54" s="545"/>
      <c r="QXA54" s="545"/>
      <c r="QXB54" s="544"/>
      <c r="QXC54" s="545"/>
      <c r="QXD54" s="545"/>
      <c r="QXE54" s="545"/>
      <c r="QXF54" s="545"/>
      <c r="QXG54" s="545"/>
      <c r="QXH54" s="545"/>
      <c r="QXI54" s="544"/>
      <c r="QXJ54" s="545"/>
      <c r="QXK54" s="545"/>
      <c r="QXL54" s="545"/>
      <c r="QXM54" s="545"/>
      <c r="QXN54" s="545"/>
      <c r="QXO54" s="545"/>
      <c r="QXP54" s="544"/>
      <c r="QXQ54" s="545"/>
      <c r="QXR54" s="545"/>
      <c r="QXS54" s="545"/>
      <c r="QXT54" s="545"/>
      <c r="QXU54" s="545"/>
      <c r="QXV54" s="545"/>
      <c r="QXW54" s="544"/>
      <c r="QXX54" s="545"/>
      <c r="QXY54" s="545"/>
      <c r="QXZ54" s="545"/>
      <c r="QYA54" s="545"/>
      <c r="QYB54" s="545"/>
      <c r="QYC54" s="545"/>
      <c r="QYD54" s="544"/>
      <c r="QYE54" s="545"/>
      <c r="QYF54" s="545"/>
      <c r="QYG54" s="545"/>
      <c r="QYH54" s="545"/>
      <c r="QYI54" s="545"/>
      <c r="QYJ54" s="545"/>
      <c r="QYK54" s="544"/>
      <c r="QYL54" s="545"/>
      <c r="QYM54" s="545"/>
      <c r="QYN54" s="545"/>
      <c r="QYO54" s="545"/>
      <c r="QYP54" s="545"/>
      <c r="QYQ54" s="545"/>
      <c r="QYR54" s="544"/>
      <c r="QYS54" s="545"/>
      <c r="QYT54" s="545"/>
      <c r="QYU54" s="545"/>
      <c r="QYV54" s="545"/>
      <c r="QYW54" s="545"/>
      <c r="QYX54" s="545"/>
      <c r="QYY54" s="544"/>
      <c r="QYZ54" s="545"/>
      <c r="QZA54" s="545"/>
      <c r="QZB54" s="545"/>
      <c r="QZC54" s="545"/>
      <c r="QZD54" s="545"/>
      <c r="QZE54" s="545"/>
      <c r="QZF54" s="544"/>
      <c r="QZG54" s="545"/>
      <c r="QZH54" s="545"/>
      <c r="QZI54" s="545"/>
      <c r="QZJ54" s="545"/>
      <c r="QZK54" s="545"/>
      <c r="QZL54" s="545"/>
      <c r="QZM54" s="544"/>
      <c r="QZN54" s="545"/>
      <c r="QZO54" s="545"/>
      <c r="QZP54" s="545"/>
      <c r="QZQ54" s="545"/>
      <c r="QZR54" s="545"/>
      <c r="QZS54" s="545"/>
      <c r="QZT54" s="544"/>
      <c r="QZU54" s="545"/>
      <c r="QZV54" s="545"/>
      <c r="QZW54" s="545"/>
      <c r="QZX54" s="545"/>
      <c r="QZY54" s="545"/>
      <c r="QZZ54" s="545"/>
      <c r="RAA54" s="544"/>
      <c r="RAB54" s="545"/>
      <c r="RAC54" s="545"/>
      <c r="RAD54" s="545"/>
      <c r="RAE54" s="545"/>
      <c r="RAF54" s="545"/>
      <c r="RAG54" s="545"/>
      <c r="RAH54" s="544"/>
      <c r="RAI54" s="545"/>
      <c r="RAJ54" s="545"/>
      <c r="RAK54" s="545"/>
      <c r="RAL54" s="545"/>
      <c r="RAM54" s="545"/>
      <c r="RAN54" s="545"/>
      <c r="RAO54" s="544"/>
      <c r="RAP54" s="545"/>
      <c r="RAQ54" s="545"/>
      <c r="RAR54" s="545"/>
      <c r="RAS54" s="545"/>
      <c r="RAT54" s="545"/>
      <c r="RAU54" s="545"/>
      <c r="RAV54" s="544"/>
      <c r="RAW54" s="545"/>
      <c r="RAX54" s="545"/>
      <c r="RAY54" s="545"/>
      <c r="RAZ54" s="545"/>
      <c r="RBA54" s="545"/>
      <c r="RBB54" s="545"/>
      <c r="RBC54" s="544"/>
      <c r="RBD54" s="545"/>
      <c r="RBE54" s="545"/>
      <c r="RBF54" s="545"/>
      <c r="RBG54" s="545"/>
      <c r="RBH54" s="545"/>
      <c r="RBI54" s="545"/>
      <c r="RBJ54" s="544"/>
      <c r="RBK54" s="545"/>
      <c r="RBL54" s="545"/>
      <c r="RBM54" s="545"/>
      <c r="RBN54" s="545"/>
      <c r="RBO54" s="545"/>
      <c r="RBP54" s="545"/>
      <c r="RBQ54" s="544"/>
      <c r="RBR54" s="545"/>
      <c r="RBS54" s="545"/>
      <c r="RBT54" s="545"/>
      <c r="RBU54" s="545"/>
      <c r="RBV54" s="545"/>
      <c r="RBW54" s="545"/>
      <c r="RBX54" s="544"/>
      <c r="RBY54" s="545"/>
      <c r="RBZ54" s="545"/>
      <c r="RCA54" s="545"/>
      <c r="RCB54" s="545"/>
      <c r="RCC54" s="545"/>
      <c r="RCD54" s="545"/>
      <c r="RCE54" s="544"/>
      <c r="RCF54" s="545"/>
      <c r="RCG54" s="545"/>
      <c r="RCH54" s="545"/>
      <c r="RCI54" s="545"/>
      <c r="RCJ54" s="545"/>
      <c r="RCK54" s="545"/>
      <c r="RCL54" s="544"/>
      <c r="RCM54" s="545"/>
      <c r="RCN54" s="545"/>
      <c r="RCO54" s="545"/>
      <c r="RCP54" s="545"/>
      <c r="RCQ54" s="545"/>
      <c r="RCR54" s="545"/>
      <c r="RCS54" s="544"/>
      <c r="RCT54" s="545"/>
      <c r="RCU54" s="545"/>
      <c r="RCV54" s="545"/>
      <c r="RCW54" s="545"/>
      <c r="RCX54" s="545"/>
      <c r="RCY54" s="545"/>
      <c r="RCZ54" s="544"/>
      <c r="RDA54" s="545"/>
      <c r="RDB54" s="545"/>
      <c r="RDC54" s="545"/>
      <c r="RDD54" s="545"/>
      <c r="RDE54" s="545"/>
      <c r="RDF54" s="545"/>
      <c r="RDG54" s="544"/>
      <c r="RDH54" s="545"/>
      <c r="RDI54" s="545"/>
      <c r="RDJ54" s="545"/>
      <c r="RDK54" s="545"/>
      <c r="RDL54" s="545"/>
      <c r="RDM54" s="545"/>
      <c r="RDN54" s="544"/>
      <c r="RDO54" s="545"/>
      <c r="RDP54" s="545"/>
      <c r="RDQ54" s="545"/>
      <c r="RDR54" s="545"/>
      <c r="RDS54" s="545"/>
      <c r="RDT54" s="545"/>
      <c r="RDU54" s="544"/>
      <c r="RDV54" s="545"/>
      <c r="RDW54" s="545"/>
      <c r="RDX54" s="545"/>
      <c r="RDY54" s="545"/>
      <c r="RDZ54" s="545"/>
      <c r="REA54" s="545"/>
      <c r="REB54" s="544"/>
      <c r="REC54" s="545"/>
      <c r="RED54" s="545"/>
      <c r="REE54" s="545"/>
      <c r="REF54" s="545"/>
      <c r="REG54" s="545"/>
      <c r="REH54" s="545"/>
      <c r="REI54" s="544"/>
      <c r="REJ54" s="545"/>
      <c r="REK54" s="545"/>
      <c r="REL54" s="545"/>
      <c r="REM54" s="545"/>
      <c r="REN54" s="545"/>
      <c r="REO54" s="545"/>
      <c r="REP54" s="544"/>
      <c r="REQ54" s="545"/>
      <c r="RER54" s="545"/>
      <c r="RES54" s="545"/>
      <c r="RET54" s="545"/>
      <c r="REU54" s="545"/>
      <c r="REV54" s="545"/>
      <c r="REW54" s="544"/>
      <c r="REX54" s="545"/>
      <c r="REY54" s="545"/>
      <c r="REZ54" s="545"/>
      <c r="RFA54" s="545"/>
      <c r="RFB54" s="545"/>
      <c r="RFC54" s="545"/>
      <c r="RFD54" s="544"/>
      <c r="RFE54" s="545"/>
      <c r="RFF54" s="545"/>
      <c r="RFG54" s="545"/>
      <c r="RFH54" s="545"/>
      <c r="RFI54" s="545"/>
      <c r="RFJ54" s="545"/>
      <c r="RFK54" s="544"/>
      <c r="RFL54" s="545"/>
      <c r="RFM54" s="545"/>
      <c r="RFN54" s="545"/>
      <c r="RFO54" s="545"/>
      <c r="RFP54" s="545"/>
      <c r="RFQ54" s="545"/>
      <c r="RFR54" s="544"/>
      <c r="RFS54" s="545"/>
      <c r="RFT54" s="545"/>
      <c r="RFU54" s="545"/>
      <c r="RFV54" s="545"/>
      <c r="RFW54" s="545"/>
      <c r="RFX54" s="545"/>
      <c r="RFY54" s="544"/>
      <c r="RFZ54" s="545"/>
      <c r="RGA54" s="545"/>
      <c r="RGB54" s="545"/>
      <c r="RGC54" s="545"/>
      <c r="RGD54" s="545"/>
      <c r="RGE54" s="545"/>
      <c r="RGF54" s="544"/>
      <c r="RGG54" s="545"/>
      <c r="RGH54" s="545"/>
      <c r="RGI54" s="545"/>
      <c r="RGJ54" s="545"/>
      <c r="RGK54" s="545"/>
      <c r="RGL54" s="545"/>
      <c r="RGM54" s="544"/>
      <c r="RGN54" s="545"/>
      <c r="RGO54" s="545"/>
      <c r="RGP54" s="545"/>
      <c r="RGQ54" s="545"/>
      <c r="RGR54" s="545"/>
      <c r="RGS54" s="545"/>
      <c r="RGT54" s="544"/>
      <c r="RGU54" s="545"/>
      <c r="RGV54" s="545"/>
      <c r="RGW54" s="545"/>
      <c r="RGX54" s="545"/>
      <c r="RGY54" s="545"/>
      <c r="RGZ54" s="545"/>
      <c r="RHA54" s="544"/>
      <c r="RHB54" s="545"/>
      <c r="RHC54" s="545"/>
      <c r="RHD54" s="545"/>
      <c r="RHE54" s="545"/>
      <c r="RHF54" s="545"/>
      <c r="RHG54" s="545"/>
      <c r="RHH54" s="544"/>
      <c r="RHI54" s="545"/>
      <c r="RHJ54" s="545"/>
      <c r="RHK54" s="545"/>
      <c r="RHL54" s="545"/>
      <c r="RHM54" s="545"/>
      <c r="RHN54" s="545"/>
      <c r="RHO54" s="544"/>
      <c r="RHP54" s="545"/>
      <c r="RHQ54" s="545"/>
      <c r="RHR54" s="545"/>
      <c r="RHS54" s="545"/>
      <c r="RHT54" s="545"/>
      <c r="RHU54" s="545"/>
      <c r="RHV54" s="544"/>
      <c r="RHW54" s="545"/>
      <c r="RHX54" s="545"/>
      <c r="RHY54" s="545"/>
      <c r="RHZ54" s="545"/>
      <c r="RIA54" s="545"/>
      <c r="RIB54" s="545"/>
      <c r="RIC54" s="544"/>
      <c r="RID54" s="545"/>
      <c r="RIE54" s="545"/>
      <c r="RIF54" s="545"/>
      <c r="RIG54" s="545"/>
      <c r="RIH54" s="545"/>
      <c r="RII54" s="545"/>
      <c r="RIJ54" s="544"/>
      <c r="RIK54" s="545"/>
      <c r="RIL54" s="545"/>
      <c r="RIM54" s="545"/>
      <c r="RIN54" s="545"/>
      <c r="RIO54" s="545"/>
      <c r="RIP54" s="545"/>
      <c r="RIQ54" s="544"/>
      <c r="RIR54" s="545"/>
      <c r="RIS54" s="545"/>
      <c r="RIT54" s="545"/>
      <c r="RIU54" s="545"/>
      <c r="RIV54" s="545"/>
      <c r="RIW54" s="545"/>
      <c r="RIX54" s="544"/>
      <c r="RIY54" s="545"/>
      <c r="RIZ54" s="545"/>
      <c r="RJA54" s="545"/>
      <c r="RJB54" s="545"/>
      <c r="RJC54" s="545"/>
      <c r="RJD54" s="545"/>
      <c r="RJE54" s="544"/>
      <c r="RJF54" s="545"/>
      <c r="RJG54" s="545"/>
      <c r="RJH54" s="545"/>
      <c r="RJI54" s="545"/>
      <c r="RJJ54" s="545"/>
      <c r="RJK54" s="545"/>
      <c r="RJL54" s="544"/>
      <c r="RJM54" s="545"/>
      <c r="RJN54" s="545"/>
      <c r="RJO54" s="545"/>
      <c r="RJP54" s="545"/>
      <c r="RJQ54" s="545"/>
      <c r="RJR54" s="545"/>
      <c r="RJS54" s="544"/>
      <c r="RJT54" s="545"/>
      <c r="RJU54" s="545"/>
      <c r="RJV54" s="545"/>
      <c r="RJW54" s="545"/>
      <c r="RJX54" s="545"/>
      <c r="RJY54" s="545"/>
      <c r="RJZ54" s="544"/>
      <c r="RKA54" s="545"/>
      <c r="RKB54" s="545"/>
      <c r="RKC54" s="545"/>
      <c r="RKD54" s="545"/>
      <c r="RKE54" s="545"/>
      <c r="RKF54" s="545"/>
      <c r="RKG54" s="544"/>
      <c r="RKH54" s="545"/>
      <c r="RKI54" s="545"/>
      <c r="RKJ54" s="545"/>
      <c r="RKK54" s="545"/>
      <c r="RKL54" s="545"/>
      <c r="RKM54" s="545"/>
      <c r="RKN54" s="544"/>
      <c r="RKO54" s="545"/>
      <c r="RKP54" s="545"/>
      <c r="RKQ54" s="545"/>
      <c r="RKR54" s="545"/>
      <c r="RKS54" s="545"/>
      <c r="RKT54" s="545"/>
      <c r="RKU54" s="544"/>
      <c r="RKV54" s="545"/>
      <c r="RKW54" s="545"/>
      <c r="RKX54" s="545"/>
      <c r="RKY54" s="545"/>
      <c r="RKZ54" s="545"/>
      <c r="RLA54" s="545"/>
      <c r="RLB54" s="544"/>
      <c r="RLC54" s="545"/>
      <c r="RLD54" s="545"/>
      <c r="RLE54" s="545"/>
      <c r="RLF54" s="545"/>
      <c r="RLG54" s="545"/>
      <c r="RLH54" s="545"/>
      <c r="RLI54" s="544"/>
      <c r="RLJ54" s="545"/>
      <c r="RLK54" s="545"/>
      <c r="RLL54" s="545"/>
      <c r="RLM54" s="545"/>
      <c r="RLN54" s="545"/>
      <c r="RLO54" s="545"/>
      <c r="RLP54" s="544"/>
      <c r="RLQ54" s="545"/>
      <c r="RLR54" s="545"/>
      <c r="RLS54" s="545"/>
      <c r="RLT54" s="545"/>
      <c r="RLU54" s="545"/>
      <c r="RLV54" s="545"/>
      <c r="RLW54" s="544"/>
      <c r="RLX54" s="545"/>
      <c r="RLY54" s="545"/>
      <c r="RLZ54" s="545"/>
      <c r="RMA54" s="545"/>
      <c r="RMB54" s="545"/>
      <c r="RMC54" s="545"/>
      <c r="RMD54" s="544"/>
      <c r="RME54" s="545"/>
      <c r="RMF54" s="545"/>
      <c r="RMG54" s="545"/>
      <c r="RMH54" s="545"/>
      <c r="RMI54" s="545"/>
      <c r="RMJ54" s="545"/>
      <c r="RMK54" s="544"/>
      <c r="RML54" s="545"/>
      <c r="RMM54" s="545"/>
      <c r="RMN54" s="545"/>
      <c r="RMO54" s="545"/>
      <c r="RMP54" s="545"/>
      <c r="RMQ54" s="545"/>
      <c r="RMR54" s="544"/>
      <c r="RMS54" s="545"/>
      <c r="RMT54" s="545"/>
      <c r="RMU54" s="545"/>
      <c r="RMV54" s="545"/>
      <c r="RMW54" s="545"/>
      <c r="RMX54" s="545"/>
      <c r="RMY54" s="544"/>
      <c r="RMZ54" s="545"/>
      <c r="RNA54" s="545"/>
      <c r="RNB54" s="545"/>
      <c r="RNC54" s="545"/>
      <c r="RND54" s="545"/>
      <c r="RNE54" s="545"/>
      <c r="RNF54" s="544"/>
      <c r="RNG54" s="545"/>
      <c r="RNH54" s="545"/>
      <c r="RNI54" s="545"/>
      <c r="RNJ54" s="545"/>
      <c r="RNK54" s="545"/>
      <c r="RNL54" s="545"/>
      <c r="RNM54" s="544"/>
      <c r="RNN54" s="545"/>
      <c r="RNO54" s="545"/>
      <c r="RNP54" s="545"/>
      <c r="RNQ54" s="545"/>
      <c r="RNR54" s="545"/>
      <c r="RNS54" s="545"/>
      <c r="RNT54" s="544"/>
      <c r="RNU54" s="545"/>
      <c r="RNV54" s="545"/>
      <c r="RNW54" s="545"/>
      <c r="RNX54" s="545"/>
      <c r="RNY54" s="545"/>
      <c r="RNZ54" s="545"/>
      <c r="ROA54" s="544"/>
      <c r="ROB54" s="545"/>
      <c r="ROC54" s="545"/>
      <c r="ROD54" s="545"/>
      <c r="ROE54" s="545"/>
      <c r="ROF54" s="545"/>
      <c r="ROG54" s="545"/>
      <c r="ROH54" s="544"/>
      <c r="ROI54" s="545"/>
      <c r="ROJ54" s="545"/>
      <c r="ROK54" s="545"/>
      <c r="ROL54" s="545"/>
      <c r="ROM54" s="545"/>
      <c r="RON54" s="545"/>
      <c r="ROO54" s="544"/>
      <c r="ROP54" s="545"/>
      <c r="ROQ54" s="545"/>
      <c r="ROR54" s="545"/>
      <c r="ROS54" s="545"/>
      <c r="ROT54" s="545"/>
      <c r="ROU54" s="545"/>
      <c r="ROV54" s="544"/>
      <c r="ROW54" s="545"/>
      <c r="ROX54" s="545"/>
      <c r="ROY54" s="545"/>
      <c r="ROZ54" s="545"/>
      <c r="RPA54" s="545"/>
      <c r="RPB54" s="545"/>
      <c r="RPC54" s="544"/>
      <c r="RPD54" s="545"/>
      <c r="RPE54" s="545"/>
      <c r="RPF54" s="545"/>
      <c r="RPG54" s="545"/>
      <c r="RPH54" s="545"/>
      <c r="RPI54" s="545"/>
      <c r="RPJ54" s="544"/>
      <c r="RPK54" s="545"/>
      <c r="RPL54" s="545"/>
      <c r="RPM54" s="545"/>
      <c r="RPN54" s="545"/>
      <c r="RPO54" s="545"/>
      <c r="RPP54" s="545"/>
      <c r="RPQ54" s="544"/>
      <c r="RPR54" s="545"/>
      <c r="RPS54" s="545"/>
      <c r="RPT54" s="545"/>
      <c r="RPU54" s="545"/>
      <c r="RPV54" s="545"/>
      <c r="RPW54" s="545"/>
      <c r="RPX54" s="544"/>
      <c r="RPY54" s="545"/>
      <c r="RPZ54" s="545"/>
      <c r="RQA54" s="545"/>
      <c r="RQB54" s="545"/>
      <c r="RQC54" s="545"/>
      <c r="RQD54" s="545"/>
      <c r="RQE54" s="544"/>
      <c r="RQF54" s="545"/>
      <c r="RQG54" s="545"/>
      <c r="RQH54" s="545"/>
      <c r="RQI54" s="545"/>
      <c r="RQJ54" s="545"/>
      <c r="RQK54" s="545"/>
      <c r="RQL54" s="544"/>
      <c r="RQM54" s="545"/>
      <c r="RQN54" s="545"/>
      <c r="RQO54" s="545"/>
      <c r="RQP54" s="545"/>
      <c r="RQQ54" s="545"/>
      <c r="RQR54" s="545"/>
      <c r="RQS54" s="544"/>
      <c r="RQT54" s="545"/>
      <c r="RQU54" s="545"/>
      <c r="RQV54" s="545"/>
      <c r="RQW54" s="545"/>
      <c r="RQX54" s="545"/>
      <c r="RQY54" s="545"/>
      <c r="RQZ54" s="544"/>
      <c r="RRA54" s="545"/>
      <c r="RRB54" s="545"/>
      <c r="RRC54" s="545"/>
      <c r="RRD54" s="545"/>
      <c r="RRE54" s="545"/>
      <c r="RRF54" s="545"/>
      <c r="RRG54" s="544"/>
      <c r="RRH54" s="545"/>
      <c r="RRI54" s="545"/>
      <c r="RRJ54" s="545"/>
      <c r="RRK54" s="545"/>
      <c r="RRL54" s="545"/>
      <c r="RRM54" s="545"/>
      <c r="RRN54" s="544"/>
      <c r="RRO54" s="545"/>
      <c r="RRP54" s="545"/>
      <c r="RRQ54" s="545"/>
      <c r="RRR54" s="545"/>
      <c r="RRS54" s="545"/>
      <c r="RRT54" s="545"/>
      <c r="RRU54" s="544"/>
      <c r="RRV54" s="545"/>
      <c r="RRW54" s="545"/>
      <c r="RRX54" s="545"/>
      <c r="RRY54" s="545"/>
      <c r="RRZ54" s="545"/>
      <c r="RSA54" s="545"/>
      <c r="RSB54" s="544"/>
      <c r="RSC54" s="545"/>
      <c r="RSD54" s="545"/>
      <c r="RSE54" s="545"/>
      <c r="RSF54" s="545"/>
      <c r="RSG54" s="545"/>
      <c r="RSH54" s="545"/>
      <c r="RSI54" s="544"/>
      <c r="RSJ54" s="545"/>
      <c r="RSK54" s="545"/>
      <c r="RSL54" s="545"/>
      <c r="RSM54" s="545"/>
      <c r="RSN54" s="545"/>
      <c r="RSO54" s="545"/>
      <c r="RSP54" s="544"/>
      <c r="RSQ54" s="545"/>
      <c r="RSR54" s="545"/>
      <c r="RSS54" s="545"/>
      <c r="RST54" s="545"/>
      <c r="RSU54" s="545"/>
      <c r="RSV54" s="545"/>
      <c r="RSW54" s="544"/>
      <c r="RSX54" s="545"/>
      <c r="RSY54" s="545"/>
      <c r="RSZ54" s="545"/>
      <c r="RTA54" s="545"/>
      <c r="RTB54" s="545"/>
      <c r="RTC54" s="545"/>
      <c r="RTD54" s="544"/>
      <c r="RTE54" s="545"/>
      <c r="RTF54" s="545"/>
      <c r="RTG54" s="545"/>
      <c r="RTH54" s="545"/>
      <c r="RTI54" s="545"/>
      <c r="RTJ54" s="545"/>
      <c r="RTK54" s="544"/>
      <c r="RTL54" s="545"/>
      <c r="RTM54" s="545"/>
      <c r="RTN54" s="545"/>
      <c r="RTO54" s="545"/>
      <c r="RTP54" s="545"/>
      <c r="RTQ54" s="545"/>
      <c r="RTR54" s="544"/>
      <c r="RTS54" s="545"/>
      <c r="RTT54" s="545"/>
      <c r="RTU54" s="545"/>
      <c r="RTV54" s="545"/>
      <c r="RTW54" s="545"/>
      <c r="RTX54" s="545"/>
      <c r="RTY54" s="544"/>
      <c r="RTZ54" s="545"/>
      <c r="RUA54" s="545"/>
      <c r="RUB54" s="545"/>
      <c r="RUC54" s="545"/>
      <c r="RUD54" s="545"/>
      <c r="RUE54" s="545"/>
      <c r="RUF54" s="544"/>
      <c r="RUG54" s="545"/>
      <c r="RUH54" s="545"/>
      <c r="RUI54" s="545"/>
      <c r="RUJ54" s="545"/>
      <c r="RUK54" s="545"/>
      <c r="RUL54" s="545"/>
      <c r="RUM54" s="544"/>
      <c r="RUN54" s="545"/>
      <c r="RUO54" s="545"/>
      <c r="RUP54" s="545"/>
      <c r="RUQ54" s="545"/>
      <c r="RUR54" s="545"/>
      <c r="RUS54" s="545"/>
      <c r="RUT54" s="544"/>
      <c r="RUU54" s="545"/>
      <c r="RUV54" s="545"/>
      <c r="RUW54" s="545"/>
      <c r="RUX54" s="545"/>
      <c r="RUY54" s="545"/>
      <c r="RUZ54" s="545"/>
      <c r="RVA54" s="544"/>
      <c r="RVB54" s="545"/>
      <c r="RVC54" s="545"/>
      <c r="RVD54" s="545"/>
      <c r="RVE54" s="545"/>
      <c r="RVF54" s="545"/>
      <c r="RVG54" s="545"/>
      <c r="RVH54" s="544"/>
      <c r="RVI54" s="545"/>
      <c r="RVJ54" s="545"/>
      <c r="RVK54" s="545"/>
      <c r="RVL54" s="545"/>
      <c r="RVM54" s="545"/>
      <c r="RVN54" s="545"/>
      <c r="RVO54" s="544"/>
      <c r="RVP54" s="545"/>
      <c r="RVQ54" s="545"/>
      <c r="RVR54" s="545"/>
      <c r="RVS54" s="545"/>
      <c r="RVT54" s="545"/>
      <c r="RVU54" s="545"/>
      <c r="RVV54" s="544"/>
      <c r="RVW54" s="545"/>
      <c r="RVX54" s="545"/>
      <c r="RVY54" s="545"/>
      <c r="RVZ54" s="545"/>
      <c r="RWA54" s="545"/>
      <c r="RWB54" s="545"/>
      <c r="RWC54" s="544"/>
      <c r="RWD54" s="545"/>
      <c r="RWE54" s="545"/>
      <c r="RWF54" s="545"/>
      <c r="RWG54" s="545"/>
      <c r="RWH54" s="545"/>
      <c r="RWI54" s="545"/>
      <c r="RWJ54" s="544"/>
      <c r="RWK54" s="545"/>
      <c r="RWL54" s="545"/>
      <c r="RWM54" s="545"/>
      <c r="RWN54" s="545"/>
      <c r="RWO54" s="545"/>
      <c r="RWP54" s="545"/>
      <c r="RWQ54" s="544"/>
      <c r="RWR54" s="545"/>
      <c r="RWS54" s="545"/>
      <c r="RWT54" s="545"/>
      <c r="RWU54" s="545"/>
      <c r="RWV54" s="545"/>
      <c r="RWW54" s="545"/>
      <c r="RWX54" s="544"/>
      <c r="RWY54" s="545"/>
      <c r="RWZ54" s="545"/>
      <c r="RXA54" s="545"/>
      <c r="RXB54" s="545"/>
      <c r="RXC54" s="545"/>
      <c r="RXD54" s="545"/>
      <c r="RXE54" s="544"/>
      <c r="RXF54" s="545"/>
      <c r="RXG54" s="545"/>
      <c r="RXH54" s="545"/>
      <c r="RXI54" s="545"/>
      <c r="RXJ54" s="545"/>
      <c r="RXK54" s="545"/>
      <c r="RXL54" s="544"/>
      <c r="RXM54" s="545"/>
      <c r="RXN54" s="545"/>
      <c r="RXO54" s="545"/>
      <c r="RXP54" s="545"/>
      <c r="RXQ54" s="545"/>
      <c r="RXR54" s="545"/>
      <c r="RXS54" s="544"/>
      <c r="RXT54" s="545"/>
      <c r="RXU54" s="545"/>
      <c r="RXV54" s="545"/>
      <c r="RXW54" s="545"/>
      <c r="RXX54" s="545"/>
      <c r="RXY54" s="545"/>
      <c r="RXZ54" s="544"/>
      <c r="RYA54" s="545"/>
      <c r="RYB54" s="545"/>
      <c r="RYC54" s="545"/>
      <c r="RYD54" s="545"/>
      <c r="RYE54" s="545"/>
      <c r="RYF54" s="545"/>
      <c r="RYG54" s="544"/>
      <c r="RYH54" s="545"/>
      <c r="RYI54" s="545"/>
      <c r="RYJ54" s="545"/>
      <c r="RYK54" s="545"/>
      <c r="RYL54" s="545"/>
      <c r="RYM54" s="545"/>
      <c r="RYN54" s="544"/>
      <c r="RYO54" s="545"/>
      <c r="RYP54" s="545"/>
      <c r="RYQ54" s="545"/>
      <c r="RYR54" s="545"/>
      <c r="RYS54" s="545"/>
      <c r="RYT54" s="545"/>
      <c r="RYU54" s="544"/>
      <c r="RYV54" s="545"/>
      <c r="RYW54" s="545"/>
      <c r="RYX54" s="545"/>
      <c r="RYY54" s="545"/>
      <c r="RYZ54" s="545"/>
      <c r="RZA54" s="545"/>
      <c r="RZB54" s="544"/>
      <c r="RZC54" s="545"/>
      <c r="RZD54" s="545"/>
      <c r="RZE54" s="545"/>
      <c r="RZF54" s="545"/>
      <c r="RZG54" s="545"/>
      <c r="RZH54" s="545"/>
      <c r="RZI54" s="544"/>
      <c r="RZJ54" s="545"/>
      <c r="RZK54" s="545"/>
      <c r="RZL54" s="545"/>
      <c r="RZM54" s="545"/>
      <c r="RZN54" s="545"/>
      <c r="RZO54" s="545"/>
      <c r="RZP54" s="544"/>
      <c r="RZQ54" s="545"/>
      <c r="RZR54" s="545"/>
      <c r="RZS54" s="545"/>
      <c r="RZT54" s="545"/>
      <c r="RZU54" s="545"/>
      <c r="RZV54" s="545"/>
      <c r="RZW54" s="544"/>
      <c r="RZX54" s="545"/>
      <c r="RZY54" s="545"/>
      <c r="RZZ54" s="545"/>
      <c r="SAA54" s="545"/>
      <c r="SAB54" s="545"/>
      <c r="SAC54" s="545"/>
      <c r="SAD54" s="544"/>
      <c r="SAE54" s="545"/>
      <c r="SAF54" s="545"/>
      <c r="SAG54" s="545"/>
      <c r="SAH54" s="545"/>
      <c r="SAI54" s="545"/>
      <c r="SAJ54" s="545"/>
      <c r="SAK54" s="544"/>
      <c r="SAL54" s="545"/>
      <c r="SAM54" s="545"/>
      <c r="SAN54" s="545"/>
      <c r="SAO54" s="545"/>
      <c r="SAP54" s="545"/>
      <c r="SAQ54" s="545"/>
      <c r="SAR54" s="544"/>
      <c r="SAS54" s="545"/>
      <c r="SAT54" s="545"/>
      <c r="SAU54" s="545"/>
      <c r="SAV54" s="545"/>
      <c r="SAW54" s="545"/>
      <c r="SAX54" s="545"/>
      <c r="SAY54" s="544"/>
      <c r="SAZ54" s="545"/>
      <c r="SBA54" s="545"/>
      <c r="SBB54" s="545"/>
      <c r="SBC54" s="545"/>
      <c r="SBD54" s="545"/>
      <c r="SBE54" s="545"/>
      <c r="SBF54" s="544"/>
      <c r="SBG54" s="545"/>
      <c r="SBH54" s="545"/>
      <c r="SBI54" s="545"/>
      <c r="SBJ54" s="545"/>
      <c r="SBK54" s="545"/>
      <c r="SBL54" s="545"/>
      <c r="SBM54" s="544"/>
      <c r="SBN54" s="545"/>
      <c r="SBO54" s="545"/>
      <c r="SBP54" s="545"/>
      <c r="SBQ54" s="545"/>
      <c r="SBR54" s="545"/>
      <c r="SBS54" s="545"/>
      <c r="SBT54" s="544"/>
      <c r="SBU54" s="545"/>
      <c r="SBV54" s="545"/>
      <c r="SBW54" s="545"/>
      <c r="SBX54" s="545"/>
      <c r="SBY54" s="545"/>
      <c r="SBZ54" s="545"/>
      <c r="SCA54" s="544"/>
      <c r="SCB54" s="545"/>
      <c r="SCC54" s="545"/>
      <c r="SCD54" s="545"/>
      <c r="SCE54" s="545"/>
      <c r="SCF54" s="545"/>
      <c r="SCG54" s="545"/>
      <c r="SCH54" s="544"/>
      <c r="SCI54" s="545"/>
      <c r="SCJ54" s="545"/>
      <c r="SCK54" s="545"/>
      <c r="SCL54" s="545"/>
      <c r="SCM54" s="545"/>
      <c r="SCN54" s="545"/>
      <c r="SCO54" s="544"/>
      <c r="SCP54" s="545"/>
      <c r="SCQ54" s="545"/>
      <c r="SCR54" s="545"/>
      <c r="SCS54" s="545"/>
      <c r="SCT54" s="545"/>
      <c r="SCU54" s="545"/>
      <c r="SCV54" s="544"/>
      <c r="SCW54" s="545"/>
      <c r="SCX54" s="545"/>
      <c r="SCY54" s="545"/>
      <c r="SCZ54" s="545"/>
      <c r="SDA54" s="545"/>
      <c r="SDB54" s="545"/>
      <c r="SDC54" s="544"/>
      <c r="SDD54" s="545"/>
      <c r="SDE54" s="545"/>
      <c r="SDF54" s="545"/>
      <c r="SDG54" s="545"/>
      <c r="SDH54" s="545"/>
      <c r="SDI54" s="545"/>
      <c r="SDJ54" s="544"/>
      <c r="SDK54" s="545"/>
      <c r="SDL54" s="545"/>
      <c r="SDM54" s="545"/>
      <c r="SDN54" s="545"/>
      <c r="SDO54" s="545"/>
      <c r="SDP54" s="545"/>
      <c r="SDQ54" s="544"/>
      <c r="SDR54" s="545"/>
      <c r="SDS54" s="545"/>
      <c r="SDT54" s="545"/>
      <c r="SDU54" s="545"/>
      <c r="SDV54" s="545"/>
      <c r="SDW54" s="545"/>
      <c r="SDX54" s="544"/>
      <c r="SDY54" s="545"/>
      <c r="SDZ54" s="545"/>
      <c r="SEA54" s="545"/>
      <c r="SEB54" s="545"/>
      <c r="SEC54" s="545"/>
      <c r="SED54" s="545"/>
      <c r="SEE54" s="544"/>
      <c r="SEF54" s="545"/>
      <c r="SEG54" s="545"/>
      <c r="SEH54" s="545"/>
      <c r="SEI54" s="545"/>
      <c r="SEJ54" s="545"/>
      <c r="SEK54" s="545"/>
      <c r="SEL54" s="544"/>
      <c r="SEM54" s="545"/>
      <c r="SEN54" s="545"/>
      <c r="SEO54" s="545"/>
      <c r="SEP54" s="545"/>
      <c r="SEQ54" s="545"/>
      <c r="SER54" s="545"/>
      <c r="SES54" s="544"/>
      <c r="SET54" s="545"/>
      <c r="SEU54" s="545"/>
      <c r="SEV54" s="545"/>
      <c r="SEW54" s="545"/>
      <c r="SEX54" s="545"/>
      <c r="SEY54" s="545"/>
      <c r="SEZ54" s="544"/>
      <c r="SFA54" s="545"/>
      <c r="SFB54" s="545"/>
      <c r="SFC54" s="545"/>
      <c r="SFD54" s="545"/>
      <c r="SFE54" s="545"/>
      <c r="SFF54" s="545"/>
      <c r="SFG54" s="544"/>
      <c r="SFH54" s="545"/>
      <c r="SFI54" s="545"/>
      <c r="SFJ54" s="545"/>
      <c r="SFK54" s="545"/>
      <c r="SFL54" s="545"/>
      <c r="SFM54" s="545"/>
      <c r="SFN54" s="544"/>
      <c r="SFO54" s="545"/>
      <c r="SFP54" s="545"/>
      <c r="SFQ54" s="545"/>
      <c r="SFR54" s="545"/>
      <c r="SFS54" s="545"/>
      <c r="SFT54" s="545"/>
      <c r="SFU54" s="544"/>
      <c r="SFV54" s="545"/>
      <c r="SFW54" s="545"/>
      <c r="SFX54" s="545"/>
      <c r="SFY54" s="545"/>
      <c r="SFZ54" s="545"/>
      <c r="SGA54" s="545"/>
      <c r="SGB54" s="544"/>
      <c r="SGC54" s="545"/>
      <c r="SGD54" s="545"/>
      <c r="SGE54" s="545"/>
      <c r="SGF54" s="545"/>
      <c r="SGG54" s="545"/>
      <c r="SGH54" s="545"/>
      <c r="SGI54" s="544"/>
      <c r="SGJ54" s="545"/>
      <c r="SGK54" s="545"/>
      <c r="SGL54" s="545"/>
      <c r="SGM54" s="545"/>
      <c r="SGN54" s="545"/>
      <c r="SGO54" s="545"/>
      <c r="SGP54" s="544"/>
      <c r="SGQ54" s="545"/>
      <c r="SGR54" s="545"/>
      <c r="SGS54" s="545"/>
      <c r="SGT54" s="545"/>
      <c r="SGU54" s="545"/>
      <c r="SGV54" s="545"/>
      <c r="SGW54" s="544"/>
      <c r="SGX54" s="545"/>
      <c r="SGY54" s="545"/>
      <c r="SGZ54" s="545"/>
      <c r="SHA54" s="545"/>
      <c r="SHB54" s="545"/>
      <c r="SHC54" s="545"/>
      <c r="SHD54" s="544"/>
      <c r="SHE54" s="545"/>
      <c r="SHF54" s="545"/>
      <c r="SHG54" s="545"/>
      <c r="SHH54" s="545"/>
      <c r="SHI54" s="545"/>
      <c r="SHJ54" s="545"/>
      <c r="SHK54" s="544"/>
      <c r="SHL54" s="545"/>
      <c r="SHM54" s="545"/>
      <c r="SHN54" s="545"/>
      <c r="SHO54" s="545"/>
      <c r="SHP54" s="545"/>
      <c r="SHQ54" s="545"/>
      <c r="SHR54" s="544"/>
      <c r="SHS54" s="545"/>
      <c r="SHT54" s="545"/>
      <c r="SHU54" s="545"/>
      <c r="SHV54" s="545"/>
      <c r="SHW54" s="545"/>
      <c r="SHX54" s="545"/>
      <c r="SHY54" s="544"/>
      <c r="SHZ54" s="545"/>
      <c r="SIA54" s="545"/>
      <c r="SIB54" s="545"/>
      <c r="SIC54" s="545"/>
      <c r="SID54" s="545"/>
      <c r="SIE54" s="545"/>
      <c r="SIF54" s="544"/>
      <c r="SIG54" s="545"/>
      <c r="SIH54" s="545"/>
      <c r="SII54" s="545"/>
      <c r="SIJ54" s="545"/>
      <c r="SIK54" s="545"/>
      <c r="SIL54" s="545"/>
      <c r="SIM54" s="544"/>
      <c r="SIN54" s="545"/>
      <c r="SIO54" s="545"/>
      <c r="SIP54" s="545"/>
      <c r="SIQ54" s="545"/>
      <c r="SIR54" s="545"/>
      <c r="SIS54" s="545"/>
      <c r="SIT54" s="544"/>
      <c r="SIU54" s="545"/>
      <c r="SIV54" s="545"/>
      <c r="SIW54" s="545"/>
      <c r="SIX54" s="545"/>
      <c r="SIY54" s="545"/>
      <c r="SIZ54" s="545"/>
      <c r="SJA54" s="544"/>
      <c r="SJB54" s="545"/>
      <c r="SJC54" s="545"/>
      <c r="SJD54" s="545"/>
      <c r="SJE54" s="545"/>
      <c r="SJF54" s="545"/>
      <c r="SJG54" s="545"/>
      <c r="SJH54" s="544"/>
      <c r="SJI54" s="545"/>
      <c r="SJJ54" s="545"/>
      <c r="SJK54" s="545"/>
      <c r="SJL54" s="545"/>
      <c r="SJM54" s="545"/>
      <c r="SJN54" s="545"/>
      <c r="SJO54" s="544"/>
      <c r="SJP54" s="545"/>
      <c r="SJQ54" s="545"/>
      <c r="SJR54" s="545"/>
      <c r="SJS54" s="545"/>
      <c r="SJT54" s="545"/>
      <c r="SJU54" s="545"/>
      <c r="SJV54" s="544"/>
      <c r="SJW54" s="545"/>
      <c r="SJX54" s="545"/>
      <c r="SJY54" s="545"/>
      <c r="SJZ54" s="545"/>
      <c r="SKA54" s="545"/>
      <c r="SKB54" s="545"/>
      <c r="SKC54" s="544"/>
      <c r="SKD54" s="545"/>
      <c r="SKE54" s="545"/>
      <c r="SKF54" s="545"/>
      <c r="SKG54" s="545"/>
      <c r="SKH54" s="545"/>
      <c r="SKI54" s="545"/>
      <c r="SKJ54" s="544"/>
      <c r="SKK54" s="545"/>
      <c r="SKL54" s="545"/>
      <c r="SKM54" s="545"/>
      <c r="SKN54" s="545"/>
      <c r="SKO54" s="545"/>
      <c r="SKP54" s="545"/>
      <c r="SKQ54" s="544"/>
      <c r="SKR54" s="545"/>
      <c r="SKS54" s="545"/>
      <c r="SKT54" s="545"/>
      <c r="SKU54" s="545"/>
      <c r="SKV54" s="545"/>
      <c r="SKW54" s="545"/>
      <c r="SKX54" s="544"/>
      <c r="SKY54" s="545"/>
      <c r="SKZ54" s="545"/>
      <c r="SLA54" s="545"/>
      <c r="SLB54" s="545"/>
      <c r="SLC54" s="545"/>
      <c r="SLD54" s="545"/>
      <c r="SLE54" s="544"/>
      <c r="SLF54" s="545"/>
      <c r="SLG54" s="545"/>
      <c r="SLH54" s="545"/>
      <c r="SLI54" s="545"/>
      <c r="SLJ54" s="545"/>
      <c r="SLK54" s="545"/>
      <c r="SLL54" s="544"/>
      <c r="SLM54" s="545"/>
      <c r="SLN54" s="545"/>
      <c r="SLO54" s="545"/>
      <c r="SLP54" s="545"/>
      <c r="SLQ54" s="545"/>
      <c r="SLR54" s="545"/>
      <c r="SLS54" s="544"/>
      <c r="SLT54" s="545"/>
      <c r="SLU54" s="545"/>
      <c r="SLV54" s="545"/>
      <c r="SLW54" s="545"/>
      <c r="SLX54" s="545"/>
      <c r="SLY54" s="545"/>
      <c r="SLZ54" s="544"/>
      <c r="SMA54" s="545"/>
      <c r="SMB54" s="545"/>
      <c r="SMC54" s="545"/>
      <c r="SMD54" s="545"/>
      <c r="SME54" s="545"/>
      <c r="SMF54" s="545"/>
      <c r="SMG54" s="544"/>
      <c r="SMH54" s="545"/>
      <c r="SMI54" s="545"/>
      <c r="SMJ54" s="545"/>
      <c r="SMK54" s="545"/>
      <c r="SML54" s="545"/>
      <c r="SMM54" s="545"/>
      <c r="SMN54" s="544"/>
      <c r="SMO54" s="545"/>
      <c r="SMP54" s="545"/>
      <c r="SMQ54" s="545"/>
      <c r="SMR54" s="545"/>
      <c r="SMS54" s="545"/>
      <c r="SMT54" s="545"/>
      <c r="SMU54" s="544"/>
      <c r="SMV54" s="545"/>
      <c r="SMW54" s="545"/>
      <c r="SMX54" s="545"/>
      <c r="SMY54" s="545"/>
      <c r="SMZ54" s="545"/>
      <c r="SNA54" s="545"/>
      <c r="SNB54" s="544"/>
      <c r="SNC54" s="545"/>
      <c r="SND54" s="545"/>
      <c r="SNE54" s="545"/>
      <c r="SNF54" s="545"/>
      <c r="SNG54" s="545"/>
      <c r="SNH54" s="545"/>
      <c r="SNI54" s="544"/>
      <c r="SNJ54" s="545"/>
      <c r="SNK54" s="545"/>
      <c r="SNL54" s="545"/>
      <c r="SNM54" s="545"/>
      <c r="SNN54" s="545"/>
      <c r="SNO54" s="545"/>
      <c r="SNP54" s="544"/>
      <c r="SNQ54" s="545"/>
      <c r="SNR54" s="545"/>
      <c r="SNS54" s="545"/>
      <c r="SNT54" s="545"/>
      <c r="SNU54" s="545"/>
      <c r="SNV54" s="545"/>
      <c r="SNW54" s="544"/>
      <c r="SNX54" s="545"/>
      <c r="SNY54" s="545"/>
      <c r="SNZ54" s="545"/>
      <c r="SOA54" s="545"/>
      <c r="SOB54" s="545"/>
      <c r="SOC54" s="545"/>
      <c r="SOD54" s="544"/>
      <c r="SOE54" s="545"/>
      <c r="SOF54" s="545"/>
      <c r="SOG54" s="545"/>
      <c r="SOH54" s="545"/>
      <c r="SOI54" s="545"/>
      <c r="SOJ54" s="545"/>
      <c r="SOK54" s="544"/>
      <c r="SOL54" s="545"/>
      <c r="SOM54" s="545"/>
      <c r="SON54" s="545"/>
      <c r="SOO54" s="545"/>
      <c r="SOP54" s="545"/>
      <c r="SOQ54" s="545"/>
      <c r="SOR54" s="544"/>
      <c r="SOS54" s="545"/>
      <c r="SOT54" s="545"/>
      <c r="SOU54" s="545"/>
      <c r="SOV54" s="545"/>
      <c r="SOW54" s="545"/>
      <c r="SOX54" s="545"/>
      <c r="SOY54" s="544"/>
      <c r="SOZ54" s="545"/>
      <c r="SPA54" s="545"/>
      <c r="SPB54" s="545"/>
      <c r="SPC54" s="545"/>
      <c r="SPD54" s="545"/>
      <c r="SPE54" s="545"/>
      <c r="SPF54" s="544"/>
      <c r="SPG54" s="545"/>
      <c r="SPH54" s="545"/>
      <c r="SPI54" s="545"/>
      <c r="SPJ54" s="545"/>
      <c r="SPK54" s="545"/>
      <c r="SPL54" s="545"/>
      <c r="SPM54" s="544"/>
      <c r="SPN54" s="545"/>
      <c r="SPO54" s="545"/>
      <c r="SPP54" s="545"/>
      <c r="SPQ54" s="545"/>
      <c r="SPR54" s="545"/>
      <c r="SPS54" s="545"/>
      <c r="SPT54" s="544"/>
      <c r="SPU54" s="545"/>
      <c r="SPV54" s="545"/>
      <c r="SPW54" s="545"/>
      <c r="SPX54" s="545"/>
      <c r="SPY54" s="545"/>
      <c r="SPZ54" s="545"/>
      <c r="SQA54" s="544"/>
      <c r="SQB54" s="545"/>
      <c r="SQC54" s="545"/>
      <c r="SQD54" s="545"/>
      <c r="SQE54" s="545"/>
      <c r="SQF54" s="545"/>
      <c r="SQG54" s="545"/>
      <c r="SQH54" s="544"/>
      <c r="SQI54" s="545"/>
      <c r="SQJ54" s="545"/>
      <c r="SQK54" s="545"/>
      <c r="SQL54" s="545"/>
      <c r="SQM54" s="545"/>
      <c r="SQN54" s="545"/>
      <c r="SQO54" s="544"/>
      <c r="SQP54" s="545"/>
      <c r="SQQ54" s="545"/>
      <c r="SQR54" s="545"/>
      <c r="SQS54" s="545"/>
      <c r="SQT54" s="545"/>
      <c r="SQU54" s="545"/>
      <c r="SQV54" s="544"/>
      <c r="SQW54" s="545"/>
      <c r="SQX54" s="545"/>
      <c r="SQY54" s="545"/>
      <c r="SQZ54" s="545"/>
      <c r="SRA54" s="545"/>
      <c r="SRB54" s="545"/>
      <c r="SRC54" s="544"/>
      <c r="SRD54" s="545"/>
      <c r="SRE54" s="545"/>
      <c r="SRF54" s="545"/>
      <c r="SRG54" s="545"/>
      <c r="SRH54" s="545"/>
      <c r="SRI54" s="545"/>
      <c r="SRJ54" s="544"/>
      <c r="SRK54" s="545"/>
      <c r="SRL54" s="545"/>
      <c r="SRM54" s="545"/>
      <c r="SRN54" s="545"/>
      <c r="SRO54" s="545"/>
      <c r="SRP54" s="545"/>
      <c r="SRQ54" s="544"/>
      <c r="SRR54" s="545"/>
      <c r="SRS54" s="545"/>
      <c r="SRT54" s="545"/>
      <c r="SRU54" s="545"/>
      <c r="SRV54" s="545"/>
      <c r="SRW54" s="545"/>
      <c r="SRX54" s="544"/>
      <c r="SRY54" s="545"/>
      <c r="SRZ54" s="545"/>
      <c r="SSA54" s="545"/>
      <c r="SSB54" s="545"/>
      <c r="SSC54" s="545"/>
      <c r="SSD54" s="545"/>
      <c r="SSE54" s="544"/>
      <c r="SSF54" s="545"/>
      <c r="SSG54" s="545"/>
      <c r="SSH54" s="545"/>
      <c r="SSI54" s="545"/>
      <c r="SSJ54" s="545"/>
      <c r="SSK54" s="545"/>
      <c r="SSL54" s="544"/>
      <c r="SSM54" s="545"/>
      <c r="SSN54" s="545"/>
      <c r="SSO54" s="545"/>
      <c r="SSP54" s="545"/>
      <c r="SSQ54" s="545"/>
      <c r="SSR54" s="545"/>
      <c r="SSS54" s="544"/>
      <c r="SST54" s="545"/>
      <c r="SSU54" s="545"/>
      <c r="SSV54" s="545"/>
      <c r="SSW54" s="545"/>
      <c r="SSX54" s="545"/>
      <c r="SSY54" s="545"/>
      <c r="SSZ54" s="544"/>
      <c r="STA54" s="545"/>
      <c r="STB54" s="545"/>
      <c r="STC54" s="545"/>
      <c r="STD54" s="545"/>
      <c r="STE54" s="545"/>
      <c r="STF54" s="545"/>
      <c r="STG54" s="544"/>
      <c r="STH54" s="545"/>
      <c r="STI54" s="545"/>
      <c r="STJ54" s="545"/>
      <c r="STK54" s="545"/>
      <c r="STL54" s="545"/>
      <c r="STM54" s="545"/>
      <c r="STN54" s="544"/>
      <c r="STO54" s="545"/>
      <c r="STP54" s="545"/>
      <c r="STQ54" s="545"/>
      <c r="STR54" s="545"/>
      <c r="STS54" s="545"/>
      <c r="STT54" s="545"/>
      <c r="STU54" s="544"/>
      <c r="STV54" s="545"/>
      <c r="STW54" s="545"/>
      <c r="STX54" s="545"/>
      <c r="STY54" s="545"/>
      <c r="STZ54" s="545"/>
      <c r="SUA54" s="545"/>
      <c r="SUB54" s="544"/>
      <c r="SUC54" s="545"/>
      <c r="SUD54" s="545"/>
      <c r="SUE54" s="545"/>
      <c r="SUF54" s="545"/>
      <c r="SUG54" s="545"/>
      <c r="SUH54" s="545"/>
      <c r="SUI54" s="544"/>
      <c r="SUJ54" s="545"/>
      <c r="SUK54" s="545"/>
      <c r="SUL54" s="545"/>
      <c r="SUM54" s="545"/>
      <c r="SUN54" s="545"/>
      <c r="SUO54" s="545"/>
      <c r="SUP54" s="544"/>
      <c r="SUQ54" s="545"/>
      <c r="SUR54" s="545"/>
      <c r="SUS54" s="545"/>
      <c r="SUT54" s="545"/>
      <c r="SUU54" s="545"/>
      <c r="SUV54" s="545"/>
      <c r="SUW54" s="544"/>
      <c r="SUX54" s="545"/>
      <c r="SUY54" s="545"/>
      <c r="SUZ54" s="545"/>
      <c r="SVA54" s="545"/>
      <c r="SVB54" s="545"/>
      <c r="SVC54" s="545"/>
      <c r="SVD54" s="544"/>
      <c r="SVE54" s="545"/>
      <c r="SVF54" s="545"/>
      <c r="SVG54" s="545"/>
      <c r="SVH54" s="545"/>
      <c r="SVI54" s="545"/>
      <c r="SVJ54" s="545"/>
      <c r="SVK54" s="544"/>
      <c r="SVL54" s="545"/>
      <c r="SVM54" s="545"/>
      <c r="SVN54" s="545"/>
      <c r="SVO54" s="545"/>
      <c r="SVP54" s="545"/>
      <c r="SVQ54" s="545"/>
      <c r="SVR54" s="544"/>
      <c r="SVS54" s="545"/>
      <c r="SVT54" s="545"/>
      <c r="SVU54" s="545"/>
      <c r="SVV54" s="545"/>
      <c r="SVW54" s="545"/>
      <c r="SVX54" s="545"/>
      <c r="SVY54" s="544"/>
      <c r="SVZ54" s="545"/>
      <c r="SWA54" s="545"/>
      <c r="SWB54" s="545"/>
      <c r="SWC54" s="545"/>
      <c r="SWD54" s="545"/>
      <c r="SWE54" s="545"/>
      <c r="SWF54" s="544"/>
      <c r="SWG54" s="545"/>
      <c r="SWH54" s="545"/>
      <c r="SWI54" s="545"/>
      <c r="SWJ54" s="545"/>
      <c r="SWK54" s="545"/>
      <c r="SWL54" s="545"/>
      <c r="SWM54" s="544"/>
      <c r="SWN54" s="545"/>
      <c r="SWO54" s="545"/>
      <c r="SWP54" s="545"/>
      <c r="SWQ54" s="545"/>
      <c r="SWR54" s="545"/>
      <c r="SWS54" s="545"/>
      <c r="SWT54" s="544"/>
      <c r="SWU54" s="545"/>
      <c r="SWV54" s="545"/>
      <c r="SWW54" s="545"/>
      <c r="SWX54" s="545"/>
      <c r="SWY54" s="545"/>
      <c r="SWZ54" s="545"/>
      <c r="SXA54" s="544"/>
      <c r="SXB54" s="545"/>
      <c r="SXC54" s="545"/>
      <c r="SXD54" s="545"/>
      <c r="SXE54" s="545"/>
      <c r="SXF54" s="545"/>
      <c r="SXG54" s="545"/>
      <c r="SXH54" s="544"/>
      <c r="SXI54" s="545"/>
      <c r="SXJ54" s="545"/>
      <c r="SXK54" s="545"/>
      <c r="SXL54" s="545"/>
      <c r="SXM54" s="545"/>
      <c r="SXN54" s="545"/>
      <c r="SXO54" s="544"/>
      <c r="SXP54" s="545"/>
      <c r="SXQ54" s="545"/>
      <c r="SXR54" s="545"/>
      <c r="SXS54" s="545"/>
      <c r="SXT54" s="545"/>
      <c r="SXU54" s="545"/>
      <c r="SXV54" s="544"/>
      <c r="SXW54" s="545"/>
      <c r="SXX54" s="545"/>
      <c r="SXY54" s="545"/>
      <c r="SXZ54" s="545"/>
      <c r="SYA54" s="545"/>
      <c r="SYB54" s="545"/>
      <c r="SYC54" s="544"/>
      <c r="SYD54" s="545"/>
      <c r="SYE54" s="545"/>
      <c r="SYF54" s="545"/>
      <c r="SYG54" s="545"/>
      <c r="SYH54" s="545"/>
      <c r="SYI54" s="545"/>
      <c r="SYJ54" s="544"/>
      <c r="SYK54" s="545"/>
      <c r="SYL54" s="545"/>
      <c r="SYM54" s="545"/>
      <c r="SYN54" s="545"/>
      <c r="SYO54" s="545"/>
      <c r="SYP54" s="545"/>
      <c r="SYQ54" s="544"/>
      <c r="SYR54" s="545"/>
      <c r="SYS54" s="545"/>
      <c r="SYT54" s="545"/>
      <c r="SYU54" s="545"/>
      <c r="SYV54" s="545"/>
      <c r="SYW54" s="545"/>
      <c r="SYX54" s="544"/>
      <c r="SYY54" s="545"/>
      <c r="SYZ54" s="545"/>
      <c r="SZA54" s="545"/>
      <c r="SZB54" s="545"/>
      <c r="SZC54" s="545"/>
      <c r="SZD54" s="545"/>
      <c r="SZE54" s="544"/>
      <c r="SZF54" s="545"/>
      <c r="SZG54" s="545"/>
      <c r="SZH54" s="545"/>
      <c r="SZI54" s="545"/>
      <c r="SZJ54" s="545"/>
      <c r="SZK54" s="545"/>
      <c r="SZL54" s="544"/>
      <c r="SZM54" s="545"/>
      <c r="SZN54" s="545"/>
      <c r="SZO54" s="545"/>
      <c r="SZP54" s="545"/>
      <c r="SZQ54" s="545"/>
      <c r="SZR54" s="545"/>
      <c r="SZS54" s="544"/>
      <c r="SZT54" s="545"/>
      <c r="SZU54" s="545"/>
      <c r="SZV54" s="545"/>
      <c r="SZW54" s="545"/>
      <c r="SZX54" s="545"/>
      <c r="SZY54" s="545"/>
      <c r="SZZ54" s="544"/>
      <c r="TAA54" s="545"/>
      <c r="TAB54" s="545"/>
      <c r="TAC54" s="545"/>
      <c r="TAD54" s="545"/>
      <c r="TAE54" s="545"/>
      <c r="TAF54" s="545"/>
      <c r="TAG54" s="544"/>
      <c r="TAH54" s="545"/>
      <c r="TAI54" s="545"/>
      <c r="TAJ54" s="545"/>
      <c r="TAK54" s="545"/>
      <c r="TAL54" s="545"/>
      <c r="TAM54" s="545"/>
      <c r="TAN54" s="544"/>
      <c r="TAO54" s="545"/>
      <c r="TAP54" s="545"/>
      <c r="TAQ54" s="545"/>
      <c r="TAR54" s="545"/>
      <c r="TAS54" s="545"/>
      <c r="TAT54" s="545"/>
      <c r="TAU54" s="544"/>
      <c r="TAV54" s="545"/>
      <c r="TAW54" s="545"/>
      <c r="TAX54" s="545"/>
      <c r="TAY54" s="545"/>
      <c r="TAZ54" s="545"/>
      <c r="TBA54" s="545"/>
      <c r="TBB54" s="544"/>
      <c r="TBC54" s="545"/>
      <c r="TBD54" s="545"/>
      <c r="TBE54" s="545"/>
      <c r="TBF54" s="545"/>
      <c r="TBG54" s="545"/>
      <c r="TBH54" s="545"/>
      <c r="TBI54" s="544"/>
      <c r="TBJ54" s="545"/>
      <c r="TBK54" s="545"/>
      <c r="TBL54" s="545"/>
      <c r="TBM54" s="545"/>
      <c r="TBN54" s="545"/>
      <c r="TBO54" s="545"/>
      <c r="TBP54" s="544"/>
      <c r="TBQ54" s="545"/>
      <c r="TBR54" s="545"/>
      <c r="TBS54" s="545"/>
      <c r="TBT54" s="545"/>
      <c r="TBU54" s="545"/>
      <c r="TBV54" s="545"/>
      <c r="TBW54" s="544"/>
      <c r="TBX54" s="545"/>
      <c r="TBY54" s="545"/>
      <c r="TBZ54" s="545"/>
      <c r="TCA54" s="545"/>
      <c r="TCB54" s="545"/>
      <c r="TCC54" s="545"/>
      <c r="TCD54" s="544"/>
      <c r="TCE54" s="545"/>
      <c r="TCF54" s="545"/>
      <c r="TCG54" s="545"/>
      <c r="TCH54" s="545"/>
      <c r="TCI54" s="545"/>
      <c r="TCJ54" s="545"/>
      <c r="TCK54" s="544"/>
      <c r="TCL54" s="545"/>
      <c r="TCM54" s="545"/>
      <c r="TCN54" s="545"/>
      <c r="TCO54" s="545"/>
      <c r="TCP54" s="545"/>
      <c r="TCQ54" s="545"/>
      <c r="TCR54" s="544"/>
      <c r="TCS54" s="545"/>
      <c r="TCT54" s="545"/>
      <c r="TCU54" s="545"/>
      <c r="TCV54" s="545"/>
      <c r="TCW54" s="545"/>
      <c r="TCX54" s="545"/>
      <c r="TCY54" s="544"/>
      <c r="TCZ54" s="545"/>
      <c r="TDA54" s="545"/>
      <c r="TDB54" s="545"/>
      <c r="TDC54" s="545"/>
      <c r="TDD54" s="545"/>
      <c r="TDE54" s="545"/>
      <c r="TDF54" s="544"/>
      <c r="TDG54" s="545"/>
      <c r="TDH54" s="545"/>
      <c r="TDI54" s="545"/>
      <c r="TDJ54" s="545"/>
      <c r="TDK54" s="545"/>
      <c r="TDL54" s="545"/>
      <c r="TDM54" s="544"/>
      <c r="TDN54" s="545"/>
      <c r="TDO54" s="545"/>
      <c r="TDP54" s="545"/>
      <c r="TDQ54" s="545"/>
      <c r="TDR54" s="545"/>
      <c r="TDS54" s="545"/>
      <c r="TDT54" s="544"/>
      <c r="TDU54" s="545"/>
      <c r="TDV54" s="545"/>
      <c r="TDW54" s="545"/>
      <c r="TDX54" s="545"/>
      <c r="TDY54" s="545"/>
      <c r="TDZ54" s="545"/>
      <c r="TEA54" s="544"/>
      <c r="TEB54" s="545"/>
      <c r="TEC54" s="545"/>
      <c r="TED54" s="545"/>
      <c r="TEE54" s="545"/>
      <c r="TEF54" s="545"/>
      <c r="TEG54" s="545"/>
      <c r="TEH54" s="544"/>
      <c r="TEI54" s="545"/>
      <c r="TEJ54" s="545"/>
      <c r="TEK54" s="545"/>
      <c r="TEL54" s="545"/>
      <c r="TEM54" s="545"/>
      <c r="TEN54" s="545"/>
      <c r="TEO54" s="544"/>
      <c r="TEP54" s="545"/>
      <c r="TEQ54" s="545"/>
      <c r="TER54" s="545"/>
      <c r="TES54" s="545"/>
      <c r="TET54" s="545"/>
      <c r="TEU54" s="545"/>
      <c r="TEV54" s="544"/>
      <c r="TEW54" s="545"/>
      <c r="TEX54" s="545"/>
      <c r="TEY54" s="545"/>
      <c r="TEZ54" s="545"/>
      <c r="TFA54" s="545"/>
      <c r="TFB54" s="545"/>
      <c r="TFC54" s="544"/>
      <c r="TFD54" s="545"/>
      <c r="TFE54" s="545"/>
      <c r="TFF54" s="545"/>
      <c r="TFG54" s="545"/>
      <c r="TFH54" s="545"/>
      <c r="TFI54" s="545"/>
      <c r="TFJ54" s="544"/>
      <c r="TFK54" s="545"/>
      <c r="TFL54" s="545"/>
      <c r="TFM54" s="545"/>
      <c r="TFN54" s="545"/>
      <c r="TFO54" s="545"/>
      <c r="TFP54" s="545"/>
      <c r="TFQ54" s="544"/>
      <c r="TFR54" s="545"/>
      <c r="TFS54" s="545"/>
      <c r="TFT54" s="545"/>
      <c r="TFU54" s="545"/>
      <c r="TFV54" s="545"/>
      <c r="TFW54" s="545"/>
      <c r="TFX54" s="544"/>
      <c r="TFY54" s="545"/>
      <c r="TFZ54" s="545"/>
      <c r="TGA54" s="545"/>
      <c r="TGB54" s="545"/>
      <c r="TGC54" s="545"/>
      <c r="TGD54" s="545"/>
      <c r="TGE54" s="544"/>
      <c r="TGF54" s="545"/>
      <c r="TGG54" s="545"/>
      <c r="TGH54" s="545"/>
      <c r="TGI54" s="545"/>
      <c r="TGJ54" s="545"/>
      <c r="TGK54" s="545"/>
      <c r="TGL54" s="544"/>
      <c r="TGM54" s="545"/>
      <c r="TGN54" s="545"/>
      <c r="TGO54" s="545"/>
      <c r="TGP54" s="545"/>
      <c r="TGQ54" s="545"/>
      <c r="TGR54" s="545"/>
      <c r="TGS54" s="544"/>
      <c r="TGT54" s="545"/>
      <c r="TGU54" s="545"/>
      <c r="TGV54" s="545"/>
      <c r="TGW54" s="545"/>
      <c r="TGX54" s="545"/>
      <c r="TGY54" s="545"/>
      <c r="TGZ54" s="544"/>
      <c r="THA54" s="545"/>
      <c r="THB54" s="545"/>
      <c r="THC54" s="545"/>
      <c r="THD54" s="545"/>
      <c r="THE54" s="545"/>
      <c r="THF54" s="545"/>
      <c r="THG54" s="544"/>
      <c r="THH54" s="545"/>
      <c r="THI54" s="545"/>
      <c r="THJ54" s="545"/>
      <c r="THK54" s="545"/>
      <c r="THL54" s="545"/>
      <c r="THM54" s="545"/>
      <c r="THN54" s="544"/>
      <c r="THO54" s="545"/>
      <c r="THP54" s="545"/>
      <c r="THQ54" s="545"/>
      <c r="THR54" s="545"/>
      <c r="THS54" s="545"/>
      <c r="THT54" s="545"/>
      <c r="THU54" s="544"/>
      <c r="THV54" s="545"/>
      <c r="THW54" s="545"/>
      <c r="THX54" s="545"/>
      <c r="THY54" s="545"/>
      <c r="THZ54" s="545"/>
      <c r="TIA54" s="545"/>
      <c r="TIB54" s="544"/>
      <c r="TIC54" s="545"/>
      <c r="TID54" s="545"/>
      <c r="TIE54" s="545"/>
      <c r="TIF54" s="545"/>
      <c r="TIG54" s="545"/>
      <c r="TIH54" s="545"/>
      <c r="TII54" s="544"/>
      <c r="TIJ54" s="545"/>
      <c r="TIK54" s="545"/>
      <c r="TIL54" s="545"/>
      <c r="TIM54" s="545"/>
      <c r="TIN54" s="545"/>
      <c r="TIO54" s="545"/>
      <c r="TIP54" s="544"/>
      <c r="TIQ54" s="545"/>
      <c r="TIR54" s="545"/>
      <c r="TIS54" s="545"/>
      <c r="TIT54" s="545"/>
      <c r="TIU54" s="545"/>
      <c r="TIV54" s="545"/>
      <c r="TIW54" s="544"/>
      <c r="TIX54" s="545"/>
      <c r="TIY54" s="545"/>
      <c r="TIZ54" s="545"/>
      <c r="TJA54" s="545"/>
      <c r="TJB54" s="545"/>
      <c r="TJC54" s="545"/>
      <c r="TJD54" s="544"/>
      <c r="TJE54" s="545"/>
      <c r="TJF54" s="545"/>
      <c r="TJG54" s="545"/>
      <c r="TJH54" s="545"/>
      <c r="TJI54" s="545"/>
      <c r="TJJ54" s="545"/>
      <c r="TJK54" s="544"/>
      <c r="TJL54" s="545"/>
      <c r="TJM54" s="545"/>
      <c r="TJN54" s="545"/>
      <c r="TJO54" s="545"/>
      <c r="TJP54" s="545"/>
      <c r="TJQ54" s="545"/>
      <c r="TJR54" s="544"/>
      <c r="TJS54" s="545"/>
      <c r="TJT54" s="545"/>
      <c r="TJU54" s="545"/>
      <c r="TJV54" s="545"/>
      <c r="TJW54" s="545"/>
      <c r="TJX54" s="545"/>
      <c r="TJY54" s="544"/>
      <c r="TJZ54" s="545"/>
      <c r="TKA54" s="545"/>
      <c r="TKB54" s="545"/>
      <c r="TKC54" s="545"/>
      <c r="TKD54" s="545"/>
      <c r="TKE54" s="545"/>
      <c r="TKF54" s="544"/>
      <c r="TKG54" s="545"/>
      <c r="TKH54" s="545"/>
      <c r="TKI54" s="545"/>
      <c r="TKJ54" s="545"/>
      <c r="TKK54" s="545"/>
      <c r="TKL54" s="545"/>
      <c r="TKM54" s="544"/>
      <c r="TKN54" s="545"/>
      <c r="TKO54" s="545"/>
      <c r="TKP54" s="545"/>
      <c r="TKQ54" s="545"/>
      <c r="TKR54" s="545"/>
      <c r="TKS54" s="545"/>
      <c r="TKT54" s="544"/>
      <c r="TKU54" s="545"/>
      <c r="TKV54" s="545"/>
      <c r="TKW54" s="545"/>
      <c r="TKX54" s="545"/>
      <c r="TKY54" s="545"/>
      <c r="TKZ54" s="545"/>
      <c r="TLA54" s="544"/>
      <c r="TLB54" s="545"/>
      <c r="TLC54" s="545"/>
      <c r="TLD54" s="545"/>
      <c r="TLE54" s="545"/>
      <c r="TLF54" s="545"/>
      <c r="TLG54" s="545"/>
      <c r="TLH54" s="544"/>
      <c r="TLI54" s="545"/>
      <c r="TLJ54" s="545"/>
      <c r="TLK54" s="545"/>
      <c r="TLL54" s="545"/>
      <c r="TLM54" s="545"/>
      <c r="TLN54" s="545"/>
      <c r="TLO54" s="544"/>
      <c r="TLP54" s="545"/>
      <c r="TLQ54" s="545"/>
      <c r="TLR54" s="545"/>
      <c r="TLS54" s="545"/>
      <c r="TLT54" s="545"/>
      <c r="TLU54" s="545"/>
      <c r="TLV54" s="544"/>
      <c r="TLW54" s="545"/>
      <c r="TLX54" s="545"/>
      <c r="TLY54" s="545"/>
      <c r="TLZ54" s="545"/>
      <c r="TMA54" s="545"/>
      <c r="TMB54" s="545"/>
      <c r="TMC54" s="544"/>
      <c r="TMD54" s="545"/>
      <c r="TME54" s="545"/>
      <c r="TMF54" s="545"/>
      <c r="TMG54" s="545"/>
      <c r="TMH54" s="545"/>
      <c r="TMI54" s="545"/>
      <c r="TMJ54" s="544"/>
      <c r="TMK54" s="545"/>
      <c r="TML54" s="545"/>
      <c r="TMM54" s="545"/>
      <c r="TMN54" s="545"/>
      <c r="TMO54" s="545"/>
      <c r="TMP54" s="545"/>
      <c r="TMQ54" s="544"/>
      <c r="TMR54" s="545"/>
      <c r="TMS54" s="545"/>
      <c r="TMT54" s="545"/>
      <c r="TMU54" s="545"/>
      <c r="TMV54" s="545"/>
      <c r="TMW54" s="545"/>
      <c r="TMX54" s="544"/>
      <c r="TMY54" s="545"/>
      <c r="TMZ54" s="545"/>
      <c r="TNA54" s="545"/>
      <c r="TNB54" s="545"/>
      <c r="TNC54" s="545"/>
      <c r="TND54" s="545"/>
      <c r="TNE54" s="544"/>
      <c r="TNF54" s="545"/>
      <c r="TNG54" s="545"/>
      <c r="TNH54" s="545"/>
      <c r="TNI54" s="545"/>
      <c r="TNJ54" s="545"/>
      <c r="TNK54" s="545"/>
      <c r="TNL54" s="544"/>
      <c r="TNM54" s="545"/>
      <c r="TNN54" s="545"/>
      <c r="TNO54" s="545"/>
      <c r="TNP54" s="545"/>
      <c r="TNQ54" s="545"/>
      <c r="TNR54" s="545"/>
      <c r="TNS54" s="544"/>
      <c r="TNT54" s="545"/>
      <c r="TNU54" s="545"/>
      <c r="TNV54" s="545"/>
      <c r="TNW54" s="545"/>
      <c r="TNX54" s="545"/>
      <c r="TNY54" s="545"/>
      <c r="TNZ54" s="544"/>
      <c r="TOA54" s="545"/>
      <c r="TOB54" s="545"/>
      <c r="TOC54" s="545"/>
      <c r="TOD54" s="545"/>
      <c r="TOE54" s="545"/>
      <c r="TOF54" s="545"/>
      <c r="TOG54" s="544"/>
      <c r="TOH54" s="545"/>
      <c r="TOI54" s="545"/>
      <c r="TOJ54" s="545"/>
      <c r="TOK54" s="545"/>
      <c r="TOL54" s="545"/>
      <c r="TOM54" s="545"/>
      <c r="TON54" s="544"/>
      <c r="TOO54" s="545"/>
      <c r="TOP54" s="545"/>
      <c r="TOQ54" s="545"/>
      <c r="TOR54" s="545"/>
      <c r="TOS54" s="545"/>
      <c r="TOT54" s="545"/>
      <c r="TOU54" s="544"/>
      <c r="TOV54" s="545"/>
      <c r="TOW54" s="545"/>
      <c r="TOX54" s="545"/>
      <c r="TOY54" s="545"/>
      <c r="TOZ54" s="545"/>
      <c r="TPA54" s="545"/>
      <c r="TPB54" s="544"/>
      <c r="TPC54" s="545"/>
      <c r="TPD54" s="545"/>
      <c r="TPE54" s="545"/>
      <c r="TPF54" s="545"/>
      <c r="TPG54" s="545"/>
      <c r="TPH54" s="545"/>
      <c r="TPI54" s="544"/>
      <c r="TPJ54" s="545"/>
      <c r="TPK54" s="545"/>
      <c r="TPL54" s="545"/>
      <c r="TPM54" s="545"/>
      <c r="TPN54" s="545"/>
      <c r="TPO54" s="545"/>
      <c r="TPP54" s="544"/>
      <c r="TPQ54" s="545"/>
      <c r="TPR54" s="545"/>
      <c r="TPS54" s="545"/>
      <c r="TPT54" s="545"/>
      <c r="TPU54" s="545"/>
      <c r="TPV54" s="545"/>
      <c r="TPW54" s="544"/>
      <c r="TPX54" s="545"/>
      <c r="TPY54" s="545"/>
      <c r="TPZ54" s="545"/>
      <c r="TQA54" s="545"/>
      <c r="TQB54" s="545"/>
      <c r="TQC54" s="545"/>
      <c r="TQD54" s="544"/>
      <c r="TQE54" s="545"/>
      <c r="TQF54" s="545"/>
      <c r="TQG54" s="545"/>
      <c r="TQH54" s="545"/>
      <c r="TQI54" s="545"/>
      <c r="TQJ54" s="545"/>
      <c r="TQK54" s="544"/>
      <c r="TQL54" s="545"/>
      <c r="TQM54" s="545"/>
      <c r="TQN54" s="545"/>
      <c r="TQO54" s="545"/>
      <c r="TQP54" s="545"/>
      <c r="TQQ54" s="545"/>
      <c r="TQR54" s="544"/>
      <c r="TQS54" s="545"/>
      <c r="TQT54" s="545"/>
      <c r="TQU54" s="545"/>
      <c r="TQV54" s="545"/>
      <c r="TQW54" s="545"/>
      <c r="TQX54" s="545"/>
      <c r="TQY54" s="544"/>
      <c r="TQZ54" s="545"/>
      <c r="TRA54" s="545"/>
      <c r="TRB54" s="545"/>
      <c r="TRC54" s="545"/>
      <c r="TRD54" s="545"/>
      <c r="TRE54" s="545"/>
      <c r="TRF54" s="544"/>
      <c r="TRG54" s="545"/>
      <c r="TRH54" s="545"/>
      <c r="TRI54" s="545"/>
      <c r="TRJ54" s="545"/>
      <c r="TRK54" s="545"/>
      <c r="TRL54" s="545"/>
      <c r="TRM54" s="544"/>
      <c r="TRN54" s="545"/>
      <c r="TRO54" s="545"/>
      <c r="TRP54" s="545"/>
      <c r="TRQ54" s="545"/>
      <c r="TRR54" s="545"/>
      <c r="TRS54" s="545"/>
      <c r="TRT54" s="544"/>
      <c r="TRU54" s="545"/>
      <c r="TRV54" s="545"/>
      <c r="TRW54" s="545"/>
      <c r="TRX54" s="545"/>
      <c r="TRY54" s="545"/>
      <c r="TRZ54" s="545"/>
      <c r="TSA54" s="544"/>
      <c r="TSB54" s="545"/>
      <c r="TSC54" s="545"/>
      <c r="TSD54" s="545"/>
      <c r="TSE54" s="545"/>
      <c r="TSF54" s="545"/>
      <c r="TSG54" s="545"/>
      <c r="TSH54" s="544"/>
      <c r="TSI54" s="545"/>
      <c r="TSJ54" s="545"/>
      <c r="TSK54" s="545"/>
      <c r="TSL54" s="545"/>
      <c r="TSM54" s="545"/>
      <c r="TSN54" s="545"/>
      <c r="TSO54" s="544"/>
      <c r="TSP54" s="545"/>
      <c r="TSQ54" s="545"/>
      <c r="TSR54" s="545"/>
      <c r="TSS54" s="545"/>
      <c r="TST54" s="545"/>
      <c r="TSU54" s="545"/>
      <c r="TSV54" s="544"/>
      <c r="TSW54" s="545"/>
      <c r="TSX54" s="545"/>
      <c r="TSY54" s="545"/>
      <c r="TSZ54" s="545"/>
      <c r="TTA54" s="545"/>
      <c r="TTB54" s="545"/>
      <c r="TTC54" s="544"/>
      <c r="TTD54" s="545"/>
      <c r="TTE54" s="545"/>
      <c r="TTF54" s="545"/>
      <c r="TTG54" s="545"/>
      <c r="TTH54" s="545"/>
      <c r="TTI54" s="545"/>
      <c r="TTJ54" s="544"/>
      <c r="TTK54" s="545"/>
      <c r="TTL54" s="545"/>
      <c r="TTM54" s="545"/>
      <c r="TTN54" s="545"/>
      <c r="TTO54" s="545"/>
      <c r="TTP54" s="545"/>
      <c r="TTQ54" s="544"/>
      <c r="TTR54" s="545"/>
      <c r="TTS54" s="545"/>
      <c r="TTT54" s="545"/>
      <c r="TTU54" s="545"/>
      <c r="TTV54" s="545"/>
      <c r="TTW54" s="545"/>
      <c r="TTX54" s="544"/>
      <c r="TTY54" s="545"/>
      <c r="TTZ54" s="545"/>
      <c r="TUA54" s="545"/>
      <c r="TUB54" s="545"/>
      <c r="TUC54" s="545"/>
      <c r="TUD54" s="545"/>
      <c r="TUE54" s="544"/>
      <c r="TUF54" s="545"/>
      <c r="TUG54" s="545"/>
      <c r="TUH54" s="545"/>
      <c r="TUI54" s="545"/>
      <c r="TUJ54" s="545"/>
      <c r="TUK54" s="545"/>
      <c r="TUL54" s="544"/>
      <c r="TUM54" s="545"/>
      <c r="TUN54" s="545"/>
      <c r="TUO54" s="545"/>
      <c r="TUP54" s="545"/>
      <c r="TUQ54" s="545"/>
      <c r="TUR54" s="545"/>
      <c r="TUS54" s="544"/>
      <c r="TUT54" s="545"/>
      <c r="TUU54" s="545"/>
      <c r="TUV54" s="545"/>
      <c r="TUW54" s="545"/>
      <c r="TUX54" s="545"/>
      <c r="TUY54" s="545"/>
      <c r="TUZ54" s="544"/>
      <c r="TVA54" s="545"/>
      <c r="TVB54" s="545"/>
      <c r="TVC54" s="545"/>
      <c r="TVD54" s="545"/>
      <c r="TVE54" s="545"/>
      <c r="TVF54" s="545"/>
      <c r="TVG54" s="544"/>
      <c r="TVH54" s="545"/>
      <c r="TVI54" s="545"/>
      <c r="TVJ54" s="545"/>
      <c r="TVK54" s="545"/>
      <c r="TVL54" s="545"/>
      <c r="TVM54" s="545"/>
      <c r="TVN54" s="544"/>
      <c r="TVO54" s="545"/>
      <c r="TVP54" s="545"/>
      <c r="TVQ54" s="545"/>
      <c r="TVR54" s="545"/>
      <c r="TVS54" s="545"/>
      <c r="TVT54" s="545"/>
      <c r="TVU54" s="544"/>
      <c r="TVV54" s="545"/>
      <c r="TVW54" s="545"/>
      <c r="TVX54" s="545"/>
      <c r="TVY54" s="545"/>
      <c r="TVZ54" s="545"/>
      <c r="TWA54" s="545"/>
      <c r="TWB54" s="544"/>
      <c r="TWC54" s="545"/>
      <c r="TWD54" s="545"/>
      <c r="TWE54" s="545"/>
      <c r="TWF54" s="545"/>
      <c r="TWG54" s="545"/>
      <c r="TWH54" s="545"/>
      <c r="TWI54" s="544"/>
      <c r="TWJ54" s="545"/>
      <c r="TWK54" s="545"/>
      <c r="TWL54" s="545"/>
      <c r="TWM54" s="545"/>
      <c r="TWN54" s="545"/>
      <c r="TWO54" s="545"/>
      <c r="TWP54" s="544"/>
      <c r="TWQ54" s="545"/>
      <c r="TWR54" s="545"/>
      <c r="TWS54" s="545"/>
      <c r="TWT54" s="545"/>
      <c r="TWU54" s="545"/>
      <c r="TWV54" s="545"/>
      <c r="TWW54" s="544"/>
      <c r="TWX54" s="545"/>
      <c r="TWY54" s="545"/>
      <c r="TWZ54" s="545"/>
      <c r="TXA54" s="545"/>
      <c r="TXB54" s="545"/>
      <c r="TXC54" s="545"/>
      <c r="TXD54" s="544"/>
      <c r="TXE54" s="545"/>
      <c r="TXF54" s="545"/>
      <c r="TXG54" s="545"/>
      <c r="TXH54" s="545"/>
      <c r="TXI54" s="545"/>
      <c r="TXJ54" s="545"/>
      <c r="TXK54" s="544"/>
      <c r="TXL54" s="545"/>
      <c r="TXM54" s="545"/>
      <c r="TXN54" s="545"/>
      <c r="TXO54" s="545"/>
      <c r="TXP54" s="545"/>
      <c r="TXQ54" s="545"/>
      <c r="TXR54" s="544"/>
      <c r="TXS54" s="545"/>
      <c r="TXT54" s="545"/>
      <c r="TXU54" s="545"/>
      <c r="TXV54" s="545"/>
      <c r="TXW54" s="545"/>
      <c r="TXX54" s="545"/>
      <c r="TXY54" s="544"/>
      <c r="TXZ54" s="545"/>
      <c r="TYA54" s="545"/>
      <c r="TYB54" s="545"/>
      <c r="TYC54" s="545"/>
      <c r="TYD54" s="545"/>
      <c r="TYE54" s="545"/>
      <c r="TYF54" s="544"/>
      <c r="TYG54" s="545"/>
      <c r="TYH54" s="545"/>
      <c r="TYI54" s="545"/>
      <c r="TYJ54" s="545"/>
      <c r="TYK54" s="545"/>
      <c r="TYL54" s="545"/>
      <c r="TYM54" s="544"/>
      <c r="TYN54" s="545"/>
      <c r="TYO54" s="545"/>
      <c r="TYP54" s="545"/>
      <c r="TYQ54" s="545"/>
      <c r="TYR54" s="545"/>
      <c r="TYS54" s="545"/>
      <c r="TYT54" s="544"/>
      <c r="TYU54" s="545"/>
      <c r="TYV54" s="545"/>
      <c r="TYW54" s="545"/>
      <c r="TYX54" s="545"/>
      <c r="TYY54" s="545"/>
      <c r="TYZ54" s="545"/>
      <c r="TZA54" s="544"/>
      <c r="TZB54" s="545"/>
      <c r="TZC54" s="545"/>
      <c r="TZD54" s="545"/>
      <c r="TZE54" s="545"/>
      <c r="TZF54" s="545"/>
      <c r="TZG54" s="545"/>
      <c r="TZH54" s="544"/>
      <c r="TZI54" s="545"/>
      <c r="TZJ54" s="545"/>
      <c r="TZK54" s="545"/>
      <c r="TZL54" s="545"/>
      <c r="TZM54" s="545"/>
      <c r="TZN54" s="545"/>
      <c r="TZO54" s="544"/>
      <c r="TZP54" s="545"/>
      <c r="TZQ54" s="545"/>
      <c r="TZR54" s="545"/>
      <c r="TZS54" s="545"/>
      <c r="TZT54" s="545"/>
      <c r="TZU54" s="545"/>
      <c r="TZV54" s="544"/>
      <c r="TZW54" s="545"/>
      <c r="TZX54" s="545"/>
      <c r="TZY54" s="545"/>
      <c r="TZZ54" s="545"/>
      <c r="UAA54" s="545"/>
      <c r="UAB54" s="545"/>
      <c r="UAC54" s="544"/>
      <c r="UAD54" s="545"/>
      <c r="UAE54" s="545"/>
      <c r="UAF54" s="545"/>
      <c r="UAG54" s="545"/>
      <c r="UAH54" s="545"/>
      <c r="UAI54" s="545"/>
      <c r="UAJ54" s="544"/>
      <c r="UAK54" s="545"/>
      <c r="UAL54" s="545"/>
      <c r="UAM54" s="545"/>
      <c r="UAN54" s="545"/>
      <c r="UAO54" s="545"/>
      <c r="UAP54" s="545"/>
      <c r="UAQ54" s="544"/>
      <c r="UAR54" s="545"/>
      <c r="UAS54" s="545"/>
      <c r="UAT54" s="545"/>
      <c r="UAU54" s="545"/>
      <c r="UAV54" s="545"/>
      <c r="UAW54" s="545"/>
      <c r="UAX54" s="544"/>
      <c r="UAY54" s="545"/>
      <c r="UAZ54" s="545"/>
      <c r="UBA54" s="545"/>
      <c r="UBB54" s="545"/>
      <c r="UBC54" s="545"/>
      <c r="UBD54" s="545"/>
      <c r="UBE54" s="544"/>
      <c r="UBF54" s="545"/>
      <c r="UBG54" s="545"/>
      <c r="UBH54" s="545"/>
      <c r="UBI54" s="545"/>
      <c r="UBJ54" s="545"/>
      <c r="UBK54" s="545"/>
      <c r="UBL54" s="544"/>
      <c r="UBM54" s="545"/>
      <c r="UBN54" s="545"/>
      <c r="UBO54" s="545"/>
      <c r="UBP54" s="545"/>
      <c r="UBQ54" s="545"/>
      <c r="UBR54" s="545"/>
      <c r="UBS54" s="544"/>
      <c r="UBT54" s="545"/>
      <c r="UBU54" s="545"/>
      <c r="UBV54" s="545"/>
      <c r="UBW54" s="545"/>
      <c r="UBX54" s="545"/>
      <c r="UBY54" s="545"/>
      <c r="UBZ54" s="544"/>
      <c r="UCA54" s="545"/>
      <c r="UCB54" s="545"/>
      <c r="UCC54" s="545"/>
      <c r="UCD54" s="545"/>
      <c r="UCE54" s="545"/>
      <c r="UCF54" s="545"/>
      <c r="UCG54" s="544"/>
      <c r="UCH54" s="545"/>
      <c r="UCI54" s="545"/>
      <c r="UCJ54" s="545"/>
      <c r="UCK54" s="545"/>
      <c r="UCL54" s="545"/>
      <c r="UCM54" s="545"/>
      <c r="UCN54" s="544"/>
      <c r="UCO54" s="545"/>
      <c r="UCP54" s="545"/>
      <c r="UCQ54" s="545"/>
      <c r="UCR54" s="545"/>
      <c r="UCS54" s="545"/>
      <c r="UCT54" s="545"/>
      <c r="UCU54" s="544"/>
      <c r="UCV54" s="545"/>
      <c r="UCW54" s="545"/>
      <c r="UCX54" s="545"/>
      <c r="UCY54" s="545"/>
      <c r="UCZ54" s="545"/>
      <c r="UDA54" s="545"/>
      <c r="UDB54" s="544"/>
      <c r="UDC54" s="545"/>
      <c r="UDD54" s="545"/>
      <c r="UDE54" s="545"/>
      <c r="UDF54" s="545"/>
      <c r="UDG54" s="545"/>
      <c r="UDH54" s="545"/>
      <c r="UDI54" s="544"/>
      <c r="UDJ54" s="545"/>
      <c r="UDK54" s="545"/>
      <c r="UDL54" s="545"/>
      <c r="UDM54" s="545"/>
      <c r="UDN54" s="545"/>
      <c r="UDO54" s="545"/>
      <c r="UDP54" s="544"/>
      <c r="UDQ54" s="545"/>
      <c r="UDR54" s="545"/>
      <c r="UDS54" s="545"/>
      <c r="UDT54" s="545"/>
      <c r="UDU54" s="545"/>
      <c r="UDV54" s="545"/>
      <c r="UDW54" s="544"/>
      <c r="UDX54" s="545"/>
      <c r="UDY54" s="545"/>
      <c r="UDZ54" s="545"/>
      <c r="UEA54" s="545"/>
      <c r="UEB54" s="545"/>
      <c r="UEC54" s="545"/>
      <c r="UED54" s="544"/>
      <c r="UEE54" s="545"/>
      <c r="UEF54" s="545"/>
      <c r="UEG54" s="545"/>
      <c r="UEH54" s="545"/>
      <c r="UEI54" s="545"/>
      <c r="UEJ54" s="545"/>
      <c r="UEK54" s="544"/>
      <c r="UEL54" s="545"/>
      <c r="UEM54" s="545"/>
      <c r="UEN54" s="545"/>
      <c r="UEO54" s="545"/>
      <c r="UEP54" s="545"/>
      <c r="UEQ54" s="545"/>
      <c r="UER54" s="544"/>
      <c r="UES54" s="545"/>
      <c r="UET54" s="545"/>
      <c r="UEU54" s="545"/>
      <c r="UEV54" s="545"/>
      <c r="UEW54" s="545"/>
      <c r="UEX54" s="545"/>
      <c r="UEY54" s="544"/>
      <c r="UEZ54" s="545"/>
      <c r="UFA54" s="545"/>
      <c r="UFB54" s="545"/>
      <c r="UFC54" s="545"/>
      <c r="UFD54" s="545"/>
      <c r="UFE54" s="545"/>
      <c r="UFF54" s="544"/>
      <c r="UFG54" s="545"/>
      <c r="UFH54" s="545"/>
      <c r="UFI54" s="545"/>
      <c r="UFJ54" s="545"/>
      <c r="UFK54" s="545"/>
      <c r="UFL54" s="545"/>
      <c r="UFM54" s="544"/>
      <c r="UFN54" s="545"/>
      <c r="UFO54" s="545"/>
      <c r="UFP54" s="545"/>
      <c r="UFQ54" s="545"/>
      <c r="UFR54" s="545"/>
      <c r="UFS54" s="545"/>
      <c r="UFT54" s="544"/>
      <c r="UFU54" s="545"/>
      <c r="UFV54" s="545"/>
      <c r="UFW54" s="545"/>
      <c r="UFX54" s="545"/>
      <c r="UFY54" s="545"/>
      <c r="UFZ54" s="545"/>
      <c r="UGA54" s="544"/>
      <c r="UGB54" s="545"/>
      <c r="UGC54" s="545"/>
      <c r="UGD54" s="545"/>
      <c r="UGE54" s="545"/>
      <c r="UGF54" s="545"/>
      <c r="UGG54" s="545"/>
      <c r="UGH54" s="544"/>
      <c r="UGI54" s="545"/>
      <c r="UGJ54" s="545"/>
      <c r="UGK54" s="545"/>
      <c r="UGL54" s="545"/>
      <c r="UGM54" s="545"/>
      <c r="UGN54" s="545"/>
      <c r="UGO54" s="544"/>
      <c r="UGP54" s="545"/>
      <c r="UGQ54" s="545"/>
      <c r="UGR54" s="545"/>
      <c r="UGS54" s="545"/>
      <c r="UGT54" s="545"/>
      <c r="UGU54" s="545"/>
      <c r="UGV54" s="544"/>
      <c r="UGW54" s="545"/>
      <c r="UGX54" s="545"/>
      <c r="UGY54" s="545"/>
      <c r="UGZ54" s="545"/>
      <c r="UHA54" s="545"/>
      <c r="UHB54" s="545"/>
      <c r="UHC54" s="544"/>
      <c r="UHD54" s="545"/>
      <c r="UHE54" s="545"/>
      <c r="UHF54" s="545"/>
      <c r="UHG54" s="545"/>
      <c r="UHH54" s="545"/>
      <c r="UHI54" s="545"/>
      <c r="UHJ54" s="544"/>
      <c r="UHK54" s="545"/>
      <c r="UHL54" s="545"/>
      <c r="UHM54" s="545"/>
      <c r="UHN54" s="545"/>
      <c r="UHO54" s="545"/>
      <c r="UHP54" s="545"/>
      <c r="UHQ54" s="544"/>
      <c r="UHR54" s="545"/>
      <c r="UHS54" s="545"/>
      <c r="UHT54" s="545"/>
      <c r="UHU54" s="545"/>
      <c r="UHV54" s="545"/>
      <c r="UHW54" s="545"/>
      <c r="UHX54" s="544"/>
      <c r="UHY54" s="545"/>
      <c r="UHZ54" s="545"/>
      <c r="UIA54" s="545"/>
      <c r="UIB54" s="545"/>
      <c r="UIC54" s="545"/>
      <c r="UID54" s="545"/>
      <c r="UIE54" s="544"/>
      <c r="UIF54" s="545"/>
      <c r="UIG54" s="545"/>
      <c r="UIH54" s="545"/>
      <c r="UII54" s="545"/>
      <c r="UIJ54" s="545"/>
      <c r="UIK54" s="545"/>
      <c r="UIL54" s="544"/>
      <c r="UIM54" s="545"/>
      <c r="UIN54" s="545"/>
      <c r="UIO54" s="545"/>
      <c r="UIP54" s="545"/>
      <c r="UIQ54" s="545"/>
      <c r="UIR54" s="545"/>
      <c r="UIS54" s="544"/>
      <c r="UIT54" s="545"/>
      <c r="UIU54" s="545"/>
      <c r="UIV54" s="545"/>
      <c r="UIW54" s="545"/>
      <c r="UIX54" s="545"/>
      <c r="UIY54" s="545"/>
      <c r="UIZ54" s="544"/>
      <c r="UJA54" s="545"/>
      <c r="UJB54" s="545"/>
      <c r="UJC54" s="545"/>
      <c r="UJD54" s="545"/>
      <c r="UJE54" s="545"/>
      <c r="UJF54" s="545"/>
      <c r="UJG54" s="544"/>
      <c r="UJH54" s="545"/>
      <c r="UJI54" s="545"/>
      <c r="UJJ54" s="545"/>
      <c r="UJK54" s="545"/>
      <c r="UJL54" s="545"/>
      <c r="UJM54" s="545"/>
      <c r="UJN54" s="544"/>
      <c r="UJO54" s="545"/>
      <c r="UJP54" s="545"/>
      <c r="UJQ54" s="545"/>
      <c r="UJR54" s="545"/>
      <c r="UJS54" s="545"/>
      <c r="UJT54" s="545"/>
      <c r="UJU54" s="544"/>
      <c r="UJV54" s="545"/>
      <c r="UJW54" s="545"/>
      <c r="UJX54" s="545"/>
      <c r="UJY54" s="545"/>
      <c r="UJZ54" s="545"/>
      <c r="UKA54" s="545"/>
      <c r="UKB54" s="544"/>
      <c r="UKC54" s="545"/>
      <c r="UKD54" s="545"/>
      <c r="UKE54" s="545"/>
      <c r="UKF54" s="545"/>
      <c r="UKG54" s="545"/>
      <c r="UKH54" s="545"/>
      <c r="UKI54" s="544"/>
      <c r="UKJ54" s="545"/>
      <c r="UKK54" s="545"/>
      <c r="UKL54" s="545"/>
      <c r="UKM54" s="545"/>
      <c r="UKN54" s="545"/>
      <c r="UKO54" s="545"/>
      <c r="UKP54" s="544"/>
      <c r="UKQ54" s="545"/>
      <c r="UKR54" s="545"/>
      <c r="UKS54" s="545"/>
      <c r="UKT54" s="545"/>
      <c r="UKU54" s="545"/>
      <c r="UKV54" s="545"/>
      <c r="UKW54" s="544"/>
      <c r="UKX54" s="545"/>
      <c r="UKY54" s="545"/>
      <c r="UKZ54" s="545"/>
      <c r="ULA54" s="545"/>
      <c r="ULB54" s="545"/>
      <c r="ULC54" s="545"/>
      <c r="ULD54" s="544"/>
      <c r="ULE54" s="545"/>
      <c r="ULF54" s="545"/>
      <c r="ULG54" s="545"/>
      <c r="ULH54" s="545"/>
      <c r="ULI54" s="545"/>
      <c r="ULJ54" s="545"/>
      <c r="ULK54" s="544"/>
      <c r="ULL54" s="545"/>
      <c r="ULM54" s="545"/>
      <c r="ULN54" s="545"/>
      <c r="ULO54" s="545"/>
      <c r="ULP54" s="545"/>
      <c r="ULQ54" s="545"/>
      <c r="ULR54" s="544"/>
      <c r="ULS54" s="545"/>
      <c r="ULT54" s="545"/>
      <c r="ULU54" s="545"/>
      <c r="ULV54" s="545"/>
      <c r="ULW54" s="545"/>
      <c r="ULX54" s="545"/>
      <c r="ULY54" s="544"/>
      <c r="ULZ54" s="545"/>
      <c r="UMA54" s="545"/>
      <c r="UMB54" s="545"/>
      <c r="UMC54" s="545"/>
      <c r="UMD54" s="545"/>
      <c r="UME54" s="545"/>
      <c r="UMF54" s="544"/>
      <c r="UMG54" s="545"/>
      <c r="UMH54" s="545"/>
      <c r="UMI54" s="545"/>
      <c r="UMJ54" s="545"/>
      <c r="UMK54" s="545"/>
      <c r="UML54" s="545"/>
      <c r="UMM54" s="544"/>
      <c r="UMN54" s="545"/>
      <c r="UMO54" s="545"/>
      <c r="UMP54" s="545"/>
      <c r="UMQ54" s="545"/>
      <c r="UMR54" s="545"/>
      <c r="UMS54" s="545"/>
      <c r="UMT54" s="544"/>
      <c r="UMU54" s="545"/>
      <c r="UMV54" s="545"/>
      <c r="UMW54" s="545"/>
      <c r="UMX54" s="545"/>
      <c r="UMY54" s="545"/>
      <c r="UMZ54" s="545"/>
      <c r="UNA54" s="544"/>
      <c r="UNB54" s="545"/>
      <c r="UNC54" s="545"/>
      <c r="UND54" s="545"/>
      <c r="UNE54" s="545"/>
      <c r="UNF54" s="545"/>
      <c r="UNG54" s="545"/>
      <c r="UNH54" s="544"/>
      <c r="UNI54" s="545"/>
      <c r="UNJ54" s="545"/>
      <c r="UNK54" s="545"/>
      <c r="UNL54" s="545"/>
      <c r="UNM54" s="545"/>
      <c r="UNN54" s="545"/>
      <c r="UNO54" s="544"/>
      <c r="UNP54" s="545"/>
      <c r="UNQ54" s="545"/>
      <c r="UNR54" s="545"/>
      <c r="UNS54" s="545"/>
      <c r="UNT54" s="545"/>
      <c r="UNU54" s="545"/>
      <c r="UNV54" s="544"/>
      <c r="UNW54" s="545"/>
      <c r="UNX54" s="545"/>
      <c r="UNY54" s="545"/>
      <c r="UNZ54" s="545"/>
      <c r="UOA54" s="545"/>
      <c r="UOB54" s="545"/>
      <c r="UOC54" s="544"/>
      <c r="UOD54" s="545"/>
      <c r="UOE54" s="545"/>
      <c r="UOF54" s="545"/>
      <c r="UOG54" s="545"/>
      <c r="UOH54" s="545"/>
      <c r="UOI54" s="545"/>
      <c r="UOJ54" s="544"/>
      <c r="UOK54" s="545"/>
      <c r="UOL54" s="545"/>
      <c r="UOM54" s="545"/>
      <c r="UON54" s="545"/>
      <c r="UOO54" s="545"/>
      <c r="UOP54" s="545"/>
      <c r="UOQ54" s="544"/>
      <c r="UOR54" s="545"/>
      <c r="UOS54" s="545"/>
      <c r="UOT54" s="545"/>
      <c r="UOU54" s="545"/>
      <c r="UOV54" s="545"/>
      <c r="UOW54" s="545"/>
      <c r="UOX54" s="544"/>
      <c r="UOY54" s="545"/>
      <c r="UOZ54" s="545"/>
      <c r="UPA54" s="545"/>
      <c r="UPB54" s="545"/>
      <c r="UPC54" s="545"/>
      <c r="UPD54" s="545"/>
      <c r="UPE54" s="544"/>
      <c r="UPF54" s="545"/>
      <c r="UPG54" s="545"/>
      <c r="UPH54" s="545"/>
      <c r="UPI54" s="545"/>
      <c r="UPJ54" s="545"/>
      <c r="UPK54" s="545"/>
      <c r="UPL54" s="544"/>
      <c r="UPM54" s="545"/>
      <c r="UPN54" s="545"/>
      <c r="UPO54" s="545"/>
      <c r="UPP54" s="545"/>
      <c r="UPQ54" s="545"/>
      <c r="UPR54" s="545"/>
      <c r="UPS54" s="544"/>
      <c r="UPT54" s="545"/>
      <c r="UPU54" s="545"/>
      <c r="UPV54" s="545"/>
      <c r="UPW54" s="545"/>
      <c r="UPX54" s="545"/>
      <c r="UPY54" s="545"/>
      <c r="UPZ54" s="544"/>
      <c r="UQA54" s="545"/>
      <c r="UQB54" s="545"/>
      <c r="UQC54" s="545"/>
      <c r="UQD54" s="545"/>
      <c r="UQE54" s="545"/>
      <c r="UQF54" s="545"/>
      <c r="UQG54" s="544"/>
      <c r="UQH54" s="545"/>
      <c r="UQI54" s="545"/>
      <c r="UQJ54" s="545"/>
      <c r="UQK54" s="545"/>
      <c r="UQL54" s="545"/>
      <c r="UQM54" s="545"/>
      <c r="UQN54" s="544"/>
      <c r="UQO54" s="545"/>
      <c r="UQP54" s="545"/>
      <c r="UQQ54" s="545"/>
      <c r="UQR54" s="545"/>
      <c r="UQS54" s="545"/>
      <c r="UQT54" s="545"/>
      <c r="UQU54" s="544"/>
      <c r="UQV54" s="545"/>
      <c r="UQW54" s="545"/>
      <c r="UQX54" s="545"/>
      <c r="UQY54" s="545"/>
      <c r="UQZ54" s="545"/>
      <c r="URA54" s="545"/>
      <c r="URB54" s="544"/>
      <c r="URC54" s="545"/>
      <c r="URD54" s="545"/>
      <c r="URE54" s="545"/>
      <c r="URF54" s="545"/>
      <c r="URG54" s="545"/>
      <c r="URH54" s="545"/>
      <c r="URI54" s="544"/>
      <c r="URJ54" s="545"/>
      <c r="URK54" s="545"/>
      <c r="URL54" s="545"/>
      <c r="URM54" s="545"/>
      <c r="URN54" s="545"/>
      <c r="URO54" s="545"/>
      <c r="URP54" s="544"/>
      <c r="URQ54" s="545"/>
      <c r="URR54" s="545"/>
      <c r="URS54" s="545"/>
      <c r="URT54" s="545"/>
      <c r="URU54" s="545"/>
      <c r="URV54" s="545"/>
      <c r="URW54" s="544"/>
      <c r="URX54" s="545"/>
      <c r="URY54" s="545"/>
      <c r="URZ54" s="545"/>
      <c r="USA54" s="545"/>
      <c r="USB54" s="545"/>
      <c r="USC54" s="545"/>
      <c r="USD54" s="544"/>
      <c r="USE54" s="545"/>
      <c r="USF54" s="545"/>
      <c r="USG54" s="545"/>
      <c r="USH54" s="545"/>
      <c r="USI54" s="545"/>
      <c r="USJ54" s="545"/>
      <c r="USK54" s="544"/>
      <c r="USL54" s="545"/>
      <c r="USM54" s="545"/>
      <c r="USN54" s="545"/>
      <c r="USO54" s="545"/>
      <c r="USP54" s="545"/>
      <c r="USQ54" s="545"/>
      <c r="USR54" s="544"/>
      <c r="USS54" s="545"/>
      <c r="UST54" s="545"/>
      <c r="USU54" s="545"/>
      <c r="USV54" s="545"/>
      <c r="USW54" s="545"/>
      <c r="USX54" s="545"/>
      <c r="USY54" s="544"/>
      <c r="USZ54" s="545"/>
      <c r="UTA54" s="545"/>
      <c r="UTB54" s="545"/>
      <c r="UTC54" s="545"/>
      <c r="UTD54" s="545"/>
      <c r="UTE54" s="545"/>
      <c r="UTF54" s="544"/>
      <c r="UTG54" s="545"/>
      <c r="UTH54" s="545"/>
      <c r="UTI54" s="545"/>
      <c r="UTJ54" s="545"/>
      <c r="UTK54" s="545"/>
      <c r="UTL54" s="545"/>
      <c r="UTM54" s="544"/>
      <c r="UTN54" s="545"/>
      <c r="UTO54" s="545"/>
      <c r="UTP54" s="545"/>
      <c r="UTQ54" s="545"/>
      <c r="UTR54" s="545"/>
      <c r="UTS54" s="545"/>
      <c r="UTT54" s="544"/>
      <c r="UTU54" s="545"/>
      <c r="UTV54" s="545"/>
      <c r="UTW54" s="545"/>
      <c r="UTX54" s="545"/>
      <c r="UTY54" s="545"/>
      <c r="UTZ54" s="545"/>
      <c r="UUA54" s="544"/>
      <c r="UUB54" s="545"/>
      <c r="UUC54" s="545"/>
      <c r="UUD54" s="545"/>
      <c r="UUE54" s="545"/>
      <c r="UUF54" s="545"/>
      <c r="UUG54" s="545"/>
      <c r="UUH54" s="544"/>
      <c r="UUI54" s="545"/>
      <c r="UUJ54" s="545"/>
      <c r="UUK54" s="545"/>
      <c r="UUL54" s="545"/>
      <c r="UUM54" s="545"/>
      <c r="UUN54" s="545"/>
      <c r="UUO54" s="544"/>
      <c r="UUP54" s="545"/>
      <c r="UUQ54" s="545"/>
      <c r="UUR54" s="545"/>
      <c r="UUS54" s="545"/>
      <c r="UUT54" s="545"/>
      <c r="UUU54" s="545"/>
      <c r="UUV54" s="544"/>
      <c r="UUW54" s="545"/>
      <c r="UUX54" s="545"/>
      <c r="UUY54" s="545"/>
      <c r="UUZ54" s="545"/>
      <c r="UVA54" s="545"/>
      <c r="UVB54" s="545"/>
      <c r="UVC54" s="544"/>
      <c r="UVD54" s="545"/>
      <c r="UVE54" s="545"/>
      <c r="UVF54" s="545"/>
      <c r="UVG54" s="545"/>
      <c r="UVH54" s="545"/>
      <c r="UVI54" s="545"/>
      <c r="UVJ54" s="544"/>
      <c r="UVK54" s="545"/>
      <c r="UVL54" s="545"/>
      <c r="UVM54" s="545"/>
      <c r="UVN54" s="545"/>
      <c r="UVO54" s="545"/>
      <c r="UVP54" s="545"/>
      <c r="UVQ54" s="544"/>
      <c r="UVR54" s="545"/>
      <c r="UVS54" s="545"/>
      <c r="UVT54" s="545"/>
      <c r="UVU54" s="545"/>
      <c r="UVV54" s="545"/>
      <c r="UVW54" s="545"/>
      <c r="UVX54" s="544"/>
      <c r="UVY54" s="545"/>
      <c r="UVZ54" s="545"/>
      <c r="UWA54" s="545"/>
      <c r="UWB54" s="545"/>
      <c r="UWC54" s="545"/>
      <c r="UWD54" s="545"/>
      <c r="UWE54" s="544"/>
      <c r="UWF54" s="545"/>
      <c r="UWG54" s="545"/>
      <c r="UWH54" s="545"/>
      <c r="UWI54" s="545"/>
      <c r="UWJ54" s="545"/>
      <c r="UWK54" s="545"/>
      <c r="UWL54" s="544"/>
      <c r="UWM54" s="545"/>
      <c r="UWN54" s="545"/>
      <c r="UWO54" s="545"/>
      <c r="UWP54" s="545"/>
      <c r="UWQ54" s="545"/>
      <c r="UWR54" s="545"/>
      <c r="UWS54" s="544"/>
      <c r="UWT54" s="545"/>
      <c r="UWU54" s="545"/>
      <c r="UWV54" s="545"/>
      <c r="UWW54" s="545"/>
      <c r="UWX54" s="545"/>
      <c r="UWY54" s="545"/>
      <c r="UWZ54" s="544"/>
      <c r="UXA54" s="545"/>
      <c r="UXB54" s="545"/>
      <c r="UXC54" s="545"/>
      <c r="UXD54" s="545"/>
      <c r="UXE54" s="545"/>
      <c r="UXF54" s="545"/>
      <c r="UXG54" s="544"/>
      <c r="UXH54" s="545"/>
      <c r="UXI54" s="545"/>
      <c r="UXJ54" s="545"/>
      <c r="UXK54" s="545"/>
      <c r="UXL54" s="545"/>
      <c r="UXM54" s="545"/>
      <c r="UXN54" s="544"/>
      <c r="UXO54" s="545"/>
      <c r="UXP54" s="545"/>
      <c r="UXQ54" s="545"/>
      <c r="UXR54" s="545"/>
      <c r="UXS54" s="545"/>
      <c r="UXT54" s="545"/>
      <c r="UXU54" s="544"/>
      <c r="UXV54" s="545"/>
      <c r="UXW54" s="545"/>
      <c r="UXX54" s="545"/>
      <c r="UXY54" s="545"/>
      <c r="UXZ54" s="545"/>
      <c r="UYA54" s="545"/>
      <c r="UYB54" s="544"/>
      <c r="UYC54" s="545"/>
      <c r="UYD54" s="545"/>
      <c r="UYE54" s="545"/>
      <c r="UYF54" s="545"/>
      <c r="UYG54" s="545"/>
      <c r="UYH54" s="545"/>
      <c r="UYI54" s="544"/>
      <c r="UYJ54" s="545"/>
      <c r="UYK54" s="545"/>
      <c r="UYL54" s="545"/>
      <c r="UYM54" s="545"/>
      <c r="UYN54" s="545"/>
      <c r="UYO54" s="545"/>
      <c r="UYP54" s="544"/>
      <c r="UYQ54" s="545"/>
      <c r="UYR54" s="545"/>
      <c r="UYS54" s="545"/>
      <c r="UYT54" s="545"/>
      <c r="UYU54" s="545"/>
      <c r="UYV54" s="545"/>
      <c r="UYW54" s="544"/>
      <c r="UYX54" s="545"/>
      <c r="UYY54" s="545"/>
      <c r="UYZ54" s="545"/>
      <c r="UZA54" s="545"/>
      <c r="UZB54" s="545"/>
      <c r="UZC54" s="545"/>
      <c r="UZD54" s="544"/>
      <c r="UZE54" s="545"/>
      <c r="UZF54" s="545"/>
      <c r="UZG54" s="545"/>
      <c r="UZH54" s="545"/>
      <c r="UZI54" s="545"/>
      <c r="UZJ54" s="545"/>
      <c r="UZK54" s="544"/>
      <c r="UZL54" s="545"/>
      <c r="UZM54" s="545"/>
      <c r="UZN54" s="545"/>
      <c r="UZO54" s="545"/>
      <c r="UZP54" s="545"/>
      <c r="UZQ54" s="545"/>
      <c r="UZR54" s="544"/>
      <c r="UZS54" s="545"/>
      <c r="UZT54" s="545"/>
      <c r="UZU54" s="545"/>
      <c r="UZV54" s="545"/>
      <c r="UZW54" s="545"/>
      <c r="UZX54" s="545"/>
      <c r="UZY54" s="544"/>
      <c r="UZZ54" s="545"/>
      <c r="VAA54" s="545"/>
      <c r="VAB54" s="545"/>
      <c r="VAC54" s="545"/>
      <c r="VAD54" s="545"/>
      <c r="VAE54" s="545"/>
      <c r="VAF54" s="544"/>
      <c r="VAG54" s="545"/>
      <c r="VAH54" s="545"/>
      <c r="VAI54" s="545"/>
      <c r="VAJ54" s="545"/>
      <c r="VAK54" s="545"/>
      <c r="VAL54" s="545"/>
      <c r="VAM54" s="544"/>
      <c r="VAN54" s="545"/>
      <c r="VAO54" s="545"/>
      <c r="VAP54" s="545"/>
      <c r="VAQ54" s="545"/>
      <c r="VAR54" s="545"/>
      <c r="VAS54" s="545"/>
      <c r="VAT54" s="544"/>
      <c r="VAU54" s="545"/>
      <c r="VAV54" s="545"/>
      <c r="VAW54" s="545"/>
      <c r="VAX54" s="545"/>
      <c r="VAY54" s="545"/>
      <c r="VAZ54" s="545"/>
      <c r="VBA54" s="544"/>
      <c r="VBB54" s="545"/>
      <c r="VBC54" s="545"/>
      <c r="VBD54" s="545"/>
      <c r="VBE54" s="545"/>
      <c r="VBF54" s="545"/>
      <c r="VBG54" s="545"/>
      <c r="VBH54" s="544"/>
      <c r="VBI54" s="545"/>
      <c r="VBJ54" s="545"/>
      <c r="VBK54" s="545"/>
      <c r="VBL54" s="545"/>
      <c r="VBM54" s="545"/>
      <c r="VBN54" s="545"/>
      <c r="VBO54" s="544"/>
      <c r="VBP54" s="545"/>
      <c r="VBQ54" s="545"/>
      <c r="VBR54" s="545"/>
      <c r="VBS54" s="545"/>
      <c r="VBT54" s="545"/>
      <c r="VBU54" s="545"/>
      <c r="VBV54" s="544"/>
      <c r="VBW54" s="545"/>
      <c r="VBX54" s="545"/>
      <c r="VBY54" s="545"/>
      <c r="VBZ54" s="545"/>
      <c r="VCA54" s="545"/>
      <c r="VCB54" s="545"/>
      <c r="VCC54" s="544"/>
      <c r="VCD54" s="545"/>
      <c r="VCE54" s="545"/>
      <c r="VCF54" s="545"/>
      <c r="VCG54" s="545"/>
      <c r="VCH54" s="545"/>
      <c r="VCI54" s="545"/>
      <c r="VCJ54" s="544"/>
      <c r="VCK54" s="545"/>
      <c r="VCL54" s="545"/>
      <c r="VCM54" s="545"/>
      <c r="VCN54" s="545"/>
      <c r="VCO54" s="545"/>
      <c r="VCP54" s="545"/>
      <c r="VCQ54" s="544"/>
      <c r="VCR54" s="545"/>
      <c r="VCS54" s="545"/>
      <c r="VCT54" s="545"/>
      <c r="VCU54" s="545"/>
      <c r="VCV54" s="545"/>
      <c r="VCW54" s="545"/>
      <c r="VCX54" s="544"/>
      <c r="VCY54" s="545"/>
      <c r="VCZ54" s="545"/>
      <c r="VDA54" s="545"/>
      <c r="VDB54" s="545"/>
      <c r="VDC54" s="545"/>
      <c r="VDD54" s="545"/>
      <c r="VDE54" s="544"/>
      <c r="VDF54" s="545"/>
      <c r="VDG54" s="545"/>
      <c r="VDH54" s="545"/>
      <c r="VDI54" s="545"/>
      <c r="VDJ54" s="545"/>
      <c r="VDK54" s="545"/>
      <c r="VDL54" s="544"/>
      <c r="VDM54" s="545"/>
      <c r="VDN54" s="545"/>
      <c r="VDO54" s="545"/>
      <c r="VDP54" s="545"/>
      <c r="VDQ54" s="545"/>
      <c r="VDR54" s="545"/>
      <c r="VDS54" s="544"/>
      <c r="VDT54" s="545"/>
      <c r="VDU54" s="545"/>
      <c r="VDV54" s="545"/>
      <c r="VDW54" s="545"/>
      <c r="VDX54" s="545"/>
      <c r="VDY54" s="545"/>
      <c r="VDZ54" s="544"/>
      <c r="VEA54" s="545"/>
      <c r="VEB54" s="545"/>
      <c r="VEC54" s="545"/>
      <c r="VED54" s="545"/>
      <c r="VEE54" s="545"/>
      <c r="VEF54" s="545"/>
      <c r="VEG54" s="544"/>
      <c r="VEH54" s="545"/>
      <c r="VEI54" s="545"/>
      <c r="VEJ54" s="545"/>
      <c r="VEK54" s="545"/>
      <c r="VEL54" s="545"/>
      <c r="VEM54" s="545"/>
      <c r="VEN54" s="544"/>
      <c r="VEO54" s="545"/>
      <c r="VEP54" s="545"/>
      <c r="VEQ54" s="545"/>
      <c r="VER54" s="545"/>
      <c r="VES54" s="545"/>
      <c r="VET54" s="545"/>
      <c r="VEU54" s="544"/>
      <c r="VEV54" s="545"/>
      <c r="VEW54" s="545"/>
      <c r="VEX54" s="545"/>
      <c r="VEY54" s="545"/>
      <c r="VEZ54" s="545"/>
      <c r="VFA54" s="545"/>
      <c r="VFB54" s="544"/>
      <c r="VFC54" s="545"/>
      <c r="VFD54" s="545"/>
      <c r="VFE54" s="545"/>
      <c r="VFF54" s="545"/>
      <c r="VFG54" s="545"/>
      <c r="VFH54" s="545"/>
      <c r="VFI54" s="544"/>
      <c r="VFJ54" s="545"/>
      <c r="VFK54" s="545"/>
      <c r="VFL54" s="545"/>
      <c r="VFM54" s="545"/>
      <c r="VFN54" s="545"/>
      <c r="VFO54" s="545"/>
      <c r="VFP54" s="544"/>
      <c r="VFQ54" s="545"/>
      <c r="VFR54" s="545"/>
      <c r="VFS54" s="545"/>
      <c r="VFT54" s="545"/>
      <c r="VFU54" s="545"/>
      <c r="VFV54" s="545"/>
      <c r="VFW54" s="544"/>
      <c r="VFX54" s="545"/>
      <c r="VFY54" s="545"/>
      <c r="VFZ54" s="545"/>
      <c r="VGA54" s="545"/>
      <c r="VGB54" s="545"/>
      <c r="VGC54" s="545"/>
      <c r="VGD54" s="544"/>
      <c r="VGE54" s="545"/>
      <c r="VGF54" s="545"/>
      <c r="VGG54" s="545"/>
      <c r="VGH54" s="545"/>
      <c r="VGI54" s="545"/>
      <c r="VGJ54" s="545"/>
      <c r="VGK54" s="544"/>
      <c r="VGL54" s="545"/>
      <c r="VGM54" s="545"/>
      <c r="VGN54" s="545"/>
      <c r="VGO54" s="545"/>
      <c r="VGP54" s="545"/>
      <c r="VGQ54" s="545"/>
      <c r="VGR54" s="544"/>
      <c r="VGS54" s="545"/>
      <c r="VGT54" s="545"/>
      <c r="VGU54" s="545"/>
      <c r="VGV54" s="545"/>
      <c r="VGW54" s="545"/>
      <c r="VGX54" s="545"/>
      <c r="VGY54" s="544"/>
      <c r="VGZ54" s="545"/>
      <c r="VHA54" s="545"/>
      <c r="VHB54" s="545"/>
      <c r="VHC54" s="545"/>
      <c r="VHD54" s="545"/>
      <c r="VHE54" s="545"/>
      <c r="VHF54" s="544"/>
      <c r="VHG54" s="545"/>
      <c r="VHH54" s="545"/>
      <c r="VHI54" s="545"/>
      <c r="VHJ54" s="545"/>
      <c r="VHK54" s="545"/>
      <c r="VHL54" s="545"/>
      <c r="VHM54" s="544"/>
      <c r="VHN54" s="545"/>
      <c r="VHO54" s="545"/>
      <c r="VHP54" s="545"/>
      <c r="VHQ54" s="545"/>
      <c r="VHR54" s="545"/>
      <c r="VHS54" s="545"/>
      <c r="VHT54" s="544"/>
      <c r="VHU54" s="545"/>
      <c r="VHV54" s="545"/>
      <c r="VHW54" s="545"/>
      <c r="VHX54" s="545"/>
      <c r="VHY54" s="545"/>
      <c r="VHZ54" s="545"/>
      <c r="VIA54" s="544"/>
      <c r="VIB54" s="545"/>
      <c r="VIC54" s="545"/>
      <c r="VID54" s="545"/>
      <c r="VIE54" s="545"/>
      <c r="VIF54" s="545"/>
      <c r="VIG54" s="545"/>
      <c r="VIH54" s="544"/>
      <c r="VII54" s="545"/>
      <c r="VIJ54" s="545"/>
      <c r="VIK54" s="545"/>
      <c r="VIL54" s="545"/>
      <c r="VIM54" s="545"/>
      <c r="VIN54" s="545"/>
      <c r="VIO54" s="544"/>
      <c r="VIP54" s="545"/>
      <c r="VIQ54" s="545"/>
      <c r="VIR54" s="545"/>
      <c r="VIS54" s="545"/>
      <c r="VIT54" s="545"/>
      <c r="VIU54" s="545"/>
      <c r="VIV54" s="544"/>
      <c r="VIW54" s="545"/>
      <c r="VIX54" s="545"/>
      <c r="VIY54" s="545"/>
      <c r="VIZ54" s="545"/>
      <c r="VJA54" s="545"/>
      <c r="VJB54" s="545"/>
      <c r="VJC54" s="544"/>
      <c r="VJD54" s="545"/>
      <c r="VJE54" s="545"/>
      <c r="VJF54" s="545"/>
      <c r="VJG54" s="545"/>
      <c r="VJH54" s="545"/>
      <c r="VJI54" s="545"/>
      <c r="VJJ54" s="544"/>
      <c r="VJK54" s="545"/>
      <c r="VJL54" s="545"/>
      <c r="VJM54" s="545"/>
      <c r="VJN54" s="545"/>
      <c r="VJO54" s="545"/>
      <c r="VJP54" s="545"/>
      <c r="VJQ54" s="544"/>
      <c r="VJR54" s="545"/>
      <c r="VJS54" s="545"/>
      <c r="VJT54" s="545"/>
      <c r="VJU54" s="545"/>
      <c r="VJV54" s="545"/>
      <c r="VJW54" s="545"/>
      <c r="VJX54" s="544"/>
      <c r="VJY54" s="545"/>
      <c r="VJZ54" s="545"/>
      <c r="VKA54" s="545"/>
      <c r="VKB54" s="545"/>
      <c r="VKC54" s="545"/>
      <c r="VKD54" s="545"/>
      <c r="VKE54" s="544"/>
      <c r="VKF54" s="545"/>
      <c r="VKG54" s="545"/>
      <c r="VKH54" s="545"/>
      <c r="VKI54" s="545"/>
      <c r="VKJ54" s="545"/>
      <c r="VKK54" s="545"/>
      <c r="VKL54" s="544"/>
      <c r="VKM54" s="545"/>
      <c r="VKN54" s="545"/>
      <c r="VKO54" s="545"/>
      <c r="VKP54" s="545"/>
      <c r="VKQ54" s="545"/>
      <c r="VKR54" s="545"/>
      <c r="VKS54" s="544"/>
      <c r="VKT54" s="545"/>
      <c r="VKU54" s="545"/>
      <c r="VKV54" s="545"/>
      <c r="VKW54" s="545"/>
      <c r="VKX54" s="545"/>
      <c r="VKY54" s="545"/>
      <c r="VKZ54" s="544"/>
      <c r="VLA54" s="545"/>
      <c r="VLB54" s="545"/>
      <c r="VLC54" s="545"/>
      <c r="VLD54" s="545"/>
      <c r="VLE54" s="545"/>
      <c r="VLF54" s="545"/>
      <c r="VLG54" s="544"/>
      <c r="VLH54" s="545"/>
      <c r="VLI54" s="545"/>
      <c r="VLJ54" s="545"/>
      <c r="VLK54" s="545"/>
      <c r="VLL54" s="545"/>
      <c r="VLM54" s="545"/>
      <c r="VLN54" s="544"/>
      <c r="VLO54" s="545"/>
      <c r="VLP54" s="545"/>
      <c r="VLQ54" s="545"/>
      <c r="VLR54" s="545"/>
      <c r="VLS54" s="545"/>
      <c r="VLT54" s="545"/>
      <c r="VLU54" s="544"/>
      <c r="VLV54" s="545"/>
      <c r="VLW54" s="545"/>
      <c r="VLX54" s="545"/>
      <c r="VLY54" s="545"/>
      <c r="VLZ54" s="545"/>
      <c r="VMA54" s="545"/>
      <c r="VMB54" s="544"/>
      <c r="VMC54" s="545"/>
      <c r="VMD54" s="545"/>
      <c r="VME54" s="545"/>
      <c r="VMF54" s="545"/>
      <c r="VMG54" s="545"/>
      <c r="VMH54" s="545"/>
      <c r="VMI54" s="544"/>
      <c r="VMJ54" s="545"/>
      <c r="VMK54" s="545"/>
      <c r="VML54" s="545"/>
      <c r="VMM54" s="545"/>
      <c r="VMN54" s="545"/>
      <c r="VMO54" s="545"/>
      <c r="VMP54" s="544"/>
      <c r="VMQ54" s="545"/>
      <c r="VMR54" s="545"/>
      <c r="VMS54" s="545"/>
      <c r="VMT54" s="545"/>
      <c r="VMU54" s="545"/>
      <c r="VMV54" s="545"/>
      <c r="VMW54" s="544"/>
      <c r="VMX54" s="545"/>
      <c r="VMY54" s="545"/>
      <c r="VMZ54" s="545"/>
      <c r="VNA54" s="545"/>
      <c r="VNB54" s="545"/>
      <c r="VNC54" s="545"/>
      <c r="VND54" s="544"/>
      <c r="VNE54" s="545"/>
      <c r="VNF54" s="545"/>
      <c r="VNG54" s="545"/>
      <c r="VNH54" s="545"/>
      <c r="VNI54" s="545"/>
      <c r="VNJ54" s="545"/>
      <c r="VNK54" s="544"/>
      <c r="VNL54" s="545"/>
      <c r="VNM54" s="545"/>
      <c r="VNN54" s="545"/>
      <c r="VNO54" s="545"/>
      <c r="VNP54" s="545"/>
      <c r="VNQ54" s="545"/>
      <c r="VNR54" s="544"/>
      <c r="VNS54" s="545"/>
      <c r="VNT54" s="545"/>
      <c r="VNU54" s="545"/>
      <c r="VNV54" s="545"/>
      <c r="VNW54" s="545"/>
      <c r="VNX54" s="545"/>
      <c r="VNY54" s="544"/>
      <c r="VNZ54" s="545"/>
      <c r="VOA54" s="545"/>
      <c r="VOB54" s="545"/>
      <c r="VOC54" s="545"/>
      <c r="VOD54" s="545"/>
      <c r="VOE54" s="545"/>
      <c r="VOF54" s="544"/>
      <c r="VOG54" s="545"/>
      <c r="VOH54" s="545"/>
      <c r="VOI54" s="545"/>
      <c r="VOJ54" s="545"/>
      <c r="VOK54" s="545"/>
      <c r="VOL54" s="545"/>
      <c r="VOM54" s="544"/>
      <c r="VON54" s="545"/>
      <c r="VOO54" s="545"/>
      <c r="VOP54" s="545"/>
      <c r="VOQ54" s="545"/>
      <c r="VOR54" s="545"/>
      <c r="VOS54" s="545"/>
      <c r="VOT54" s="544"/>
      <c r="VOU54" s="545"/>
      <c r="VOV54" s="545"/>
      <c r="VOW54" s="545"/>
      <c r="VOX54" s="545"/>
      <c r="VOY54" s="545"/>
      <c r="VOZ54" s="545"/>
      <c r="VPA54" s="544"/>
      <c r="VPB54" s="545"/>
      <c r="VPC54" s="545"/>
      <c r="VPD54" s="545"/>
      <c r="VPE54" s="545"/>
      <c r="VPF54" s="545"/>
      <c r="VPG54" s="545"/>
      <c r="VPH54" s="544"/>
      <c r="VPI54" s="545"/>
      <c r="VPJ54" s="545"/>
      <c r="VPK54" s="545"/>
      <c r="VPL54" s="545"/>
      <c r="VPM54" s="545"/>
      <c r="VPN54" s="545"/>
      <c r="VPO54" s="544"/>
      <c r="VPP54" s="545"/>
      <c r="VPQ54" s="545"/>
      <c r="VPR54" s="545"/>
      <c r="VPS54" s="545"/>
      <c r="VPT54" s="545"/>
      <c r="VPU54" s="545"/>
      <c r="VPV54" s="544"/>
      <c r="VPW54" s="545"/>
      <c r="VPX54" s="545"/>
      <c r="VPY54" s="545"/>
      <c r="VPZ54" s="545"/>
      <c r="VQA54" s="545"/>
      <c r="VQB54" s="545"/>
      <c r="VQC54" s="544"/>
      <c r="VQD54" s="545"/>
      <c r="VQE54" s="545"/>
      <c r="VQF54" s="545"/>
      <c r="VQG54" s="545"/>
      <c r="VQH54" s="545"/>
      <c r="VQI54" s="545"/>
      <c r="VQJ54" s="544"/>
      <c r="VQK54" s="545"/>
      <c r="VQL54" s="545"/>
      <c r="VQM54" s="545"/>
      <c r="VQN54" s="545"/>
      <c r="VQO54" s="545"/>
      <c r="VQP54" s="545"/>
      <c r="VQQ54" s="544"/>
      <c r="VQR54" s="545"/>
      <c r="VQS54" s="545"/>
      <c r="VQT54" s="545"/>
      <c r="VQU54" s="545"/>
      <c r="VQV54" s="545"/>
      <c r="VQW54" s="545"/>
      <c r="VQX54" s="544"/>
      <c r="VQY54" s="545"/>
      <c r="VQZ54" s="545"/>
      <c r="VRA54" s="545"/>
      <c r="VRB54" s="545"/>
      <c r="VRC54" s="545"/>
      <c r="VRD54" s="545"/>
      <c r="VRE54" s="544"/>
      <c r="VRF54" s="545"/>
      <c r="VRG54" s="545"/>
      <c r="VRH54" s="545"/>
      <c r="VRI54" s="545"/>
      <c r="VRJ54" s="545"/>
      <c r="VRK54" s="545"/>
      <c r="VRL54" s="544"/>
      <c r="VRM54" s="545"/>
      <c r="VRN54" s="545"/>
      <c r="VRO54" s="545"/>
      <c r="VRP54" s="545"/>
      <c r="VRQ54" s="545"/>
      <c r="VRR54" s="545"/>
      <c r="VRS54" s="544"/>
      <c r="VRT54" s="545"/>
      <c r="VRU54" s="545"/>
      <c r="VRV54" s="545"/>
      <c r="VRW54" s="545"/>
      <c r="VRX54" s="545"/>
      <c r="VRY54" s="545"/>
      <c r="VRZ54" s="544"/>
      <c r="VSA54" s="545"/>
      <c r="VSB54" s="545"/>
      <c r="VSC54" s="545"/>
      <c r="VSD54" s="545"/>
      <c r="VSE54" s="545"/>
      <c r="VSF54" s="545"/>
      <c r="VSG54" s="544"/>
      <c r="VSH54" s="545"/>
      <c r="VSI54" s="545"/>
      <c r="VSJ54" s="545"/>
      <c r="VSK54" s="545"/>
      <c r="VSL54" s="545"/>
      <c r="VSM54" s="545"/>
      <c r="VSN54" s="544"/>
      <c r="VSO54" s="545"/>
      <c r="VSP54" s="545"/>
      <c r="VSQ54" s="545"/>
      <c r="VSR54" s="545"/>
      <c r="VSS54" s="545"/>
      <c r="VST54" s="545"/>
      <c r="VSU54" s="544"/>
      <c r="VSV54" s="545"/>
      <c r="VSW54" s="545"/>
      <c r="VSX54" s="545"/>
      <c r="VSY54" s="545"/>
      <c r="VSZ54" s="545"/>
      <c r="VTA54" s="545"/>
      <c r="VTB54" s="544"/>
      <c r="VTC54" s="545"/>
      <c r="VTD54" s="545"/>
      <c r="VTE54" s="545"/>
      <c r="VTF54" s="545"/>
      <c r="VTG54" s="545"/>
      <c r="VTH54" s="545"/>
      <c r="VTI54" s="544"/>
      <c r="VTJ54" s="545"/>
      <c r="VTK54" s="545"/>
      <c r="VTL54" s="545"/>
      <c r="VTM54" s="545"/>
      <c r="VTN54" s="545"/>
      <c r="VTO54" s="545"/>
      <c r="VTP54" s="544"/>
      <c r="VTQ54" s="545"/>
      <c r="VTR54" s="545"/>
      <c r="VTS54" s="545"/>
      <c r="VTT54" s="545"/>
      <c r="VTU54" s="545"/>
      <c r="VTV54" s="545"/>
      <c r="VTW54" s="544"/>
      <c r="VTX54" s="545"/>
      <c r="VTY54" s="545"/>
      <c r="VTZ54" s="545"/>
      <c r="VUA54" s="545"/>
      <c r="VUB54" s="545"/>
      <c r="VUC54" s="545"/>
      <c r="VUD54" s="544"/>
      <c r="VUE54" s="545"/>
      <c r="VUF54" s="545"/>
      <c r="VUG54" s="545"/>
      <c r="VUH54" s="545"/>
      <c r="VUI54" s="545"/>
      <c r="VUJ54" s="545"/>
      <c r="VUK54" s="544"/>
      <c r="VUL54" s="545"/>
      <c r="VUM54" s="545"/>
      <c r="VUN54" s="545"/>
      <c r="VUO54" s="545"/>
      <c r="VUP54" s="545"/>
      <c r="VUQ54" s="545"/>
      <c r="VUR54" s="544"/>
      <c r="VUS54" s="545"/>
      <c r="VUT54" s="545"/>
      <c r="VUU54" s="545"/>
      <c r="VUV54" s="545"/>
      <c r="VUW54" s="545"/>
      <c r="VUX54" s="545"/>
      <c r="VUY54" s="544"/>
      <c r="VUZ54" s="545"/>
      <c r="VVA54" s="545"/>
      <c r="VVB54" s="545"/>
      <c r="VVC54" s="545"/>
      <c r="VVD54" s="545"/>
      <c r="VVE54" s="545"/>
      <c r="VVF54" s="544"/>
      <c r="VVG54" s="545"/>
      <c r="VVH54" s="545"/>
      <c r="VVI54" s="545"/>
      <c r="VVJ54" s="545"/>
      <c r="VVK54" s="545"/>
      <c r="VVL54" s="545"/>
      <c r="VVM54" s="544"/>
      <c r="VVN54" s="545"/>
      <c r="VVO54" s="545"/>
      <c r="VVP54" s="545"/>
      <c r="VVQ54" s="545"/>
      <c r="VVR54" s="545"/>
      <c r="VVS54" s="545"/>
      <c r="VVT54" s="544"/>
      <c r="VVU54" s="545"/>
      <c r="VVV54" s="545"/>
      <c r="VVW54" s="545"/>
      <c r="VVX54" s="545"/>
      <c r="VVY54" s="545"/>
      <c r="VVZ54" s="545"/>
      <c r="VWA54" s="544"/>
      <c r="VWB54" s="545"/>
      <c r="VWC54" s="545"/>
      <c r="VWD54" s="545"/>
      <c r="VWE54" s="545"/>
      <c r="VWF54" s="545"/>
      <c r="VWG54" s="545"/>
      <c r="VWH54" s="544"/>
      <c r="VWI54" s="545"/>
      <c r="VWJ54" s="545"/>
      <c r="VWK54" s="545"/>
      <c r="VWL54" s="545"/>
      <c r="VWM54" s="545"/>
      <c r="VWN54" s="545"/>
      <c r="VWO54" s="544"/>
      <c r="VWP54" s="545"/>
      <c r="VWQ54" s="545"/>
      <c r="VWR54" s="545"/>
      <c r="VWS54" s="545"/>
      <c r="VWT54" s="545"/>
      <c r="VWU54" s="545"/>
      <c r="VWV54" s="544"/>
      <c r="VWW54" s="545"/>
      <c r="VWX54" s="545"/>
      <c r="VWY54" s="545"/>
      <c r="VWZ54" s="545"/>
      <c r="VXA54" s="545"/>
      <c r="VXB54" s="545"/>
      <c r="VXC54" s="544"/>
      <c r="VXD54" s="545"/>
      <c r="VXE54" s="545"/>
      <c r="VXF54" s="545"/>
      <c r="VXG54" s="545"/>
      <c r="VXH54" s="545"/>
      <c r="VXI54" s="545"/>
      <c r="VXJ54" s="544"/>
      <c r="VXK54" s="545"/>
      <c r="VXL54" s="545"/>
      <c r="VXM54" s="545"/>
      <c r="VXN54" s="545"/>
      <c r="VXO54" s="545"/>
      <c r="VXP54" s="545"/>
      <c r="VXQ54" s="544"/>
      <c r="VXR54" s="545"/>
      <c r="VXS54" s="545"/>
      <c r="VXT54" s="545"/>
      <c r="VXU54" s="545"/>
      <c r="VXV54" s="545"/>
      <c r="VXW54" s="545"/>
      <c r="VXX54" s="544"/>
      <c r="VXY54" s="545"/>
      <c r="VXZ54" s="545"/>
      <c r="VYA54" s="545"/>
      <c r="VYB54" s="545"/>
      <c r="VYC54" s="545"/>
      <c r="VYD54" s="545"/>
      <c r="VYE54" s="544"/>
      <c r="VYF54" s="545"/>
      <c r="VYG54" s="545"/>
      <c r="VYH54" s="545"/>
      <c r="VYI54" s="545"/>
      <c r="VYJ54" s="545"/>
      <c r="VYK54" s="545"/>
      <c r="VYL54" s="544"/>
      <c r="VYM54" s="545"/>
      <c r="VYN54" s="545"/>
      <c r="VYO54" s="545"/>
      <c r="VYP54" s="545"/>
      <c r="VYQ54" s="545"/>
      <c r="VYR54" s="545"/>
      <c r="VYS54" s="544"/>
      <c r="VYT54" s="545"/>
      <c r="VYU54" s="545"/>
      <c r="VYV54" s="545"/>
      <c r="VYW54" s="545"/>
      <c r="VYX54" s="545"/>
      <c r="VYY54" s="545"/>
      <c r="VYZ54" s="544"/>
      <c r="VZA54" s="545"/>
      <c r="VZB54" s="545"/>
      <c r="VZC54" s="545"/>
      <c r="VZD54" s="545"/>
      <c r="VZE54" s="545"/>
      <c r="VZF54" s="545"/>
      <c r="VZG54" s="544"/>
      <c r="VZH54" s="545"/>
      <c r="VZI54" s="545"/>
      <c r="VZJ54" s="545"/>
      <c r="VZK54" s="545"/>
      <c r="VZL54" s="545"/>
      <c r="VZM54" s="545"/>
      <c r="VZN54" s="544"/>
      <c r="VZO54" s="545"/>
      <c r="VZP54" s="545"/>
      <c r="VZQ54" s="545"/>
      <c r="VZR54" s="545"/>
      <c r="VZS54" s="545"/>
      <c r="VZT54" s="545"/>
      <c r="VZU54" s="544"/>
      <c r="VZV54" s="545"/>
      <c r="VZW54" s="545"/>
      <c r="VZX54" s="545"/>
      <c r="VZY54" s="545"/>
      <c r="VZZ54" s="545"/>
      <c r="WAA54" s="545"/>
      <c r="WAB54" s="544"/>
      <c r="WAC54" s="545"/>
      <c r="WAD54" s="545"/>
      <c r="WAE54" s="545"/>
      <c r="WAF54" s="545"/>
      <c r="WAG54" s="545"/>
      <c r="WAH54" s="545"/>
      <c r="WAI54" s="544"/>
      <c r="WAJ54" s="545"/>
      <c r="WAK54" s="545"/>
      <c r="WAL54" s="545"/>
      <c r="WAM54" s="545"/>
      <c r="WAN54" s="545"/>
      <c r="WAO54" s="545"/>
      <c r="WAP54" s="544"/>
      <c r="WAQ54" s="545"/>
      <c r="WAR54" s="545"/>
      <c r="WAS54" s="545"/>
      <c r="WAT54" s="545"/>
      <c r="WAU54" s="545"/>
      <c r="WAV54" s="545"/>
      <c r="WAW54" s="544"/>
      <c r="WAX54" s="545"/>
      <c r="WAY54" s="545"/>
      <c r="WAZ54" s="545"/>
      <c r="WBA54" s="545"/>
      <c r="WBB54" s="545"/>
      <c r="WBC54" s="545"/>
      <c r="WBD54" s="544"/>
      <c r="WBE54" s="545"/>
      <c r="WBF54" s="545"/>
      <c r="WBG54" s="545"/>
      <c r="WBH54" s="545"/>
      <c r="WBI54" s="545"/>
      <c r="WBJ54" s="545"/>
      <c r="WBK54" s="544"/>
      <c r="WBL54" s="545"/>
      <c r="WBM54" s="545"/>
      <c r="WBN54" s="545"/>
      <c r="WBO54" s="545"/>
      <c r="WBP54" s="545"/>
      <c r="WBQ54" s="545"/>
      <c r="WBR54" s="544"/>
      <c r="WBS54" s="545"/>
      <c r="WBT54" s="545"/>
      <c r="WBU54" s="545"/>
      <c r="WBV54" s="545"/>
      <c r="WBW54" s="545"/>
      <c r="WBX54" s="545"/>
      <c r="WBY54" s="544"/>
      <c r="WBZ54" s="545"/>
      <c r="WCA54" s="545"/>
      <c r="WCB54" s="545"/>
      <c r="WCC54" s="545"/>
      <c r="WCD54" s="545"/>
      <c r="WCE54" s="545"/>
      <c r="WCF54" s="544"/>
      <c r="WCG54" s="545"/>
      <c r="WCH54" s="545"/>
      <c r="WCI54" s="545"/>
      <c r="WCJ54" s="545"/>
      <c r="WCK54" s="545"/>
      <c r="WCL54" s="545"/>
      <c r="WCM54" s="544"/>
      <c r="WCN54" s="545"/>
      <c r="WCO54" s="545"/>
      <c r="WCP54" s="545"/>
      <c r="WCQ54" s="545"/>
      <c r="WCR54" s="545"/>
      <c r="WCS54" s="545"/>
      <c r="WCT54" s="544"/>
      <c r="WCU54" s="545"/>
      <c r="WCV54" s="545"/>
      <c r="WCW54" s="545"/>
      <c r="WCX54" s="545"/>
      <c r="WCY54" s="545"/>
      <c r="WCZ54" s="545"/>
      <c r="WDA54" s="544"/>
      <c r="WDB54" s="545"/>
      <c r="WDC54" s="545"/>
      <c r="WDD54" s="545"/>
      <c r="WDE54" s="545"/>
      <c r="WDF54" s="545"/>
      <c r="WDG54" s="545"/>
      <c r="WDH54" s="544"/>
      <c r="WDI54" s="545"/>
      <c r="WDJ54" s="545"/>
      <c r="WDK54" s="545"/>
      <c r="WDL54" s="545"/>
      <c r="WDM54" s="545"/>
      <c r="WDN54" s="545"/>
      <c r="WDO54" s="544"/>
      <c r="WDP54" s="545"/>
      <c r="WDQ54" s="545"/>
      <c r="WDR54" s="545"/>
      <c r="WDS54" s="545"/>
      <c r="WDT54" s="545"/>
      <c r="WDU54" s="545"/>
      <c r="WDV54" s="544"/>
      <c r="WDW54" s="545"/>
      <c r="WDX54" s="545"/>
      <c r="WDY54" s="545"/>
      <c r="WDZ54" s="545"/>
      <c r="WEA54" s="545"/>
      <c r="WEB54" s="545"/>
      <c r="WEC54" s="544"/>
      <c r="WED54" s="545"/>
      <c r="WEE54" s="545"/>
      <c r="WEF54" s="545"/>
      <c r="WEG54" s="545"/>
      <c r="WEH54" s="545"/>
      <c r="WEI54" s="545"/>
      <c r="WEJ54" s="544"/>
      <c r="WEK54" s="545"/>
      <c r="WEL54" s="545"/>
      <c r="WEM54" s="545"/>
      <c r="WEN54" s="545"/>
      <c r="WEO54" s="545"/>
      <c r="WEP54" s="545"/>
      <c r="WEQ54" s="544"/>
      <c r="WER54" s="545"/>
      <c r="WES54" s="545"/>
      <c r="WET54" s="545"/>
      <c r="WEU54" s="545"/>
      <c r="WEV54" s="545"/>
      <c r="WEW54" s="545"/>
      <c r="WEX54" s="544"/>
      <c r="WEY54" s="545"/>
      <c r="WEZ54" s="545"/>
      <c r="WFA54" s="545"/>
      <c r="WFB54" s="545"/>
      <c r="WFC54" s="545"/>
      <c r="WFD54" s="545"/>
      <c r="WFE54" s="544"/>
      <c r="WFF54" s="545"/>
      <c r="WFG54" s="545"/>
      <c r="WFH54" s="545"/>
      <c r="WFI54" s="545"/>
      <c r="WFJ54" s="545"/>
      <c r="WFK54" s="545"/>
      <c r="WFL54" s="544"/>
      <c r="WFM54" s="545"/>
      <c r="WFN54" s="545"/>
      <c r="WFO54" s="545"/>
      <c r="WFP54" s="545"/>
      <c r="WFQ54" s="545"/>
      <c r="WFR54" s="545"/>
      <c r="WFS54" s="544"/>
      <c r="WFT54" s="545"/>
      <c r="WFU54" s="545"/>
      <c r="WFV54" s="545"/>
      <c r="WFW54" s="545"/>
      <c r="WFX54" s="545"/>
      <c r="WFY54" s="545"/>
      <c r="WFZ54" s="544"/>
      <c r="WGA54" s="545"/>
      <c r="WGB54" s="545"/>
      <c r="WGC54" s="545"/>
      <c r="WGD54" s="545"/>
      <c r="WGE54" s="545"/>
      <c r="WGF54" s="545"/>
      <c r="WGG54" s="544"/>
      <c r="WGH54" s="545"/>
      <c r="WGI54" s="545"/>
      <c r="WGJ54" s="545"/>
      <c r="WGK54" s="545"/>
      <c r="WGL54" s="545"/>
      <c r="WGM54" s="545"/>
      <c r="WGN54" s="544"/>
      <c r="WGO54" s="545"/>
      <c r="WGP54" s="545"/>
      <c r="WGQ54" s="545"/>
      <c r="WGR54" s="545"/>
      <c r="WGS54" s="545"/>
      <c r="WGT54" s="545"/>
      <c r="WGU54" s="544"/>
      <c r="WGV54" s="545"/>
      <c r="WGW54" s="545"/>
      <c r="WGX54" s="545"/>
      <c r="WGY54" s="545"/>
      <c r="WGZ54" s="545"/>
      <c r="WHA54" s="545"/>
      <c r="WHB54" s="544"/>
      <c r="WHC54" s="545"/>
      <c r="WHD54" s="545"/>
      <c r="WHE54" s="545"/>
      <c r="WHF54" s="545"/>
      <c r="WHG54" s="545"/>
      <c r="WHH54" s="545"/>
      <c r="WHI54" s="544"/>
      <c r="WHJ54" s="545"/>
      <c r="WHK54" s="545"/>
      <c r="WHL54" s="545"/>
      <c r="WHM54" s="545"/>
      <c r="WHN54" s="545"/>
      <c r="WHO54" s="545"/>
      <c r="WHP54" s="544"/>
      <c r="WHQ54" s="545"/>
      <c r="WHR54" s="545"/>
      <c r="WHS54" s="545"/>
      <c r="WHT54" s="545"/>
      <c r="WHU54" s="545"/>
      <c r="WHV54" s="545"/>
      <c r="WHW54" s="544"/>
      <c r="WHX54" s="545"/>
      <c r="WHY54" s="545"/>
      <c r="WHZ54" s="545"/>
      <c r="WIA54" s="545"/>
      <c r="WIB54" s="545"/>
      <c r="WIC54" s="545"/>
      <c r="WID54" s="544"/>
      <c r="WIE54" s="545"/>
      <c r="WIF54" s="545"/>
      <c r="WIG54" s="545"/>
      <c r="WIH54" s="545"/>
      <c r="WII54" s="545"/>
      <c r="WIJ54" s="545"/>
      <c r="WIK54" s="544"/>
      <c r="WIL54" s="545"/>
      <c r="WIM54" s="545"/>
      <c r="WIN54" s="545"/>
      <c r="WIO54" s="545"/>
      <c r="WIP54" s="545"/>
      <c r="WIQ54" s="545"/>
      <c r="WIR54" s="544"/>
      <c r="WIS54" s="545"/>
      <c r="WIT54" s="545"/>
      <c r="WIU54" s="545"/>
      <c r="WIV54" s="545"/>
      <c r="WIW54" s="545"/>
      <c r="WIX54" s="545"/>
      <c r="WIY54" s="544"/>
      <c r="WIZ54" s="545"/>
      <c r="WJA54" s="545"/>
      <c r="WJB54" s="545"/>
      <c r="WJC54" s="545"/>
      <c r="WJD54" s="545"/>
      <c r="WJE54" s="545"/>
      <c r="WJF54" s="544"/>
      <c r="WJG54" s="545"/>
      <c r="WJH54" s="545"/>
      <c r="WJI54" s="545"/>
      <c r="WJJ54" s="545"/>
      <c r="WJK54" s="545"/>
      <c r="WJL54" s="545"/>
      <c r="WJM54" s="544"/>
      <c r="WJN54" s="545"/>
      <c r="WJO54" s="545"/>
      <c r="WJP54" s="545"/>
      <c r="WJQ54" s="545"/>
      <c r="WJR54" s="545"/>
      <c r="WJS54" s="545"/>
      <c r="WJT54" s="544"/>
      <c r="WJU54" s="545"/>
      <c r="WJV54" s="545"/>
      <c r="WJW54" s="545"/>
      <c r="WJX54" s="545"/>
      <c r="WJY54" s="545"/>
      <c r="WJZ54" s="545"/>
      <c r="WKA54" s="544"/>
      <c r="WKB54" s="545"/>
      <c r="WKC54" s="545"/>
      <c r="WKD54" s="545"/>
      <c r="WKE54" s="545"/>
      <c r="WKF54" s="545"/>
      <c r="WKG54" s="545"/>
      <c r="WKH54" s="544"/>
      <c r="WKI54" s="545"/>
      <c r="WKJ54" s="545"/>
      <c r="WKK54" s="545"/>
      <c r="WKL54" s="545"/>
      <c r="WKM54" s="545"/>
      <c r="WKN54" s="545"/>
      <c r="WKO54" s="544"/>
      <c r="WKP54" s="545"/>
      <c r="WKQ54" s="545"/>
      <c r="WKR54" s="545"/>
      <c r="WKS54" s="545"/>
      <c r="WKT54" s="545"/>
      <c r="WKU54" s="545"/>
      <c r="WKV54" s="544"/>
      <c r="WKW54" s="545"/>
      <c r="WKX54" s="545"/>
      <c r="WKY54" s="545"/>
      <c r="WKZ54" s="545"/>
      <c r="WLA54" s="545"/>
      <c r="WLB54" s="545"/>
      <c r="WLC54" s="544"/>
      <c r="WLD54" s="545"/>
      <c r="WLE54" s="545"/>
      <c r="WLF54" s="545"/>
      <c r="WLG54" s="545"/>
      <c r="WLH54" s="545"/>
      <c r="WLI54" s="545"/>
      <c r="WLJ54" s="544"/>
      <c r="WLK54" s="545"/>
      <c r="WLL54" s="545"/>
      <c r="WLM54" s="545"/>
      <c r="WLN54" s="545"/>
      <c r="WLO54" s="545"/>
      <c r="WLP54" s="545"/>
      <c r="WLQ54" s="544"/>
      <c r="WLR54" s="545"/>
      <c r="WLS54" s="545"/>
      <c r="WLT54" s="545"/>
      <c r="WLU54" s="545"/>
      <c r="WLV54" s="545"/>
      <c r="WLW54" s="545"/>
      <c r="WLX54" s="544"/>
      <c r="WLY54" s="545"/>
      <c r="WLZ54" s="545"/>
      <c r="WMA54" s="545"/>
      <c r="WMB54" s="545"/>
      <c r="WMC54" s="545"/>
      <c r="WMD54" s="545"/>
      <c r="WME54" s="544"/>
      <c r="WMF54" s="545"/>
      <c r="WMG54" s="545"/>
      <c r="WMH54" s="545"/>
      <c r="WMI54" s="545"/>
      <c r="WMJ54" s="545"/>
      <c r="WMK54" s="545"/>
      <c r="WML54" s="544"/>
      <c r="WMM54" s="545"/>
      <c r="WMN54" s="545"/>
      <c r="WMO54" s="545"/>
      <c r="WMP54" s="545"/>
      <c r="WMQ54" s="545"/>
      <c r="WMR54" s="545"/>
      <c r="WMS54" s="544"/>
      <c r="WMT54" s="545"/>
      <c r="WMU54" s="545"/>
      <c r="WMV54" s="545"/>
      <c r="WMW54" s="545"/>
      <c r="WMX54" s="545"/>
      <c r="WMY54" s="545"/>
      <c r="WMZ54" s="544"/>
      <c r="WNA54" s="545"/>
      <c r="WNB54" s="545"/>
      <c r="WNC54" s="545"/>
      <c r="WND54" s="545"/>
      <c r="WNE54" s="545"/>
      <c r="WNF54" s="545"/>
      <c r="WNG54" s="544"/>
      <c r="WNH54" s="545"/>
      <c r="WNI54" s="545"/>
      <c r="WNJ54" s="545"/>
      <c r="WNK54" s="545"/>
      <c r="WNL54" s="545"/>
      <c r="WNM54" s="545"/>
      <c r="WNN54" s="544"/>
      <c r="WNO54" s="545"/>
      <c r="WNP54" s="545"/>
      <c r="WNQ54" s="545"/>
      <c r="WNR54" s="545"/>
      <c r="WNS54" s="545"/>
      <c r="WNT54" s="545"/>
      <c r="WNU54" s="544"/>
      <c r="WNV54" s="545"/>
      <c r="WNW54" s="545"/>
      <c r="WNX54" s="545"/>
      <c r="WNY54" s="545"/>
      <c r="WNZ54" s="545"/>
      <c r="WOA54" s="545"/>
      <c r="WOB54" s="544"/>
      <c r="WOC54" s="545"/>
      <c r="WOD54" s="545"/>
      <c r="WOE54" s="545"/>
      <c r="WOF54" s="545"/>
      <c r="WOG54" s="545"/>
      <c r="WOH54" s="545"/>
      <c r="WOI54" s="544"/>
      <c r="WOJ54" s="545"/>
      <c r="WOK54" s="545"/>
      <c r="WOL54" s="545"/>
      <c r="WOM54" s="545"/>
      <c r="WON54" s="545"/>
      <c r="WOO54" s="545"/>
      <c r="WOP54" s="544"/>
      <c r="WOQ54" s="545"/>
      <c r="WOR54" s="545"/>
      <c r="WOS54" s="545"/>
      <c r="WOT54" s="545"/>
      <c r="WOU54" s="545"/>
      <c r="WOV54" s="545"/>
      <c r="WOW54" s="544"/>
      <c r="WOX54" s="545"/>
      <c r="WOY54" s="545"/>
      <c r="WOZ54" s="545"/>
      <c r="WPA54" s="545"/>
      <c r="WPB54" s="545"/>
      <c r="WPC54" s="545"/>
      <c r="WPD54" s="544"/>
      <c r="WPE54" s="545"/>
      <c r="WPF54" s="545"/>
      <c r="WPG54" s="545"/>
      <c r="WPH54" s="545"/>
      <c r="WPI54" s="545"/>
      <c r="WPJ54" s="545"/>
      <c r="WPK54" s="544"/>
      <c r="WPL54" s="545"/>
      <c r="WPM54" s="545"/>
      <c r="WPN54" s="545"/>
      <c r="WPO54" s="545"/>
      <c r="WPP54" s="545"/>
      <c r="WPQ54" s="545"/>
      <c r="WPR54" s="544"/>
      <c r="WPS54" s="545"/>
      <c r="WPT54" s="545"/>
      <c r="WPU54" s="545"/>
      <c r="WPV54" s="545"/>
      <c r="WPW54" s="545"/>
      <c r="WPX54" s="545"/>
      <c r="WPY54" s="544"/>
      <c r="WPZ54" s="545"/>
      <c r="WQA54" s="545"/>
      <c r="WQB54" s="545"/>
      <c r="WQC54" s="545"/>
      <c r="WQD54" s="545"/>
      <c r="WQE54" s="545"/>
      <c r="WQF54" s="544"/>
      <c r="WQG54" s="545"/>
      <c r="WQH54" s="545"/>
      <c r="WQI54" s="545"/>
      <c r="WQJ54" s="545"/>
      <c r="WQK54" s="545"/>
      <c r="WQL54" s="545"/>
      <c r="WQM54" s="544"/>
      <c r="WQN54" s="545"/>
      <c r="WQO54" s="545"/>
      <c r="WQP54" s="545"/>
      <c r="WQQ54" s="545"/>
      <c r="WQR54" s="545"/>
      <c r="WQS54" s="545"/>
      <c r="WQT54" s="544"/>
      <c r="WQU54" s="545"/>
      <c r="WQV54" s="545"/>
      <c r="WQW54" s="545"/>
      <c r="WQX54" s="545"/>
      <c r="WQY54" s="545"/>
      <c r="WQZ54" s="545"/>
      <c r="WRA54" s="544"/>
      <c r="WRB54" s="545"/>
      <c r="WRC54" s="545"/>
      <c r="WRD54" s="545"/>
      <c r="WRE54" s="545"/>
      <c r="WRF54" s="545"/>
      <c r="WRG54" s="545"/>
      <c r="WRH54" s="544"/>
      <c r="WRI54" s="545"/>
      <c r="WRJ54" s="545"/>
      <c r="WRK54" s="545"/>
      <c r="WRL54" s="545"/>
      <c r="WRM54" s="545"/>
      <c r="WRN54" s="545"/>
      <c r="WRO54" s="544"/>
      <c r="WRP54" s="545"/>
      <c r="WRQ54" s="545"/>
      <c r="WRR54" s="545"/>
      <c r="WRS54" s="545"/>
      <c r="WRT54" s="545"/>
      <c r="WRU54" s="545"/>
      <c r="WRV54" s="544"/>
      <c r="WRW54" s="545"/>
      <c r="WRX54" s="545"/>
      <c r="WRY54" s="545"/>
      <c r="WRZ54" s="545"/>
      <c r="WSA54" s="545"/>
      <c r="WSB54" s="545"/>
      <c r="WSC54" s="544"/>
      <c r="WSD54" s="545"/>
      <c r="WSE54" s="545"/>
      <c r="WSF54" s="545"/>
      <c r="WSG54" s="545"/>
      <c r="WSH54" s="545"/>
      <c r="WSI54" s="545"/>
      <c r="WSJ54" s="544"/>
      <c r="WSK54" s="545"/>
      <c r="WSL54" s="545"/>
      <c r="WSM54" s="545"/>
      <c r="WSN54" s="545"/>
      <c r="WSO54" s="545"/>
      <c r="WSP54" s="545"/>
      <c r="WSQ54" s="544"/>
      <c r="WSR54" s="545"/>
      <c r="WSS54" s="545"/>
      <c r="WST54" s="545"/>
      <c r="WSU54" s="545"/>
      <c r="WSV54" s="545"/>
      <c r="WSW54" s="545"/>
      <c r="WSX54" s="544"/>
      <c r="WSY54" s="545"/>
      <c r="WSZ54" s="545"/>
      <c r="WTA54" s="545"/>
      <c r="WTB54" s="545"/>
      <c r="WTC54" s="545"/>
      <c r="WTD54" s="545"/>
      <c r="WTE54" s="544"/>
      <c r="WTF54" s="545"/>
      <c r="WTG54" s="545"/>
      <c r="WTH54" s="545"/>
      <c r="WTI54" s="545"/>
      <c r="WTJ54" s="545"/>
      <c r="WTK54" s="545"/>
      <c r="WTL54" s="544"/>
      <c r="WTM54" s="545"/>
      <c r="WTN54" s="545"/>
      <c r="WTO54" s="545"/>
      <c r="WTP54" s="545"/>
      <c r="WTQ54" s="545"/>
      <c r="WTR54" s="545"/>
      <c r="WTS54" s="544"/>
      <c r="WTT54" s="545"/>
      <c r="WTU54" s="545"/>
      <c r="WTV54" s="545"/>
      <c r="WTW54" s="545"/>
      <c r="WTX54" s="545"/>
      <c r="WTY54" s="545"/>
      <c r="WTZ54" s="544"/>
      <c r="WUA54" s="545"/>
      <c r="WUB54" s="545"/>
      <c r="WUC54" s="545"/>
      <c r="WUD54" s="545"/>
      <c r="WUE54" s="545"/>
      <c r="WUF54" s="545"/>
      <c r="WUG54" s="544"/>
      <c r="WUH54" s="545"/>
      <c r="WUI54" s="545"/>
      <c r="WUJ54" s="545"/>
      <c r="WUK54" s="545"/>
      <c r="WUL54" s="545"/>
      <c r="WUM54" s="545"/>
      <c r="WUN54" s="544"/>
      <c r="WUO54" s="545"/>
      <c r="WUP54" s="545"/>
      <c r="WUQ54" s="545"/>
      <c r="WUR54" s="545"/>
      <c r="WUS54" s="545"/>
      <c r="WUT54" s="545"/>
      <c r="WUU54" s="544"/>
      <c r="WUV54" s="545"/>
      <c r="WUW54" s="545"/>
      <c r="WUX54" s="545"/>
      <c r="WUY54" s="545"/>
      <c r="WUZ54" s="545"/>
      <c r="WVA54" s="545"/>
      <c r="WVB54" s="544"/>
      <c r="WVC54" s="545"/>
      <c r="WVD54" s="545"/>
      <c r="WVE54" s="545"/>
      <c r="WVF54" s="545"/>
      <c r="WVG54" s="545"/>
      <c r="WVH54" s="545"/>
      <c r="WVI54" s="544"/>
      <c r="WVJ54" s="545"/>
      <c r="WVK54" s="545"/>
      <c r="WVL54" s="545"/>
      <c r="WVM54" s="545"/>
      <c r="WVN54" s="545"/>
      <c r="WVO54" s="545"/>
      <c r="WVP54" s="544"/>
      <c r="WVQ54" s="545"/>
      <c r="WVR54" s="545"/>
      <c r="WVS54" s="545"/>
      <c r="WVT54" s="545"/>
      <c r="WVU54" s="545"/>
      <c r="WVV54" s="545"/>
      <c r="WVW54" s="544"/>
      <c r="WVX54" s="545"/>
      <c r="WVY54" s="545"/>
      <c r="WVZ54" s="545"/>
      <c r="WWA54" s="545"/>
      <c r="WWB54" s="545"/>
      <c r="WWC54" s="545"/>
      <c r="WWD54" s="544"/>
      <c r="WWE54" s="545"/>
      <c r="WWF54" s="545"/>
      <c r="WWG54" s="545"/>
      <c r="WWH54" s="545"/>
      <c r="WWI54" s="545"/>
      <c r="WWJ54" s="545"/>
      <c r="WWK54" s="544"/>
      <c r="WWL54" s="545"/>
      <c r="WWM54" s="545"/>
      <c r="WWN54" s="545"/>
      <c r="WWO54" s="545"/>
      <c r="WWP54" s="545"/>
      <c r="WWQ54" s="545"/>
      <c r="WWR54" s="544"/>
      <c r="WWS54" s="545"/>
      <c r="WWT54" s="545"/>
      <c r="WWU54" s="545"/>
      <c r="WWV54" s="545"/>
      <c r="WWW54" s="545"/>
      <c r="WWX54" s="545"/>
      <c r="WWY54" s="544"/>
      <c r="WWZ54" s="545"/>
      <c r="WXA54" s="545"/>
      <c r="WXB54" s="545"/>
      <c r="WXC54" s="545"/>
      <c r="WXD54" s="545"/>
      <c r="WXE54" s="545"/>
      <c r="WXF54" s="544"/>
      <c r="WXG54" s="545"/>
      <c r="WXH54" s="545"/>
      <c r="WXI54" s="545"/>
      <c r="WXJ54" s="545"/>
      <c r="WXK54" s="545"/>
      <c r="WXL54" s="545"/>
      <c r="WXM54" s="544"/>
      <c r="WXN54" s="545"/>
      <c r="WXO54" s="545"/>
      <c r="WXP54" s="545"/>
      <c r="WXQ54" s="545"/>
      <c r="WXR54" s="545"/>
      <c r="WXS54" s="545"/>
      <c r="WXT54" s="544"/>
      <c r="WXU54" s="545"/>
      <c r="WXV54" s="545"/>
      <c r="WXW54" s="545"/>
      <c r="WXX54" s="545"/>
      <c r="WXY54" s="545"/>
      <c r="WXZ54" s="545"/>
      <c r="WYA54" s="544"/>
      <c r="WYB54" s="545"/>
      <c r="WYC54" s="545"/>
      <c r="WYD54" s="545"/>
      <c r="WYE54" s="545"/>
      <c r="WYF54" s="545"/>
      <c r="WYG54" s="545"/>
      <c r="WYH54" s="544"/>
      <c r="WYI54" s="545"/>
      <c r="WYJ54" s="545"/>
      <c r="WYK54" s="545"/>
      <c r="WYL54" s="545"/>
      <c r="WYM54" s="545"/>
      <c r="WYN54" s="545"/>
      <c r="WYO54" s="544"/>
      <c r="WYP54" s="545"/>
      <c r="WYQ54" s="545"/>
      <c r="WYR54" s="545"/>
      <c r="WYS54" s="545"/>
      <c r="WYT54" s="545"/>
      <c r="WYU54" s="545"/>
      <c r="WYV54" s="544"/>
      <c r="WYW54" s="545"/>
      <c r="WYX54" s="545"/>
      <c r="WYY54" s="545"/>
      <c r="WYZ54" s="545"/>
      <c r="WZA54" s="545"/>
      <c r="WZB54" s="545"/>
      <c r="WZC54" s="544"/>
      <c r="WZD54" s="545"/>
      <c r="WZE54" s="545"/>
      <c r="WZF54" s="545"/>
      <c r="WZG54" s="545"/>
      <c r="WZH54" s="545"/>
      <c r="WZI54" s="545"/>
      <c r="WZJ54" s="544"/>
      <c r="WZK54" s="545"/>
      <c r="WZL54" s="545"/>
      <c r="WZM54" s="545"/>
      <c r="WZN54" s="545"/>
      <c r="WZO54" s="545"/>
      <c r="WZP54" s="545"/>
      <c r="WZQ54" s="544"/>
      <c r="WZR54" s="545"/>
      <c r="WZS54" s="545"/>
      <c r="WZT54" s="545"/>
      <c r="WZU54" s="545"/>
      <c r="WZV54" s="545"/>
      <c r="WZW54" s="545"/>
      <c r="WZX54" s="544"/>
      <c r="WZY54" s="545"/>
      <c r="WZZ54" s="545"/>
      <c r="XAA54" s="545"/>
      <c r="XAB54" s="545"/>
      <c r="XAC54" s="545"/>
      <c r="XAD54" s="545"/>
      <c r="XAE54" s="544"/>
      <c r="XAF54" s="545"/>
      <c r="XAG54" s="545"/>
      <c r="XAH54" s="545"/>
      <c r="XAI54" s="545"/>
      <c r="XAJ54" s="545"/>
      <c r="XAK54" s="545"/>
      <c r="XAL54" s="544"/>
      <c r="XAM54" s="545"/>
      <c r="XAN54" s="545"/>
      <c r="XAO54" s="545"/>
      <c r="XAP54" s="545"/>
      <c r="XAQ54" s="545"/>
      <c r="XAR54" s="545"/>
      <c r="XAS54" s="544"/>
      <c r="XAT54" s="545"/>
      <c r="XAU54" s="545"/>
      <c r="XAV54" s="545"/>
      <c r="XAW54" s="545"/>
      <c r="XAX54" s="545"/>
      <c r="XAY54" s="545"/>
      <c r="XAZ54" s="544"/>
      <c r="XBA54" s="545"/>
      <c r="XBB54" s="545"/>
      <c r="XBC54" s="545"/>
      <c r="XBD54" s="545"/>
      <c r="XBE54" s="545"/>
      <c r="XBF54" s="545"/>
      <c r="XBG54" s="544"/>
      <c r="XBH54" s="545"/>
      <c r="XBI54" s="545"/>
      <c r="XBJ54" s="545"/>
      <c r="XBK54" s="545"/>
      <c r="XBL54" s="545"/>
      <c r="XBM54" s="545"/>
      <c r="XBN54" s="544"/>
      <c r="XBO54" s="545"/>
      <c r="XBP54" s="545"/>
      <c r="XBQ54" s="545"/>
      <c r="XBR54" s="545"/>
      <c r="XBS54" s="545"/>
      <c r="XBT54" s="545"/>
      <c r="XBU54" s="544"/>
      <c r="XBV54" s="545"/>
      <c r="XBW54" s="545"/>
      <c r="XBX54" s="545"/>
      <c r="XBY54" s="545"/>
      <c r="XBZ54" s="545"/>
      <c r="XCA54" s="545"/>
      <c r="XCB54" s="544"/>
      <c r="XCC54" s="545"/>
      <c r="XCD54" s="545"/>
      <c r="XCE54" s="545"/>
      <c r="XCF54" s="545"/>
      <c r="XCG54" s="545"/>
      <c r="XCH54" s="545"/>
      <c r="XCI54" s="544"/>
      <c r="XCJ54" s="545"/>
      <c r="XCK54" s="545"/>
      <c r="XCL54" s="545"/>
      <c r="XCM54" s="545"/>
      <c r="XCN54" s="545"/>
      <c r="XCO54" s="545"/>
      <c r="XCP54" s="544"/>
      <c r="XCQ54" s="545"/>
      <c r="XCR54" s="545"/>
      <c r="XCS54" s="545"/>
      <c r="XCT54" s="545"/>
      <c r="XCU54" s="545"/>
      <c r="XCV54" s="545"/>
      <c r="XCW54" s="544"/>
      <c r="XCX54" s="545"/>
      <c r="XCY54" s="545"/>
      <c r="XCZ54" s="545"/>
      <c r="XDA54" s="545"/>
      <c r="XDB54" s="545"/>
      <c r="XDC54" s="545"/>
      <c r="XDD54" s="544"/>
      <c r="XDE54" s="545"/>
      <c r="XDF54" s="545"/>
      <c r="XDG54" s="545"/>
      <c r="XDH54" s="545"/>
      <c r="XDI54" s="545"/>
      <c r="XDJ54" s="545"/>
      <c r="XDK54" s="544"/>
      <c r="XDL54" s="545"/>
      <c r="XDM54" s="545"/>
      <c r="XDN54" s="545"/>
      <c r="XDO54" s="545"/>
      <c r="XDP54" s="545"/>
      <c r="XDQ54" s="545"/>
      <c r="XDR54" s="544"/>
      <c r="XDS54" s="545"/>
      <c r="XDT54" s="545"/>
      <c r="XDU54" s="545"/>
      <c r="XDV54" s="545"/>
      <c r="XDW54" s="545"/>
      <c r="XDX54" s="545"/>
      <c r="XDY54" s="544"/>
      <c r="XDZ54" s="545"/>
      <c r="XEA54" s="545"/>
      <c r="XEB54" s="545"/>
      <c r="XEC54" s="545"/>
      <c r="XED54" s="545"/>
      <c r="XEE54" s="545"/>
      <c r="XEF54" s="544"/>
      <c r="XEG54" s="545"/>
      <c r="XEH54" s="545"/>
      <c r="XEI54" s="545"/>
      <c r="XEJ54" s="545"/>
      <c r="XEK54" s="545"/>
      <c r="XEL54" s="545"/>
      <c r="XEM54" s="544"/>
      <c r="XEN54" s="545"/>
      <c r="XEO54" s="545"/>
      <c r="XEP54" s="545"/>
      <c r="XEQ54" s="545"/>
      <c r="XER54" s="545"/>
      <c r="XES54" s="545"/>
      <c r="XET54" s="544"/>
      <c r="XEU54" s="545"/>
      <c r="XEV54" s="545"/>
      <c r="XEW54" s="545"/>
      <c r="XEX54" s="545"/>
      <c r="XEY54" s="545"/>
      <c r="XEZ54" s="545"/>
      <c r="XFA54" s="544"/>
      <c r="XFB54" s="545"/>
      <c r="XFC54" s="545"/>
      <c r="XFD54" s="545"/>
    </row>
    <row r="55" spans="1:16384" ht="15" customHeight="1">
      <c r="A55" s="213" t="s">
        <v>744</v>
      </c>
      <c r="B55" s="197" t="s">
        <v>745</v>
      </c>
      <c r="C55" s="198" t="s">
        <v>746</v>
      </c>
      <c r="D55" s="199">
        <v>185000</v>
      </c>
      <c r="E55" s="200">
        <v>0</v>
      </c>
      <c r="F55" s="201">
        <f t="shared" si="0"/>
        <v>185000</v>
      </c>
      <c r="G55" s="214" t="s">
        <v>747</v>
      </c>
    </row>
    <row r="56" spans="1:16384" ht="15" customHeight="1">
      <c r="A56" s="215" t="s">
        <v>748</v>
      </c>
      <c r="B56" s="202" t="s">
        <v>749</v>
      </c>
      <c r="C56" s="203" t="s">
        <v>750</v>
      </c>
      <c r="D56" s="204">
        <v>140000</v>
      </c>
      <c r="E56" s="205">
        <v>0</v>
      </c>
      <c r="F56" s="206">
        <f t="shared" si="0"/>
        <v>140000</v>
      </c>
      <c r="G56" s="216" t="s">
        <v>751</v>
      </c>
    </row>
    <row r="57" spans="1:16384" ht="15" customHeight="1">
      <c r="A57" s="213" t="s">
        <v>752</v>
      </c>
      <c r="B57" s="197" t="s">
        <v>753</v>
      </c>
      <c r="C57" s="198" t="s">
        <v>750</v>
      </c>
      <c r="D57" s="199">
        <v>45000</v>
      </c>
      <c r="E57" s="200">
        <v>0</v>
      </c>
      <c r="F57" s="201">
        <f t="shared" si="0"/>
        <v>45000</v>
      </c>
      <c r="G57" s="214" t="s">
        <v>754</v>
      </c>
    </row>
    <row r="58" spans="1:16384" ht="15" customHeight="1" thickBot="1">
      <c r="A58" s="217" t="s">
        <v>755</v>
      </c>
      <c r="B58" s="218" t="s">
        <v>756</v>
      </c>
      <c r="C58" s="219" t="s">
        <v>757</v>
      </c>
      <c r="D58" s="220">
        <v>80000</v>
      </c>
      <c r="E58" s="221">
        <v>0</v>
      </c>
      <c r="F58" s="222">
        <f t="shared" si="0"/>
        <v>80000</v>
      </c>
      <c r="G58" s="223" t="s">
        <v>758</v>
      </c>
    </row>
  </sheetData>
  <mergeCells count="7024">
    <mergeCell ref="XDY54:XEE54"/>
    <mergeCell ref="XEF54:XEL54"/>
    <mergeCell ref="XEM54:XES54"/>
    <mergeCell ref="XET54:XEZ54"/>
    <mergeCell ref="XFA54:XFD54"/>
    <mergeCell ref="XCP54:XCV54"/>
    <mergeCell ref="XCW54:XDC54"/>
    <mergeCell ref="XDD54:XDJ54"/>
    <mergeCell ref="XDK54:XDQ54"/>
    <mergeCell ref="XDR54:XDX54"/>
    <mergeCell ref="XBG54:XBM54"/>
    <mergeCell ref="XBN54:XBT54"/>
    <mergeCell ref="XBU54:XCA54"/>
    <mergeCell ref="XCB54:XCH54"/>
    <mergeCell ref="XCI54:XCO54"/>
    <mergeCell ref="WZX54:XAD54"/>
    <mergeCell ref="XAE54:XAK54"/>
    <mergeCell ref="XAL54:XAR54"/>
    <mergeCell ref="XAS54:XAY54"/>
    <mergeCell ref="XAZ54:XBF54"/>
    <mergeCell ref="WYO54:WYU54"/>
    <mergeCell ref="WYV54:WZB54"/>
    <mergeCell ref="WZC54:WZI54"/>
    <mergeCell ref="WZJ54:WZP54"/>
    <mergeCell ref="WZQ54:WZW54"/>
    <mergeCell ref="WXF54:WXL54"/>
    <mergeCell ref="WXM54:WXS54"/>
    <mergeCell ref="WXT54:WXZ54"/>
    <mergeCell ref="WYA54:WYG54"/>
    <mergeCell ref="WYH54:WYN54"/>
    <mergeCell ref="WVW54:WWC54"/>
    <mergeCell ref="WWD54:WWJ54"/>
    <mergeCell ref="WWK54:WWQ54"/>
    <mergeCell ref="WWR54:WWX54"/>
    <mergeCell ref="WWY54:WXE54"/>
    <mergeCell ref="WUN54:WUT54"/>
    <mergeCell ref="WUU54:WVA54"/>
    <mergeCell ref="WVB54:WVH54"/>
    <mergeCell ref="WVI54:WVO54"/>
    <mergeCell ref="WVP54:WVV54"/>
    <mergeCell ref="WTE54:WTK54"/>
    <mergeCell ref="WTL54:WTR54"/>
    <mergeCell ref="WTS54:WTY54"/>
    <mergeCell ref="WTZ54:WUF54"/>
    <mergeCell ref="WUG54:WUM54"/>
    <mergeCell ref="WRV54:WSB54"/>
    <mergeCell ref="WSC54:WSI54"/>
    <mergeCell ref="WSJ54:WSP54"/>
    <mergeCell ref="WSQ54:WSW54"/>
    <mergeCell ref="WSX54:WTD54"/>
    <mergeCell ref="WQM54:WQS54"/>
    <mergeCell ref="WQT54:WQZ54"/>
    <mergeCell ref="WRA54:WRG54"/>
    <mergeCell ref="WRH54:WRN54"/>
    <mergeCell ref="WRO54:WRU54"/>
    <mergeCell ref="WPD54:WPJ54"/>
    <mergeCell ref="WPK54:WPQ54"/>
    <mergeCell ref="WPR54:WPX54"/>
    <mergeCell ref="WPY54:WQE54"/>
    <mergeCell ref="WQF54:WQL54"/>
    <mergeCell ref="WNU54:WOA54"/>
    <mergeCell ref="WOB54:WOH54"/>
    <mergeCell ref="WOI54:WOO54"/>
    <mergeCell ref="WOP54:WOV54"/>
    <mergeCell ref="WOW54:WPC54"/>
    <mergeCell ref="WML54:WMR54"/>
    <mergeCell ref="WMS54:WMY54"/>
    <mergeCell ref="WMZ54:WNF54"/>
    <mergeCell ref="WNG54:WNM54"/>
    <mergeCell ref="WNN54:WNT54"/>
    <mergeCell ref="WLC54:WLI54"/>
    <mergeCell ref="WLJ54:WLP54"/>
    <mergeCell ref="WLQ54:WLW54"/>
    <mergeCell ref="WLX54:WMD54"/>
    <mergeCell ref="WME54:WMK54"/>
    <mergeCell ref="WJT54:WJZ54"/>
    <mergeCell ref="WKA54:WKG54"/>
    <mergeCell ref="WKH54:WKN54"/>
    <mergeCell ref="WKO54:WKU54"/>
    <mergeCell ref="WKV54:WLB54"/>
    <mergeCell ref="WIK54:WIQ54"/>
    <mergeCell ref="WIR54:WIX54"/>
    <mergeCell ref="WIY54:WJE54"/>
    <mergeCell ref="WJF54:WJL54"/>
    <mergeCell ref="WJM54:WJS54"/>
    <mergeCell ref="WHB54:WHH54"/>
    <mergeCell ref="WHI54:WHO54"/>
    <mergeCell ref="WHP54:WHV54"/>
    <mergeCell ref="WHW54:WIC54"/>
    <mergeCell ref="WID54:WIJ54"/>
    <mergeCell ref="WFS54:WFY54"/>
    <mergeCell ref="WFZ54:WGF54"/>
    <mergeCell ref="WGG54:WGM54"/>
    <mergeCell ref="WGN54:WGT54"/>
    <mergeCell ref="WGU54:WHA54"/>
    <mergeCell ref="WEJ54:WEP54"/>
    <mergeCell ref="WEQ54:WEW54"/>
    <mergeCell ref="WEX54:WFD54"/>
    <mergeCell ref="WFE54:WFK54"/>
    <mergeCell ref="WFL54:WFR54"/>
    <mergeCell ref="WDA54:WDG54"/>
    <mergeCell ref="WDH54:WDN54"/>
    <mergeCell ref="WDO54:WDU54"/>
    <mergeCell ref="WDV54:WEB54"/>
    <mergeCell ref="WEC54:WEI54"/>
    <mergeCell ref="WBR54:WBX54"/>
    <mergeCell ref="WBY54:WCE54"/>
    <mergeCell ref="WCF54:WCL54"/>
    <mergeCell ref="WCM54:WCS54"/>
    <mergeCell ref="WCT54:WCZ54"/>
    <mergeCell ref="WAI54:WAO54"/>
    <mergeCell ref="WAP54:WAV54"/>
    <mergeCell ref="WAW54:WBC54"/>
    <mergeCell ref="WBD54:WBJ54"/>
    <mergeCell ref="WBK54:WBQ54"/>
    <mergeCell ref="VYZ54:VZF54"/>
    <mergeCell ref="VZG54:VZM54"/>
    <mergeCell ref="VZN54:VZT54"/>
    <mergeCell ref="VZU54:WAA54"/>
    <mergeCell ref="WAB54:WAH54"/>
    <mergeCell ref="VXQ54:VXW54"/>
    <mergeCell ref="VXX54:VYD54"/>
    <mergeCell ref="VYE54:VYK54"/>
    <mergeCell ref="VYL54:VYR54"/>
    <mergeCell ref="VYS54:VYY54"/>
    <mergeCell ref="VWH54:VWN54"/>
    <mergeCell ref="VWO54:VWU54"/>
    <mergeCell ref="VWV54:VXB54"/>
    <mergeCell ref="VXC54:VXI54"/>
    <mergeCell ref="VXJ54:VXP54"/>
    <mergeCell ref="VUY54:VVE54"/>
    <mergeCell ref="VVF54:VVL54"/>
    <mergeCell ref="VVM54:VVS54"/>
    <mergeCell ref="VVT54:VVZ54"/>
    <mergeCell ref="VWA54:VWG54"/>
    <mergeCell ref="VTP54:VTV54"/>
    <mergeCell ref="VTW54:VUC54"/>
    <mergeCell ref="VUD54:VUJ54"/>
    <mergeCell ref="VUK54:VUQ54"/>
    <mergeCell ref="VUR54:VUX54"/>
    <mergeCell ref="VSG54:VSM54"/>
    <mergeCell ref="VSN54:VST54"/>
    <mergeCell ref="VSU54:VTA54"/>
    <mergeCell ref="VTB54:VTH54"/>
    <mergeCell ref="VTI54:VTO54"/>
    <mergeCell ref="VQX54:VRD54"/>
    <mergeCell ref="VRE54:VRK54"/>
    <mergeCell ref="VRL54:VRR54"/>
    <mergeCell ref="VRS54:VRY54"/>
    <mergeCell ref="VRZ54:VSF54"/>
    <mergeCell ref="VPO54:VPU54"/>
    <mergeCell ref="VPV54:VQB54"/>
    <mergeCell ref="VQC54:VQI54"/>
    <mergeCell ref="VQJ54:VQP54"/>
    <mergeCell ref="VQQ54:VQW54"/>
    <mergeCell ref="VOF54:VOL54"/>
    <mergeCell ref="VOM54:VOS54"/>
    <mergeCell ref="VOT54:VOZ54"/>
    <mergeCell ref="VPA54:VPG54"/>
    <mergeCell ref="VPH54:VPN54"/>
    <mergeCell ref="VMW54:VNC54"/>
    <mergeCell ref="VND54:VNJ54"/>
    <mergeCell ref="VNK54:VNQ54"/>
    <mergeCell ref="VNR54:VNX54"/>
    <mergeCell ref="VNY54:VOE54"/>
    <mergeCell ref="VLN54:VLT54"/>
    <mergeCell ref="VLU54:VMA54"/>
    <mergeCell ref="VMB54:VMH54"/>
    <mergeCell ref="VMI54:VMO54"/>
    <mergeCell ref="VMP54:VMV54"/>
    <mergeCell ref="VKE54:VKK54"/>
    <mergeCell ref="VKL54:VKR54"/>
    <mergeCell ref="VKS54:VKY54"/>
    <mergeCell ref="VKZ54:VLF54"/>
    <mergeCell ref="VLG54:VLM54"/>
    <mergeCell ref="VIV54:VJB54"/>
    <mergeCell ref="VJC54:VJI54"/>
    <mergeCell ref="VJJ54:VJP54"/>
    <mergeCell ref="VJQ54:VJW54"/>
    <mergeCell ref="VJX54:VKD54"/>
    <mergeCell ref="VHM54:VHS54"/>
    <mergeCell ref="VHT54:VHZ54"/>
    <mergeCell ref="VIA54:VIG54"/>
    <mergeCell ref="VIH54:VIN54"/>
    <mergeCell ref="VIO54:VIU54"/>
    <mergeCell ref="VGD54:VGJ54"/>
    <mergeCell ref="VGK54:VGQ54"/>
    <mergeCell ref="VGR54:VGX54"/>
    <mergeCell ref="VGY54:VHE54"/>
    <mergeCell ref="VHF54:VHL54"/>
    <mergeCell ref="VEU54:VFA54"/>
    <mergeCell ref="VFB54:VFH54"/>
    <mergeCell ref="VFI54:VFO54"/>
    <mergeCell ref="VFP54:VFV54"/>
    <mergeCell ref="VFW54:VGC54"/>
    <mergeCell ref="VDL54:VDR54"/>
    <mergeCell ref="VDS54:VDY54"/>
    <mergeCell ref="VDZ54:VEF54"/>
    <mergeCell ref="VEG54:VEM54"/>
    <mergeCell ref="VEN54:VET54"/>
    <mergeCell ref="VCC54:VCI54"/>
    <mergeCell ref="VCJ54:VCP54"/>
    <mergeCell ref="VCQ54:VCW54"/>
    <mergeCell ref="VCX54:VDD54"/>
    <mergeCell ref="VDE54:VDK54"/>
    <mergeCell ref="VAT54:VAZ54"/>
    <mergeCell ref="VBA54:VBG54"/>
    <mergeCell ref="VBH54:VBN54"/>
    <mergeCell ref="VBO54:VBU54"/>
    <mergeCell ref="VBV54:VCB54"/>
    <mergeCell ref="UZK54:UZQ54"/>
    <mergeCell ref="UZR54:UZX54"/>
    <mergeCell ref="UZY54:VAE54"/>
    <mergeCell ref="VAF54:VAL54"/>
    <mergeCell ref="VAM54:VAS54"/>
    <mergeCell ref="UYB54:UYH54"/>
    <mergeCell ref="UYI54:UYO54"/>
    <mergeCell ref="UYP54:UYV54"/>
    <mergeCell ref="UYW54:UZC54"/>
    <mergeCell ref="UZD54:UZJ54"/>
    <mergeCell ref="UWS54:UWY54"/>
    <mergeCell ref="UWZ54:UXF54"/>
    <mergeCell ref="UXG54:UXM54"/>
    <mergeCell ref="UXN54:UXT54"/>
    <mergeCell ref="UXU54:UYA54"/>
    <mergeCell ref="UVJ54:UVP54"/>
    <mergeCell ref="UVQ54:UVW54"/>
    <mergeCell ref="UVX54:UWD54"/>
    <mergeCell ref="UWE54:UWK54"/>
    <mergeCell ref="UWL54:UWR54"/>
    <mergeCell ref="UUA54:UUG54"/>
    <mergeCell ref="UUH54:UUN54"/>
    <mergeCell ref="UUO54:UUU54"/>
    <mergeCell ref="UUV54:UVB54"/>
    <mergeCell ref="UVC54:UVI54"/>
    <mergeCell ref="USR54:USX54"/>
    <mergeCell ref="USY54:UTE54"/>
    <mergeCell ref="UTF54:UTL54"/>
    <mergeCell ref="UTM54:UTS54"/>
    <mergeCell ref="UTT54:UTZ54"/>
    <mergeCell ref="URI54:URO54"/>
    <mergeCell ref="URP54:URV54"/>
    <mergeCell ref="URW54:USC54"/>
    <mergeCell ref="USD54:USJ54"/>
    <mergeCell ref="USK54:USQ54"/>
    <mergeCell ref="UPZ54:UQF54"/>
    <mergeCell ref="UQG54:UQM54"/>
    <mergeCell ref="UQN54:UQT54"/>
    <mergeCell ref="UQU54:URA54"/>
    <mergeCell ref="URB54:URH54"/>
    <mergeCell ref="UOQ54:UOW54"/>
    <mergeCell ref="UOX54:UPD54"/>
    <mergeCell ref="UPE54:UPK54"/>
    <mergeCell ref="UPL54:UPR54"/>
    <mergeCell ref="UPS54:UPY54"/>
    <mergeCell ref="UNH54:UNN54"/>
    <mergeCell ref="UNO54:UNU54"/>
    <mergeCell ref="UNV54:UOB54"/>
    <mergeCell ref="UOC54:UOI54"/>
    <mergeCell ref="UOJ54:UOP54"/>
    <mergeCell ref="ULY54:UME54"/>
    <mergeCell ref="UMF54:UML54"/>
    <mergeCell ref="UMM54:UMS54"/>
    <mergeCell ref="UMT54:UMZ54"/>
    <mergeCell ref="UNA54:UNG54"/>
    <mergeCell ref="UKP54:UKV54"/>
    <mergeCell ref="UKW54:ULC54"/>
    <mergeCell ref="ULD54:ULJ54"/>
    <mergeCell ref="ULK54:ULQ54"/>
    <mergeCell ref="ULR54:ULX54"/>
    <mergeCell ref="UJG54:UJM54"/>
    <mergeCell ref="UJN54:UJT54"/>
    <mergeCell ref="UJU54:UKA54"/>
    <mergeCell ref="UKB54:UKH54"/>
    <mergeCell ref="UKI54:UKO54"/>
    <mergeCell ref="UHX54:UID54"/>
    <mergeCell ref="UIE54:UIK54"/>
    <mergeCell ref="UIL54:UIR54"/>
    <mergeCell ref="UIS54:UIY54"/>
    <mergeCell ref="UIZ54:UJF54"/>
    <mergeCell ref="UGO54:UGU54"/>
    <mergeCell ref="UGV54:UHB54"/>
    <mergeCell ref="UHC54:UHI54"/>
    <mergeCell ref="UHJ54:UHP54"/>
    <mergeCell ref="UHQ54:UHW54"/>
    <mergeCell ref="UFF54:UFL54"/>
    <mergeCell ref="UFM54:UFS54"/>
    <mergeCell ref="UFT54:UFZ54"/>
    <mergeCell ref="UGA54:UGG54"/>
    <mergeCell ref="UGH54:UGN54"/>
    <mergeCell ref="UDW54:UEC54"/>
    <mergeCell ref="UED54:UEJ54"/>
    <mergeCell ref="UEK54:UEQ54"/>
    <mergeCell ref="UER54:UEX54"/>
    <mergeCell ref="UEY54:UFE54"/>
    <mergeCell ref="UCN54:UCT54"/>
    <mergeCell ref="UCU54:UDA54"/>
    <mergeCell ref="UDB54:UDH54"/>
    <mergeCell ref="UDI54:UDO54"/>
    <mergeCell ref="UDP54:UDV54"/>
    <mergeCell ref="UBE54:UBK54"/>
    <mergeCell ref="UBL54:UBR54"/>
    <mergeCell ref="UBS54:UBY54"/>
    <mergeCell ref="UBZ54:UCF54"/>
    <mergeCell ref="UCG54:UCM54"/>
    <mergeCell ref="TZV54:UAB54"/>
    <mergeCell ref="UAC54:UAI54"/>
    <mergeCell ref="UAJ54:UAP54"/>
    <mergeCell ref="UAQ54:UAW54"/>
    <mergeCell ref="UAX54:UBD54"/>
    <mergeCell ref="TYM54:TYS54"/>
    <mergeCell ref="TYT54:TYZ54"/>
    <mergeCell ref="TZA54:TZG54"/>
    <mergeCell ref="TZH54:TZN54"/>
    <mergeCell ref="TZO54:TZU54"/>
    <mergeCell ref="TXD54:TXJ54"/>
    <mergeCell ref="TXK54:TXQ54"/>
    <mergeCell ref="TXR54:TXX54"/>
    <mergeCell ref="TXY54:TYE54"/>
    <mergeCell ref="TYF54:TYL54"/>
    <mergeCell ref="TVU54:TWA54"/>
    <mergeCell ref="TWB54:TWH54"/>
    <mergeCell ref="TWI54:TWO54"/>
    <mergeCell ref="TWP54:TWV54"/>
    <mergeCell ref="TWW54:TXC54"/>
    <mergeCell ref="TUL54:TUR54"/>
    <mergeCell ref="TUS54:TUY54"/>
    <mergeCell ref="TUZ54:TVF54"/>
    <mergeCell ref="TVG54:TVM54"/>
    <mergeCell ref="TVN54:TVT54"/>
    <mergeCell ref="TTC54:TTI54"/>
    <mergeCell ref="TTJ54:TTP54"/>
    <mergeCell ref="TTQ54:TTW54"/>
    <mergeCell ref="TTX54:TUD54"/>
    <mergeCell ref="TUE54:TUK54"/>
    <mergeCell ref="TRT54:TRZ54"/>
    <mergeCell ref="TSA54:TSG54"/>
    <mergeCell ref="TSH54:TSN54"/>
    <mergeCell ref="TSO54:TSU54"/>
    <mergeCell ref="TSV54:TTB54"/>
    <mergeCell ref="TQK54:TQQ54"/>
    <mergeCell ref="TQR54:TQX54"/>
    <mergeCell ref="TQY54:TRE54"/>
    <mergeCell ref="TRF54:TRL54"/>
    <mergeCell ref="TRM54:TRS54"/>
    <mergeCell ref="TPB54:TPH54"/>
    <mergeCell ref="TPI54:TPO54"/>
    <mergeCell ref="TPP54:TPV54"/>
    <mergeCell ref="TPW54:TQC54"/>
    <mergeCell ref="TQD54:TQJ54"/>
    <mergeCell ref="TNS54:TNY54"/>
    <mergeCell ref="TNZ54:TOF54"/>
    <mergeCell ref="TOG54:TOM54"/>
    <mergeCell ref="TON54:TOT54"/>
    <mergeCell ref="TOU54:TPA54"/>
    <mergeCell ref="TMJ54:TMP54"/>
    <mergeCell ref="TMQ54:TMW54"/>
    <mergeCell ref="TMX54:TND54"/>
    <mergeCell ref="TNE54:TNK54"/>
    <mergeCell ref="TNL54:TNR54"/>
    <mergeCell ref="TLA54:TLG54"/>
    <mergeCell ref="TLH54:TLN54"/>
    <mergeCell ref="TLO54:TLU54"/>
    <mergeCell ref="TLV54:TMB54"/>
    <mergeCell ref="TMC54:TMI54"/>
    <mergeCell ref="TJR54:TJX54"/>
    <mergeCell ref="TJY54:TKE54"/>
    <mergeCell ref="TKF54:TKL54"/>
    <mergeCell ref="TKM54:TKS54"/>
    <mergeCell ref="TKT54:TKZ54"/>
    <mergeCell ref="TII54:TIO54"/>
    <mergeCell ref="TIP54:TIV54"/>
    <mergeCell ref="TIW54:TJC54"/>
    <mergeCell ref="TJD54:TJJ54"/>
    <mergeCell ref="TJK54:TJQ54"/>
    <mergeCell ref="TGZ54:THF54"/>
    <mergeCell ref="THG54:THM54"/>
    <mergeCell ref="THN54:THT54"/>
    <mergeCell ref="THU54:TIA54"/>
    <mergeCell ref="TIB54:TIH54"/>
    <mergeCell ref="TFQ54:TFW54"/>
    <mergeCell ref="TFX54:TGD54"/>
    <mergeCell ref="TGE54:TGK54"/>
    <mergeCell ref="TGL54:TGR54"/>
    <mergeCell ref="TGS54:TGY54"/>
    <mergeCell ref="TEH54:TEN54"/>
    <mergeCell ref="TEO54:TEU54"/>
    <mergeCell ref="TEV54:TFB54"/>
    <mergeCell ref="TFC54:TFI54"/>
    <mergeCell ref="TFJ54:TFP54"/>
    <mergeCell ref="TCY54:TDE54"/>
    <mergeCell ref="TDF54:TDL54"/>
    <mergeCell ref="TDM54:TDS54"/>
    <mergeCell ref="TDT54:TDZ54"/>
    <mergeCell ref="TEA54:TEG54"/>
    <mergeCell ref="TBP54:TBV54"/>
    <mergeCell ref="TBW54:TCC54"/>
    <mergeCell ref="TCD54:TCJ54"/>
    <mergeCell ref="TCK54:TCQ54"/>
    <mergeCell ref="TCR54:TCX54"/>
    <mergeCell ref="TAG54:TAM54"/>
    <mergeCell ref="TAN54:TAT54"/>
    <mergeCell ref="TAU54:TBA54"/>
    <mergeCell ref="TBB54:TBH54"/>
    <mergeCell ref="TBI54:TBO54"/>
    <mergeCell ref="SYX54:SZD54"/>
    <mergeCell ref="SZE54:SZK54"/>
    <mergeCell ref="SZL54:SZR54"/>
    <mergeCell ref="SZS54:SZY54"/>
    <mergeCell ref="SZZ54:TAF54"/>
    <mergeCell ref="SXO54:SXU54"/>
    <mergeCell ref="SXV54:SYB54"/>
    <mergeCell ref="SYC54:SYI54"/>
    <mergeCell ref="SYJ54:SYP54"/>
    <mergeCell ref="SYQ54:SYW54"/>
    <mergeCell ref="SWF54:SWL54"/>
    <mergeCell ref="SWM54:SWS54"/>
    <mergeCell ref="SWT54:SWZ54"/>
    <mergeCell ref="SXA54:SXG54"/>
    <mergeCell ref="SXH54:SXN54"/>
    <mergeCell ref="SUW54:SVC54"/>
    <mergeCell ref="SVD54:SVJ54"/>
    <mergeCell ref="SVK54:SVQ54"/>
    <mergeCell ref="SVR54:SVX54"/>
    <mergeCell ref="SVY54:SWE54"/>
    <mergeCell ref="STN54:STT54"/>
    <mergeCell ref="STU54:SUA54"/>
    <mergeCell ref="SUB54:SUH54"/>
    <mergeCell ref="SUI54:SUO54"/>
    <mergeCell ref="SUP54:SUV54"/>
    <mergeCell ref="SSE54:SSK54"/>
    <mergeCell ref="SSL54:SSR54"/>
    <mergeCell ref="SSS54:SSY54"/>
    <mergeCell ref="SSZ54:STF54"/>
    <mergeCell ref="STG54:STM54"/>
    <mergeCell ref="SQV54:SRB54"/>
    <mergeCell ref="SRC54:SRI54"/>
    <mergeCell ref="SRJ54:SRP54"/>
    <mergeCell ref="SRQ54:SRW54"/>
    <mergeCell ref="SRX54:SSD54"/>
    <mergeCell ref="SPM54:SPS54"/>
    <mergeCell ref="SPT54:SPZ54"/>
    <mergeCell ref="SQA54:SQG54"/>
    <mergeCell ref="SQH54:SQN54"/>
    <mergeCell ref="SQO54:SQU54"/>
    <mergeCell ref="SOD54:SOJ54"/>
    <mergeCell ref="SOK54:SOQ54"/>
    <mergeCell ref="SOR54:SOX54"/>
    <mergeCell ref="SOY54:SPE54"/>
    <mergeCell ref="SPF54:SPL54"/>
    <mergeCell ref="SMU54:SNA54"/>
    <mergeCell ref="SNB54:SNH54"/>
    <mergeCell ref="SNI54:SNO54"/>
    <mergeCell ref="SNP54:SNV54"/>
    <mergeCell ref="SNW54:SOC54"/>
    <mergeCell ref="SLL54:SLR54"/>
    <mergeCell ref="SLS54:SLY54"/>
    <mergeCell ref="SLZ54:SMF54"/>
    <mergeCell ref="SMG54:SMM54"/>
    <mergeCell ref="SMN54:SMT54"/>
    <mergeCell ref="SKC54:SKI54"/>
    <mergeCell ref="SKJ54:SKP54"/>
    <mergeCell ref="SKQ54:SKW54"/>
    <mergeCell ref="SKX54:SLD54"/>
    <mergeCell ref="SLE54:SLK54"/>
    <mergeCell ref="SIT54:SIZ54"/>
    <mergeCell ref="SJA54:SJG54"/>
    <mergeCell ref="SJH54:SJN54"/>
    <mergeCell ref="SJO54:SJU54"/>
    <mergeCell ref="SJV54:SKB54"/>
    <mergeCell ref="SHK54:SHQ54"/>
    <mergeCell ref="SHR54:SHX54"/>
    <mergeCell ref="SHY54:SIE54"/>
    <mergeCell ref="SIF54:SIL54"/>
    <mergeCell ref="SIM54:SIS54"/>
    <mergeCell ref="SGB54:SGH54"/>
    <mergeCell ref="SGI54:SGO54"/>
    <mergeCell ref="SGP54:SGV54"/>
    <mergeCell ref="SGW54:SHC54"/>
    <mergeCell ref="SHD54:SHJ54"/>
    <mergeCell ref="SES54:SEY54"/>
    <mergeCell ref="SEZ54:SFF54"/>
    <mergeCell ref="SFG54:SFM54"/>
    <mergeCell ref="SFN54:SFT54"/>
    <mergeCell ref="SFU54:SGA54"/>
    <mergeCell ref="SDJ54:SDP54"/>
    <mergeCell ref="SDQ54:SDW54"/>
    <mergeCell ref="SDX54:SED54"/>
    <mergeCell ref="SEE54:SEK54"/>
    <mergeCell ref="SEL54:SER54"/>
    <mergeCell ref="SCA54:SCG54"/>
    <mergeCell ref="SCH54:SCN54"/>
    <mergeCell ref="SCO54:SCU54"/>
    <mergeCell ref="SCV54:SDB54"/>
    <mergeCell ref="SDC54:SDI54"/>
    <mergeCell ref="SAR54:SAX54"/>
    <mergeCell ref="SAY54:SBE54"/>
    <mergeCell ref="SBF54:SBL54"/>
    <mergeCell ref="SBM54:SBS54"/>
    <mergeCell ref="SBT54:SBZ54"/>
    <mergeCell ref="RZI54:RZO54"/>
    <mergeCell ref="RZP54:RZV54"/>
    <mergeCell ref="RZW54:SAC54"/>
    <mergeCell ref="SAD54:SAJ54"/>
    <mergeCell ref="SAK54:SAQ54"/>
    <mergeCell ref="RXZ54:RYF54"/>
    <mergeCell ref="RYG54:RYM54"/>
    <mergeCell ref="RYN54:RYT54"/>
    <mergeCell ref="RYU54:RZA54"/>
    <mergeCell ref="RZB54:RZH54"/>
    <mergeCell ref="RWQ54:RWW54"/>
    <mergeCell ref="RWX54:RXD54"/>
    <mergeCell ref="RXE54:RXK54"/>
    <mergeCell ref="RXL54:RXR54"/>
    <mergeCell ref="RXS54:RXY54"/>
    <mergeCell ref="RVH54:RVN54"/>
    <mergeCell ref="RVO54:RVU54"/>
    <mergeCell ref="RVV54:RWB54"/>
    <mergeCell ref="RWC54:RWI54"/>
    <mergeCell ref="RWJ54:RWP54"/>
    <mergeCell ref="RTY54:RUE54"/>
    <mergeCell ref="RUF54:RUL54"/>
    <mergeCell ref="RUM54:RUS54"/>
    <mergeCell ref="RUT54:RUZ54"/>
    <mergeCell ref="RVA54:RVG54"/>
    <mergeCell ref="RSP54:RSV54"/>
    <mergeCell ref="RSW54:RTC54"/>
    <mergeCell ref="RTD54:RTJ54"/>
    <mergeCell ref="RTK54:RTQ54"/>
    <mergeCell ref="RTR54:RTX54"/>
    <mergeCell ref="RRG54:RRM54"/>
    <mergeCell ref="RRN54:RRT54"/>
    <mergeCell ref="RRU54:RSA54"/>
    <mergeCell ref="RSB54:RSH54"/>
    <mergeCell ref="RSI54:RSO54"/>
    <mergeCell ref="RPX54:RQD54"/>
    <mergeCell ref="RQE54:RQK54"/>
    <mergeCell ref="RQL54:RQR54"/>
    <mergeCell ref="RQS54:RQY54"/>
    <mergeCell ref="RQZ54:RRF54"/>
    <mergeCell ref="ROO54:ROU54"/>
    <mergeCell ref="ROV54:RPB54"/>
    <mergeCell ref="RPC54:RPI54"/>
    <mergeCell ref="RPJ54:RPP54"/>
    <mergeCell ref="RPQ54:RPW54"/>
    <mergeCell ref="RNF54:RNL54"/>
    <mergeCell ref="RNM54:RNS54"/>
    <mergeCell ref="RNT54:RNZ54"/>
    <mergeCell ref="ROA54:ROG54"/>
    <mergeCell ref="ROH54:RON54"/>
    <mergeCell ref="RLW54:RMC54"/>
    <mergeCell ref="RMD54:RMJ54"/>
    <mergeCell ref="RMK54:RMQ54"/>
    <mergeCell ref="RMR54:RMX54"/>
    <mergeCell ref="RMY54:RNE54"/>
    <mergeCell ref="RKN54:RKT54"/>
    <mergeCell ref="RKU54:RLA54"/>
    <mergeCell ref="RLB54:RLH54"/>
    <mergeCell ref="RLI54:RLO54"/>
    <mergeCell ref="RLP54:RLV54"/>
    <mergeCell ref="RJE54:RJK54"/>
    <mergeCell ref="RJL54:RJR54"/>
    <mergeCell ref="RJS54:RJY54"/>
    <mergeCell ref="RJZ54:RKF54"/>
    <mergeCell ref="RKG54:RKM54"/>
    <mergeCell ref="RHV54:RIB54"/>
    <mergeCell ref="RIC54:RII54"/>
    <mergeCell ref="RIJ54:RIP54"/>
    <mergeCell ref="RIQ54:RIW54"/>
    <mergeCell ref="RIX54:RJD54"/>
    <mergeCell ref="RGM54:RGS54"/>
    <mergeCell ref="RGT54:RGZ54"/>
    <mergeCell ref="RHA54:RHG54"/>
    <mergeCell ref="RHH54:RHN54"/>
    <mergeCell ref="RHO54:RHU54"/>
    <mergeCell ref="RFD54:RFJ54"/>
    <mergeCell ref="RFK54:RFQ54"/>
    <mergeCell ref="RFR54:RFX54"/>
    <mergeCell ref="RFY54:RGE54"/>
    <mergeCell ref="RGF54:RGL54"/>
    <mergeCell ref="RDU54:REA54"/>
    <mergeCell ref="REB54:REH54"/>
    <mergeCell ref="REI54:REO54"/>
    <mergeCell ref="REP54:REV54"/>
    <mergeCell ref="REW54:RFC54"/>
    <mergeCell ref="RCL54:RCR54"/>
    <mergeCell ref="RCS54:RCY54"/>
    <mergeCell ref="RCZ54:RDF54"/>
    <mergeCell ref="RDG54:RDM54"/>
    <mergeCell ref="RDN54:RDT54"/>
    <mergeCell ref="RBC54:RBI54"/>
    <mergeCell ref="RBJ54:RBP54"/>
    <mergeCell ref="RBQ54:RBW54"/>
    <mergeCell ref="RBX54:RCD54"/>
    <mergeCell ref="RCE54:RCK54"/>
    <mergeCell ref="QZT54:QZZ54"/>
    <mergeCell ref="RAA54:RAG54"/>
    <mergeCell ref="RAH54:RAN54"/>
    <mergeCell ref="RAO54:RAU54"/>
    <mergeCell ref="RAV54:RBB54"/>
    <mergeCell ref="QYK54:QYQ54"/>
    <mergeCell ref="QYR54:QYX54"/>
    <mergeCell ref="QYY54:QZE54"/>
    <mergeCell ref="QZF54:QZL54"/>
    <mergeCell ref="QZM54:QZS54"/>
    <mergeCell ref="QXB54:QXH54"/>
    <mergeCell ref="QXI54:QXO54"/>
    <mergeCell ref="QXP54:QXV54"/>
    <mergeCell ref="QXW54:QYC54"/>
    <mergeCell ref="QYD54:QYJ54"/>
    <mergeCell ref="QVS54:QVY54"/>
    <mergeCell ref="QVZ54:QWF54"/>
    <mergeCell ref="QWG54:QWM54"/>
    <mergeCell ref="QWN54:QWT54"/>
    <mergeCell ref="QWU54:QXA54"/>
    <mergeCell ref="QUJ54:QUP54"/>
    <mergeCell ref="QUQ54:QUW54"/>
    <mergeCell ref="QUX54:QVD54"/>
    <mergeCell ref="QVE54:QVK54"/>
    <mergeCell ref="QVL54:QVR54"/>
    <mergeCell ref="QTA54:QTG54"/>
    <mergeCell ref="QTH54:QTN54"/>
    <mergeCell ref="QTO54:QTU54"/>
    <mergeCell ref="QTV54:QUB54"/>
    <mergeCell ref="QUC54:QUI54"/>
    <mergeCell ref="QRR54:QRX54"/>
    <mergeCell ref="QRY54:QSE54"/>
    <mergeCell ref="QSF54:QSL54"/>
    <mergeCell ref="QSM54:QSS54"/>
    <mergeCell ref="QST54:QSZ54"/>
    <mergeCell ref="QQI54:QQO54"/>
    <mergeCell ref="QQP54:QQV54"/>
    <mergeCell ref="QQW54:QRC54"/>
    <mergeCell ref="QRD54:QRJ54"/>
    <mergeCell ref="QRK54:QRQ54"/>
    <mergeCell ref="QOZ54:QPF54"/>
    <mergeCell ref="QPG54:QPM54"/>
    <mergeCell ref="QPN54:QPT54"/>
    <mergeCell ref="QPU54:QQA54"/>
    <mergeCell ref="QQB54:QQH54"/>
    <mergeCell ref="QNQ54:QNW54"/>
    <mergeCell ref="QNX54:QOD54"/>
    <mergeCell ref="QOE54:QOK54"/>
    <mergeCell ref="QOL54:QOR54"/>
    <mergeCell ref="QOS54:QOY54"/>
    <mergeCell ref="QMH54:QMN54"/>
    <mergeCell ref="QMO54:QMU54"/>
    <mergeCell ref="QMV54:QNB54"/>
    <mergeCell ref="QNC54:QNI54"/>
    <mergeCell ref="QNJ54:QNP54"/>
    <mergeCell ref="QKY54:QLE54"/>
    <mergeCell ref="QLF54:QLL54"/>
    <mergeCell ref="QLM54:QLS54"/>
    <mergeCell ref="QLT54:QLZ54"/>
    <mergeCell ref="QMA54:QMG54"/>
    <mergeCell ref="QJP54:QJV54"/>
    <mergeCell ref="QJW54:QKC54"/>
    <mergeCell ref="QKD54:QKJ54"/>
    <mergeCell ref="QKK54:QKQ54"/>
    <mergeCell ref="QKR54:QKX54"/>
    <mergeCell ref="QIG54:QIM54"/>
    <mergeCell ref="QIN54:QIT54"/>
    <mergeCell ref="QIU54:QJA54"/>
    <mergeCell ref="QJB54:QJH54"/>
    <mergeCell ref="QJI54:QJO54"/>
    <mergeCell ref="QGX54:QHD54"/>
    <mergeCell ref="QHE54:QHK54"/>
    <mergeCell ref="QHL54:QHR54"/>
    <mergeCell ref="QHS54:QHY54"/>
    <mergeCell ref="QHZ54:QIF54"/>
    <mergeCell ref="QFO54:QFU54"/>
    <mergeCell ref="QFV54:QGB54"/>
    <mergeCell ref="QGC54:QGI54"/>
    <mergeCell ref="QGJ54:QGP54"/>
    <mergeCell ref="QGQ54:QGW54"/>
    <mergeCell ref="QEF54:QEL54"/>
    <mergeCell ref="QEM54:QES54"/>
    <mergeCell ref="QET54:QEZ54"/>
    <mergeCell ref="QFA54:QFG54"/>
    <mergeCell ref="QFH54:QFN54"/>
    <mergeCell ref="QCW54:QDC54"/>
    <mergeCell ref="QDD54:QDJ54"/>
    <mergeCell ref="QDK54:QDQ54"/>
    <mergeCell ref="QDR54:QDX54"/>
    <mergeCell ref="QDY54:QEE54"/>
    <mergeCell ref="QBN54:QBT54"/>
    <mergeCell ref="QBU54:QCA54"/>
    <mergeCell ref="QCB54:QCH54"/>
    <mergeCell ref="QCI54:QCO54"/>
    <mergeCell ref="QCP54:QCV54"/>
    <mergeCell ref="QAE54:QAK54"/>
    <mergeCell ref="QAL54:QAR54"/>
    <mergeCell ref="QAS54:QAY54"/>
    <mergeCell ref="QAZ54:QBF54"/>
    <mergeCell ref="QBG54:QBM54"/>
    <mergeCell ref="PYV54:PZB54"/>
    <mergeCell ref="PZC54:PZI54"/>
    <mergeCell ref="PZJ54:PZP54"/>
    <mergeCell ref="PZQ54:PZW54"/>
    <mergeCell ref="PZX54:QAD54"/>
    <mergeCell ref="PXM54:PXS54"/>
    <mergeCell ref="PXT54:PXZ54"/>
    <mergeCell ref="PYA54:PYG54"/>
    <mergeCell ref="PYH54:PYN54"/>
    <mergeCell ref="PYO54:PYU54"/>
    <mergeCell ref="PWD54:PWJ54"/>
    <mergeCell ref="PWK54:PWQ54"/>
    <mergeCell ref="PWR54:PWX54"/>
    <mergeCell ref="PWY54:PXE54"/>
    <mergeCell ref="PXF54:PXL54"/>
    <mergeCell ref="PUU54:PVA54"/>
    <mergeCell ref="PVB54:PVH54"/>
    <mergeCell ref="PVI54:PVO54"/>
    <mergeCell ref="PVP54:PVV54"/>
    <mergeCell ref="PVW54:PWC54"/>
    <mergeCell ref="PTL54:PTR54"/>
    <mergeCell ref="PTS54:PTY54"/>
    <mergeCell ref="PTZ54:PUF54"/>
    <mergeCell ref="PUG54:PUM54"/>
    <mergeCell ref="PUN54:PUT54"/>
    <mergeCell ref="PSC54:PSI54"/>
    <mergeCell ref="PSJ54:PSP54"/>
    <mergeCell ref="PSQ54:PSW54"/>
    <mergeCell ref="PSX54:PTD54"/>
    <mergeCell ref="PTE54:PTK54"/>
    <mergeCell ref="PQT54:PQZ54"/>
    <mergeCell ref="PRA54:PRG54"/>
    <mergeCell ref="PRH54:PRN54"/>
    <mergeCell ref="PRO54:PRU54"/>
    <mergeCell ref="PRV54:PSB54"/>
    <mergeCell ref="PPK54:PPQ54"/>
    <mergeCell ref="PPR54:PPX54"/>
    <mergeCell ref="PPY54:PQE54"/>
    <mergeCell ref="PQF54:PQL54"/>
    <mergeCell ref="PQM54:PQS54"/>
    <mergeCell ref="POB54:POH54"/>
    <mergeCell ref="POI54:POO54"/>
    <mergeCell ref="POP54:POV54"/>
    <mergeCell ref="POW54:PPC54"/>
    <mergeCell ref="PPD54:PPJ54"/>
    <mergeCell ref="PMS54:PMY54"/>
    <mergeCell ref="PMZ54:PNF54"/>
    <mergeCell ref="PNG54:PNM54"/>
    <mergeCell ref="PNN54:PNT54"/>
    <mergeCell ref="PNU54:POA54"/>
    <mergeCell ref="PLJ54:PLP54"/>
    <mergeCell ref="PLQ54:PLW54"/>
    <mergeCell ref="PLX54:PMD54"/>
    <mergeCell ref="PME54:PMK54"/>
    <mergeCell ref="PML54:PMR54"/>
    <mergeCell ref="PKA54:PKG54"/>
    <mergeCell ref="PKH54:PKN54"/>
    <mergeCell ref="PKO54:PKU54"/>
    <mergeCell ref="PKV54:PLB54"/>
    <mergeCell ref="PLC54:PLI54"/>
    <mergeCell ref="PIR54:PIX54"/>
    <mergeCell ref="PIY54:PJE54"/>
    <mergeCell ref="PJF54:PJL54"/>
    <mergeCell ref="PJM54:PJS54"/>
    <mergeCell ref="PJT54:PJZ54"/>
    <mergeCell ref="PHI54:PHO54"/>
    <mergeCell ref="PHP54:PHV54"/>
    <mergeCell ref="PHW54:PIC54"/>
    <mergeCell ref="PID54:PIJ54"/>
    <mergeCell ref="PIK54:PIQ54"/>
    <mergeCell ref="PFZ54:PGF54"/>
    <mergeCell ref="PGG54:PGM54"/>
    <mergeCell ref="PGN54:PGT54"/>
    <mergeCell ref="PGU54:PHA54"/>
    <mergeCell ref="PHB54:PHH54"/>
    <mergeCell ref="PEQ54:PEW54"/>
    <mergeCell ref="PEX54:PFD54"/>
    <mergeCell ref="PFE54:PFK54"/>
    <mergeCell ref="PFL54:PFR54"/>
    <mergeCell ref="PFS54:PFY54"/>
    <mergeCell ref="PDH54:PDN54"/>
    <mergeCell ref="PDO54:PDU54"/>
    <mergeCell ref="PDV54:PEB54"/>
    <mergeCell ref="PEC54:PEI54"/>
    <mergeCell ref="PEJ54:PEP54"/>
    <mergeCell ref="PBY54:PCE54"/>
    <mergeCell ref="PCF54:PCL54"/>
    <mergeCell ref="PCM54:PCS54"/>
    <mergeCell ref="PCT54:PCZ54"/>
    <mergeCell ref="PDA54:PDG54"/>
    <mergeCell ref="PAP54:PAV54"/>
    <mergeCell ref="PAW54:PBC54"/>
    <mergeCell ref="PBD54:PBJ54"/>
    <mergeCell ref="PBK54:PBQ54"/>
    <mergeCell ref="PBR54:PBX54"/>
    <mergeCell ref="OZG54:OZM54"/>
    <mergeCell ref="OZN54:OZT54"/>
    <mergeCell ref="OZU54:PAA54"/>
    <mergeCell ref="PAB54:PAH54"/>
    <mergeCell ref="PAI54:PAO54"/>
    <mergeCell ref="OXX54:OYD54"/>
    <mergeCell ref="OYE54:OYK54"/>
    <mergeCell ref="OYL54:OYR54"/>
    <mergeCell ref="OYS54:OYY54"/>
    <mergeCell ref="OYZ54:OZF54"/>
    <mergeCell ref="OWO54:OWU54"/>
    <mergeCell ref="OWV54:OXB54"/>
    <mergeCell ref="OXC54:OXI54"/>
    <mergeCell ref="OXJ54:OXP54"/>
    <mergeCell ref="OXQ54:OXW54"/>
    <mergeCell ref="OVF54:OVL54"/>
    <mergeCell ref="OVM54:OVS54"/>
    <mergeCell ref="OVT54:OVZ54"/>
    <mergeCell ref="OWA54:OWG54"/>
    <mergeCell ref="OWH54:OWN54"/>
    <mergeCell ref="OTW54:OUC54"/>
    <mergeCell ref="OUD54:OUJ54"/>
    <mergeCell ref="OUK54:OUQ54"/>
    <mergeCell ref="OUR54:OUX54"/>
    <mergeCell ref="OUY54:OVE54"/>
    <mergeCell ref="OSN54:OST54"/>
    <mergeCell ref="OSU54:OTA54"/>
    <mergeCell ref="OTB54:OTH54"/>
    <mergeCell ref="OTI54:OTO54"/>
    <mergeCell ref="OTP54:OTV54"/>
    <mergeCell ref="ORE54:ORK54"/>
    <mergeCell ref="ORL54:ORR54"/>
    <mergeCell ref="ORS54:ORY54"/>
    <mergeCell ref="ORZ54:OSF54"/>
    <mergeCell ref="OSG54:OSM54"/>
    <mergeCell ref="OPV54:OQB54"/>
    <mergeCell ref="OQC54:OQI54"/>
    <mergeCell ref="OQJ54:OQP54"/>
    <mergeCell ref="OQQ54:OQW54"/>
    <mergeCell ref="OQX54:ORD54"/>
    <mergeCell ref="OOM54:OOS54"/>
    <mergeCell ref="OOT54:OOZ54"/>
    <mergeCell ref="OPA54:OPG54"/>
    <mergeCell ref="OPH54:OPN54"/>
    <mergeCell ref="OPO54:OPU54"/>
    <mergeCell ref="OND54:ONJ54"/>
    <mergeCell ref="ONK54:ONQ54"/>
    <mergeCell ref="ONR54:ONX54"/>
    <mergeCell ref="ONY54:OOE54"/>
    <mergeCell ref="OOF54:OOL54"/>
    <mergeCell ref="OLU54:OMA54"/>
    <mergeCell ref="OMB54:OMH54"/>
    <mergeCell ref="OMI54:OMO54"/>
    <mergeCell ref="OMP54:OMV54"/>
    <mergeCell ref="OMW54:ONC54"/>
    <mergeCell ref="OKL54:OKR54"/>
    <mergeCell ref="OKS54:OKY54"/>
    <mergeCell ref="OKZ54:OLF54"/>
    <mergeCell ref="OLG54:OLM54"/>
    <mergeCell ref="OLN54:OLT54"/>
    <mergeCell ref="OJC54:OJI54"/>
    <mergeCell ref="OJJ54:OJP54"/>
    <mergeCell ref="OJQ54:OJW54"/>
    <mergeCell ref="OJX54:OKD54"/>
    <mergeCell ref="OKE54:OKK54"/>
    <mergeCell ref="OHT54:OHZ54"/>
    <mergeCell ref="OIA54:OIG54"/>
    <mergeCell ref="OIH54:OIN54"/>
    <mergeCell ref="OIO54:OIU54"/>
    <mergeCell ref="OIV54:OJB54"/>
    <mergeCell ref="OGK54:OGQ54"/>
    <mergeCell ref="OGR54:OGX54"/>
    <mergeCell ref="OGY54:OHE54"/>
    <mergeCell ref="OHF54:OHL54"/>
    <mergeCell ref="OHM54:OHS54"/>
    <mergeCell ref="OFB54:OFH54"/>
    <mergeCell ref="OFI54:OFO54"/>
    <mergeCell ref="OFP54:OFV54"/>
    <mergeCell ref="OFW54:OGC54"/>
    <mergeCell ref="OGD54:OGJ54"/>
    <mergeCell ref="ODS54:ODY54"/>
    <mergeCell ref="ODZ54:OEF54"/>
    <mergeCell ref="OEG54:OEM54"/>
    <mergeCell ref="OEN54:OET54"/>
    <mergeCell ref="OEU54:OFA54"/>
    <mergeCell ref="OCJ54:OCP54"/>
    <mergeCell ref="OCQ54:OCW54"/>
    <mergeCell ref="OCX54:ODD54"/>
    <mergeCell ref="ODE54:ODK54"/>
    <mergeCell ref="ODL54:ODR54"/>
    <mergeCell ref="OBA54:OBG54"/>
    <mergeCell ref="OBH54:OBN54"/>
    <mergeCell ref="OBO54:OBU54"/>
    <mergeCell ref="OBV54:OCB54"/>
    <mergeCell ref="OCC54:OCI54"/>
    <mergeCell ref="NZR54:NZX54"/>
    <mergeCell ref="NZY54:OAE54"/>
    <mergeCell ref="OAF54:OAL54"/>
    <mergeCell ref="OAM54:OAS54"/>
    <mergeCell ref="OAT54:OAZ54"/>
    <mergeCell ref="NYI54:NYO54"/>
    <mergeCell ref="NYP54:NYV54"/>
    <mergeCell ref="NYW54:NZC54"/>
    <mergeCell ref="NZD54:NZJ54"/>
    <mergeCell ref="NZK54:NZQ54"/>
    <mergeCell ref="NWZ54:NXF54"/>
    <mergeCell ref="NXG54:NXM54"/>
    <mergeCell ref="NXN54:NXT54"/>
    <mergeCell ref="NXU54:NYA54"/>
    <mergeCell ref="NYB54:NYH54"/>
    <mergeCell ref="NVQ54:NVW54"/>
    <mergeCell ref="NVX54:NWD54"/>
    <mergeCell ref="NWE54:NWK54"/>
    <mergeCell ref="NWL54:NWR54"/>
    <mergeCell ref="NWS54:NWY54"/>
    <mergeCell ref="NUH54:NUN54"/>
    <mergeCell ref="NUO54:NUU54"/>
    <mergeCell ref="NUV54:NVB54"/>
    <mergeCell ref="NVC54:NVI54"/>
    <mergeCell ref="NVJ54:NVP54"/>
    <mergeCell ref="NSY54:NTE54"/>
    <mergeCell ref="NTF54:NTL54"/>
    <mergeCell ref="NTM54:NTS54"/>
    <mergeCell ref="NTT54:NTZ54"/>
    <mergeCell ref="NUA54:NUG54"/>
    <mergeCell ref="NRP54:NRV54"/>
    <mergeCell ref="NRW54:NSC54"/>
    <mergeCell ref="NSD54:NSJ54"/>
    <mergeCell ref="NSK54:NSQ54"/>
    <mergeCell ref="NSR54:NSX54"/>
    <mergeCell ref="NQG54:NQM54"/>
    <mergeCell ref="NQN54:NQT54"/>
    <mergeCell ref="NQU54:NRA54"/>
    <mergeCell ref="NRB54:NRH54"/>
    <mergeCell ref="NRI54:NRO54"/>
    <mergeCell ref="NOX54:NPD54"/>
    <mergeCell ref="NPE54:NPK54"/>
    <mergeCell ref="NPL54:NPR54"/>
    <mergeCell ref="NPS54:NPY54"/>
    <mergeCell ref="NPZ54:NQF54"/>
    <mergeCell ref="NNO54:NNU54"/>
    <mergeCell ref="NNV54:NOB54"/>
    <mergeCell ref="NOC54:NOI54"/>
    <mergeCell ref="NOJ54:NOP54"/>
    <mergeCell ref="NOQ54:NOW54"/>
    <mergeCell ref="NMF54:NML54"/>
    <mergeCell ref="NMM54:NMS54"/>
    <mergeCell ref="NMT54:NMZ54"/>
    <mergeCell ref="NNA54:NNG54"/>
    <mergeCell ref="NNH54:NNN54"/>
    <mergeCell ref="NKW54:NLC54"/>
    <mergeCell ref="NLD54:NLJ54"/>
    <mergeCell ref="NLK54:NLQ54"/>
    <mergeCell ref="NLR54:NLX54"/>
    <mergeCell ref="NLY54:NME54"/>
    <mergeCell ref="NJN54:NJT54"/>
    <mergeCell ref="NJU54:NKA54"/>
    <mergeCell ref="NKB54:NKH54"/>
    <mergeCell ref="NKI54:NKO54"/>
    <mergeCell ref="NKP54:NKV54"/>
    <mergeCell ref="NIE54:NIK54"/>
    <mergeCell ref="NIL54:NIR54"/>
    <mergeCell ref="NIS54:NIY54"/>
    <mergeCell ref="NIZ54:NJF54"/>
    <mergeCell ref="NJG54:NJM54"/>
    <mergeCell ref="NGV54:NHB54"/>
    <mergeCell ref="NHC54:NHI54"/>
    <mergeCell ref="NHJ54:NHP54"/>
    <mergeCell ref="NHQ54:NHW54"/>
    <mergeCell ref="NHX54:NID54"/>
    <mergeCell ref="NFM54:NFS54"/>
    <mergeCell ref="NFT54:NFZ54"/>
    <mergeCell ref="NGA54:NGG54"/>
    <mergeCell ref="NGH54:NGN54"/>
    <mergeCell ref="NGO54:NGU54"/>
    <mergeCell ref="NED54:NEJ54"/>
    <mergeCell ref="NEK54:NEQ54"/>
    <mergeCell ref="NER54:NEX54"/>
    <mergeCell ref="NEY54:NFE54"/>
    <mergeCell ref="NFF54:NFL54"/>
    <mergeCell ref="NCU54:NDA54"/>
    <mergeCell ref="NDB54:NDH54"/>
    <mergeCell ref="NDI54:NDO54"/>
    <mergeCell ref="NDP54:NDV54"/>
    <mergeCell ref="NDW54:NEC54"/>
    <mergeCell ref="NBL54:NBR54"/>
    <mergeCell ref="NBS54:NBY54"/>
    <mergeCell ref="NBZ54:NCF54"/>
    <mergeCell ref="NCG54:NCM54"/>
    <mergeCell ref="NCN54:NCT54"/>
    <mergeCell ref="NAC54:NAI54"/>
    <mergeCell ref="NAJ54:NAP54"/>
    <mergeCell ref="NAQ54:NAW54"/>
    <mergeCell ref="NAX54:NBD54"/>
    <mergeCell ref="NBE54:NBK54"/>
    <mergeCell ref="MYT54:MYZ54"/>
    <mergeCell ref="MZA54:MZG54"/>
    <mergeCell ref="MZH54:MZN54"/>
    <mergeCell ref="MZO54:MZU54"/>
    <mergeCell ref="MZV54:NAB54"/>
    <mergeCell ref="MXK54:MXQ54"/>
    <mergeCell ref="MXR54:MXX54"/>
    <mergeCell ref="MXY54:MYE54"/>
    <mergeCell ref="MYF54:MYL54"/>
    <mergeCell ref="MYM54:MYS54"/>
    <mergeCell ref="MWB54:MWH54"/>
    <mergeCell ref="MWI54:MWO54"/>
    <mergeCell ref="MWP54:MWV54"/>
    <mergeCell ref="MWW54:MXC54"/>
    <mergeCell ref="MXD54:MXJ54"/>
    <mergeCell ref="MUS54:MUY54"/>
    <mergeCell ref="MUZ54:MVF54"/>
    <mergeCell ref="MVG54:MVM54"/>
    <mergeCell ref="MVN54:MVT54"/>
    <mergeCell ref="MVU54:MWA54"/>
    <mergeCell ref="MTJ54:MTP54"/>
    <mergeCell ref="MTQ54:MTW54"/>
    <mergeCell ref="MTX54:MUD54"/>
    <mergeCell ref="MUE54:MUK54"/>
    <mergeCell ref="MUL54:MUR54"/>
    <mergeCell ref="MSA54:MSG54"/>
    <mergeCell ref="MSH54:MSN54"/>
    <mergeCell ref="MSO54:MSU54"/>
    <mergeCell ref="MSV54:MTB54"/>
    <mergeCell ref="MTC54:MTI54"/>
    <mergeCell ref="MQR54:MQX54"/>
    <mergeCell ref="MQY54:MRE54"/>
    <mergeCell ref="MRF54:MRL54"/>
    <mergeCell ref="MRM54:MRS54"/>
    <mergeCell ref="MRT54:MRZ54"/>
    <mergeCell ref="MPI54:MPO54"/>
    <mergeCell ref="MPP54:MPV54"/>
    <mergeCell ref="MPW54:MQC54"/>
    <mergeCell ref="MQD54:MQJ54"/>
    <mergeCell ref="MQK54:MQQ54"/>
    <mergeCell ref="MNZ54:MOF54"/>
    <mergeCell ref="MOG54:MOM54"/>
    <mergeCell ref="MON54:MOT54"/>
    <mergeCell ref="MOU54:MPA54"/>
    <mergeCell ref="MPB54:MPH54"/>
    <mergeCell ref="MMQ54:MMW54"/>
    <mergeCell ref="MMX54:MND54"/>
    <mergeCell ref="MNE54:MNK54"/>
    <mergeCell ref="MNL54:MNR54"/>
    <mergeCell ref="MNS54:MNY54"/>
    <mergeCell ref="MLH54:MLN54"/>
    <mergeCell ref="MLO54:MLU54"/>
    <mergeCell ref="MLV54:MMB54"/>
    <mergeCell ref="MMC54:MMI54"/>
    <mergeCell ref="MMJ54:MMP54"/>
    <mergeCell ref="MJY54:MKE54"/>
    <mergeCell ref="MKF54:MKL54"/>
    <mergeCell ref="MKM54:MKS54"/>
    <mergeCell ref="MKT54:MKZ54"/>
    <mergeCell ref="MLA54:MLG54"/>
    <mergeCell ref="MIP54:MIV54"/>
    <mergeCell ref="MIW54:MJC54"/>
    <mergeCell ref="MJD54:MJJ54"/>
    <mergeCell ref="MJK54:MJQ54"/>
    <mergeCell ref="MJR54:MJX54"/>
    <mergeCell ref="MHG54:MHM54"/>
    <mergeCell ref="MHN54:MHT54"/>
    <mergeCell ref="MHU54:MIA54"/>
    <mergeCell ref="MIB54:MIH54"/>
    <mergeCell ref="MII54:MIO54"/>
    <mergeCell ref="MFX54:MGD54"/>
    <mergeCell ref="MGE54:MGK54"/>
    <mergeCell ref="MGL54:MGR54"/>
    <mergeCell ref="MGS54:MGY54"/>
    <mergeCell ref="MGZ54:MHF54"/>
    <mergeCell ref="MEO54:MEU54"/>
    <mergeCell ref="MEV54:MFB54"/>
    <mergeCell ref="MFC54:MFI54"/>
    <mergeCell ref="MFJ54:MFP54"/>
    <mergeCell ref="MFQ54:MFW54"/>
    <mergeCell ref="MDF54:MDL54"/>
    <mergeCell ref="MDM54:MDS54"/>
    <mergeCell ref="MDT54:MDZ54"/>
    <mergeCell ref="MEA54:MEG54"/>
    <mergeCell ref="MEH54:MEN54"/>
    <mergeCell ref="MBW54:MCC54"/>
    <mergeCell ref="MCD54:MCJ54"/>
    <mergeCell ref="MCK54:MCQ54"/>
    <mergeCell ref="MCR54:MCX54"/>
    <mergeCell ref="MCY54:MDE54"/>
    <mergeCell ref="MAN54:MAT54"/>
    <mergeCell ref="MAU54:MBA54"/>
    <mergeCell ref="MBB54:MBH54"/>
    <mergeCell ref="MBI54:MBO54"/>
    <mergeCell ref="MBP54:MBV54"/>
    <mergeCell ref="LZE54:LZK54"/>
    <mergeCell ref="LZL54:LZR54"/>
    <mergeCell ref="LZS54:LZY54"/>
    <mergeCell ref="LZZ54:MAF54"/>
    <mergeCell ref="MAG54:MAM54"/>
    <mergeCell ref="LXV54:LYB54"/>
    <mergeCell ref="LYC54:LYI54"/>
    <mergeCell ref="LYJ54:LYP54"/>
    <mergeCell ref="LYQ54:LYW54"/>
    <mergeCell ref="LYX54:LZD54"/>
    <mergeCell ref="LWM54:LWS54"/>
    <mergeCell ref="LWT54:LWZ54"/>
    <mergeCell ref="LXA54:LXG54"/>
    <mergeCell ref="LXH54:LXN54"/>
    <mergeCell ref="LXO54:LXU54"/>
    <mergeCell ref="LVD54:LVJ54"/>
    <mergeCell ref="LVK54:LVQ54"/>
    <mergeCell ref="LVR54:LVX54"/>
    <mergeCell ref="LVY54:LWE54"/>
    <mergeCell ref="LWF54:LWL54"/>
    <mergeCell ref="LTU54:LUA54"/>
    <mergeCell ref="LUB54:LUH54"/>
    <mergeCell ref="LUI54:LUO54"/>
    <mergeCell ref="LUP54:LUV54"/>
    <mergeCell ref="LUW54:LVC54"/>
    <mergeCell ref="LSL54:LSR54"/>
    <mergeCell ref="LSS54:LSY54"/>
    <mergeCell ref="LSZ54:LTF54"/>
    <mergeCell ref="LTG54:LTM54"/>
    <mergeCell ref="LTN54:LTT54"/>
    <mergeCell ref="LRC54:LRI54"/>
    <mergeCell ref="LRJ54:LRP54"/>
    <mergeCell ref="LRQ54:LRW54"/>
    <mergeCell ref="LRX54:LSD54"/>
    <mergeCell ref="LSE54:LSK54"/>
    <mergeCell ref="LPT54:LPZ54"/>
    <mergeCell ref="LQA54:LQG54"/>
    <mergeCell ref="LQH54:LQN54"/>
    <mergeCell ref="LQO54:LQU54"/>
    <mergeCell ref="LQV54:LRB54"/>
    <mergeCell ref="LOK54:LOQ54"/>
    <mergeCell ref="LOR54:LOX54"/>
    <mergeCell ref="LOY54:LPE54"/>
    <mergeCell ref="LPF54:LPL54"/>
    <mergeCell ref="LPM54:LPS54"/>
    <mergeCell ref="LNB54:LNH54"/>
    <mergeCell ref="LNI54:LNO54"/>
    <mergeCell ref="LNP54:LNV54"/>
    <mergeCell ref="LNW54:LOC54"/>
    <mergeCell ref="LOD54:LOJ54"/>
    <mergeCell ref="LLS54:LLY54"/>
    <mergeCell ref="LLZ54:LMF54"/>
    <mergeCell ref="LMG54:LMM54"/>
    <mergeCell ref="LMN54:LMT54"/>
    <mergeCell ref="LMU54:LNA54"/>
    <mergeCell ref="LKJ54:LKP54"/>
    <mergeCell ref="LKQ54:LKW54"/>
    <mergeCell ref="LKX54:LLD54"/>
    <mergeCell ref="LLE54:LLK54"/>
    <mergeCell ref="LLL54:LLR54"/>
    <mergeCell ref="LJA54:LJG54"/>
    <mergeCell ref="LJH54:LJN54"/>
    <mergeCell ref="LJO54:LJU54"/>
    <mergeCell ref="LJV54:LKB54"/>
    <mergeCell ref="LKC54:LKI54"/>
    <mergeCell ref="LHR54:LHX54"/>
    <mergeCell ref="LHY54:LIE54"/>
    <mergeCell ref="LIF54:LIL54"/>
    <mergeCell ref="LIM54:LIS54"/>
    <mergeCell ref="LIT54:LIZ54"/>
    <mergeCell ref="LGI54:LGO54"/>
    <mergeCell ref="LGP54:LGV54"/>
    <mergeCell ref="LGW54:LHC54"/>
    <mergeCell ref="LHD54:LHJ54"/>
    <mergeCell ref="LHK54:LHQ54"/>
    <mergeCell ref="LEZ54:LFF54"/>
    <mergeCell ref="LFG54:LFM54"/>
    <mergeCell ref="LFN54:LFT54"/>
    <mergeCell ref="LFU54:LGA54"/>
    <mergeCell ref="LGB54:LGH54"/>
    <mergeCell ref="LDQ54:LDW54"/>
    <mergeCell ref="LDX54:LED54"/>
    <mergeCell ref="LEE54:LEK54"/>
    <mergeCell ref="LEL54:LER54"/>
    <mergeCell ref="LES54:LEY54"/>
    <mergeCell ref="LCH54:LCN54"/>
    <mergeCell ref="LCO54:LCU54"/>
    <mergeCell ref="LCV54:LDB54"/>
    <mergeCell ref="LDC54:LDI54"/>
    <mergeCell ref="LDJ54:LDP54"/>
    <mergeCell ref="LAY54:LBE54"/>
    <mergeCell ref="LBF54:LBL54"/>
    <mergeCell ref="LBM54:LBS54"/>
    <mergeCell ref="LBT54:LBZ54"/>
    <mergeCell ref="LCA54:LCG54"/>
    <mergeCell ref="KZP54:KZV54"/>
    <mergeCell ref="KZW54:LAC54"/>
    <mergeCell ref="LAD54:LAJ54"/>
    <mergeCell ref="LAK54:LAQ54"/>
    <mergeCell ref="LAR54:LAX54"/>
    <mergeCell ref="KYG54:KYM54"/>
    <mergeCell ref="KYN54:KYT54"/>
    <mergeCell ref="KYU54:KZA54"/>
    <mergeCell ref="KZB54:KZH54"/>
    <mergeCell ref="KZI54:KZO54"/>
    <mergeCell ref="KWX54:KXD54"/>
    <mergeCell ref="KXE54:KXK54"/>
    <mergeCell ref="KXL54:KXR54"/>
    <mergeCell ref="KXS54:KXY54"/>
    <mergeCell ref="KXZ54:KYF54"/>
    <mergeCell ref="KVO54:KVU54"/>
    <mergeCell ref="KVV54:KWB54"/>
    <mergeCell ref="KWC54:KWI54"/>
    <mergeCell ref="KWJ54:KWP54"/>
    <mergeCell ref="KWQ54:KWW54"/>
    <mergeCell ref="KUF54:KUL54"/>
    <mergeCell ref="KUM54:KUS54"/>
    <mergeCell ref="KUT54:KUZ54"/>
    <mergeCell ref="KVA54:KVG54"/>
    <mergeCell ref="KVH54:KVN54"/>
    <mergeCell ref="KSW54:KTC54"/>
    <mergeCell ref="KTD54:KTJ54"/>
    <mergeCell ref="KTK54:KTQ54"/>
    <mergeCell ref="KTR54:KTX54"/>
    <mergeCell ref="KTY54:KUE54"/>
    <mergeCell ref="KRN54:KRT54"/>
    <mergeCell ref="KRU54:KSA54"/>
    <mergeCell ref="KSB54:KSH54"/>
    <mergeCell ref="KSI54:KSO54"/>
    <mergeCell ref="KSP54:KSV54"/>
    <mergeCell ref="KQE54:KQK54"/>
    <mergeCell ref="KQL54:KQR54"/>
    <mergeCell ref="KQS54:KQY54"/>
    <mergeCell ref="KQZ54:KRF54"/>
    <mergeCell ref="KRG54:KRM54"/>
    <mergeCell ref="KOV54:KPB54"/>
    <mergeCell ref="KPC54:KPI54"/>
    <mergeCell ref="KPJ54:KPP54"/>
    <mergeCell ref="KPQ54:KPW54"/>
    <mergeCell ref="KPX54:KQD54"/>
    <mergeCell ref="KNM54:KNS54"/>
    <mergeCell ref="KNT54:KNZ54"/>
    <mergeCell ref="KOA54:KOG54"/>
    <mergeCell ref="KOH54:KON54"/>
    <mergeCell ref="KOO54:KOU54"/>
    <mergeCell ref="KMD54:KMJ54"/>
    <mergeCell ref="KMK54:KMQ54"/>
    <mergeCell ref="KMR54:KMX54"/>
    <mergeCell ref="KMY54:KNE54"/>
    <mergeCell ref="KNF54:KNL54"/>
    <mergeCell ref="KKU54:KLA54"/>
    <mergeCell ref="KLB54:KLH54"/>
    <mergeCell ref="KLI54:KLO54"/>
    <mergeCell ref="KLP54:KLV54"/>
    <mergeCell ref="KLW54:KMC54"/>
    <mergeCell ref="KJL54:KJR54"/>
    <mergeCell ref="KJS54:KJY54"/>
    <mergeCell ref="KJZ54:KKF54"/>
    <mergeCell ref="KKG54:KKM54"/>
    <mergeCell ref="KKN54:KKT54"/>
    <mergeCell ref="KIC54:KII54"/>
    <mergeCell ref="KIJ54:KIP54"/>
    <mergeCell ref="KIQ54:KIW54"/>
    <mergeCell ref="KIX54:KJD54"/>
    <mergeCell ref="KJE54:KJK54"/>
    <mergeCell ref="KGT54:KGZ54"/>
    <mergeCell ref="KHA54:KHG54"/>
    <mergeCell ref="KHH54:KHN54"/>
    <mergeCell ref="KHO54:KHU54"/>
    <mergeCell ref="KHV54:KIB54"/>
    <mergeCell ref="KFK54:KFQ54"/>
    <mergeCell ref="KFR54:KFX54"/>
    <mergeCell ref="KFY54:KGE54"/>
    <mergeCell ref="KGF54:KGL54"/>
    <mergeCell ref="KGM54:KGS54"/>
    <mergeCell ref="KEB54:KEH54"/>
    <mergeCell ref="KEI54:KEO54"/>
    <mergeCell ref="KEP54:KEV54"/>
    <mergeCell ref="KEW54:KFC54"/>
    <mergeCell ref="KFD54:KFJ54"/>
    <mergeCell ref="KCS54:KCY54"/>
    <mergeCell ref="KCZ54:KDF54"/>
    <mergeCell ref="KDG54:KDM54"/>
    <mergeCell ref="KDN54:KDT54"/>
    <mergeCell ref="KDU54:KEA54"/>
    <mergeCell ref="KBJ54:KBP54"/>
    <mergeCell ref="KBQ54:KBW54"/>
    <mergeCell ref="KBX54:KCD54"/>
    <mergeCell ref="KCE54:KCK54"/>
    <mergeCell ref="KCL54:KCR54"/>
    <mergeCell ref="KAA54:KAG54"/>
    <mergeCell ref="KAH54:KAN54"/>
    <mergeCell ref="KAO54:KAU54"/>
    <mergeCell ref="KAV54:KBB54"/>
    <mergeCell ref="KBC54:KBI54"/>
    <mergeCell ref="JYR54:JYX54"/>
    <mergeCell ref="JYY54:JZE54"/>
    <mergeCell ref="JZF54:JZL54"/>
    <mergeCell ref="JZM54:JZS54"/>
    <mergeCell ref="JZT54:JZZ54"/>
    <mergeCell ref="JXI54:JXO54"/>
    <mergeCell ref="JXP54:JXV54"/>
    <mergeCell ref="JXW54:JYC54"/>
    <mergeCell ref="JYD54:JYJ54"/>
    <mergeCell ref="JYK54:JYQ54"/>
    <mergeCell ref="JVZ54:JWF54"/>
    <mergeCell ref="JWG54:JWM54"/>
    <mergeCell ref="JWN54:JWT54"/>
    <mergeCell ref="JWU54:JXA54"/>
    <mergeCell ref="JXB54:JXH54"/>
    <mergeCell ref="JUQ54:JUW54"/>
    <mergeCell ref="JUX54:JVD54"/>
    <mergeCell ref="JVE54:JVK54"/>
    <mergeCell ref="JVL54:JVR54"/>
    <mergeCell ref="JVS54:JVY54"/>
    <mergeCell ref="JTH54:JTN54"/>
    <mergeCell ref="JTO54:JTU54"/>
    <mergeCell ref="JTV54:JUB54"/>
    <mergeCell ref="JUC54:JUI54"/>
    <mergeCell ref="JUJ54:JUP54"/>
    <mergeCell ref="JRY54:JSE54"/>
    <mergeCell ref="JSF54:JSL54"/>
    <mergeCell ref="JSM54:JSS54"/>
    <mergeCell ref="JST54:JSZ54"/>
    <mergeCell ref="JTA54:JTG54"/>
    <mergeCell ref="JQP54:JQV54"/>
    <mergeCell ref="JQW54:JRC54"/>
    <mergeCell ref="JRD54:JRJ54"/>
    <mergeCell ref="JRK54:JRQ54"/>
    <mergeCell ref="JRR54:JRX54"/>
    <mergeCell ref="JPG54:JPM54"/>
    <mergeCell ref="JPN54:JPT54"/>
    <mergeCell ref="JPU54:JQA54"/>
    <mergeCell ref="JQB54:JQH54"/>
    <mergeCell ref="JQI54:JQO54"/>
    <mergeCell ref="JNX54:JOD54"/>
    <mergeCell ref="JOE54:JOK54"/>
    <mergeCell ref="JOL54:JOR54"/>
    <mergeCell ref="JOS54:JOY54"/>
    <mergeCell ref="JOZ54:JPF54"/>
    <mergeCell ref="JMO54:JMU54"/>
    <mergeCell ref="JMV54:JNB54"/>
    <mergeCell ref="JNC54:JNI54"/>
    <mergeCell ref="JNJ54:JNP54"/>
    <mergeCell ref="JNQ54:JNW54"/>
    <mergeCell ref="JLF54:JLL54"/>
    <mergeCell ref="JLM54:JLS54"/>
    <mergeCell ref="JLT54:JLZ54"/>
    <mergeCell ref="JMA54:JMG54"/>
    <mergeCell ref="JMH54:JMN54"/>
    <mergeCell ref="JJW54:JKC54"/>
    <mergeCell ref="JKD54:JKJ54"/>
    <mergeCell ref="JKK54:JKQ54"/>
    <mergeCell ref="JKR54:JKX54"/>
    <mergeCell ref="JKY54:JLE54"/>
    <mergeCell ref="JIN54:JIT54"/>
    <mergeCell ref="JIU54:JJA54"/>
    <mergeCell ref="JJB54:JJH54"/>
    <mergeCell ref="JJI54:JJO54"/>
    <mergeCell ref="JJP54:JJV54"/>
    <mergeCell ref="JHE54:JHK54"/>
    <mergeCell ref="JHL54:JHR54"/>
    <mergeCell ref="JHS54:JHY54"/>
    <mergeCell ref="JHZ54:JIF54"/>
    <mergeCell ref="JIG54:JIM54"/>
    <mergeCell ref="JFV54:JGB54"/>
    <mergeCell ref="JGC54:JGI54"/>
    <mergeCell ref="JGJ54:JGP54"/>
    <mergeCell ref="JGQ54:JGW54"/>
    <mergeCell ref="JGX54:JHD54"/>
    <mergeCell ref="JEM54:JES54"/>
    <mergeCell ref="JET54:JEZ54"/>
    <mergeCell ref="JFA54:JFG54"/>
    <mergeCell ref="JFH54:JFN54"/>
    <mergeCell ref="JFO54:JFU54"/>
    <mergeCell ref="JDD54:JDJ54"/>
    <mergeCell ref="JDK54:JDQ54"/>
    <mergeCell ref="JDR54:JDX54"/>
    <mergeCell ref="JDY54:JEE54"/>
    <mergeCell ref="JEF54:JEL54"/>
    <mergeCell ref="JBU54:JCA54"/>
    <mergeCell ref="JCB54:JCH54"/>
    <mergeCell ref="JCI54:JCO54"/>
    <mergeCell ref="JCP54:JCV54"/>
    <mergeCell ref="JCW54:JDC54"/>
    <mergeCell ref="JAL54:JAR54"/>
    <mergeCell ref="JAS54:JAY54"/>
    <mergeCell ref="JAZ54:JBF54"/>
    <mergeCell ref="JBG54:JBM54"/>
    <mergeCell ref="JBN54:JBT54"/>
    <mergeCell ref="IZC54:IZI54"/>
    <mergeCell ref="IZJ54:IZP54"/>
    <mergeCell ref="IZQ54:IZW54"/>
    <mergeCell ref="IZX54:JAD54"/>
    <mergeCell ref="JAE54:JAK54"/>
    <mergeCell ref="IXT54:IXZ54"/>
    <mergeCell ref="IYA54:IYG54"/>
    <mergeCell ref="IYH54:IYN54"/>
    <mergeCell ref="IYO54:IYU54"/>
    <mergeCell ref="IYV54:IZB54"/>
    <mergeCell ref="IWK54:IWQ54"/>
    <mergeCell ref="IWR54:IWX54"/>
    <mergeCell ref="IWY54:IXE54"/>
    <mergeCell ref="IXF54:IXL54"/>
    <mergeCell ref="IXM54:IXS54"/>
    <mergeCell ref="IVB54:IVH54"/>
    <mergeCell ref="IVI54:IVO54"/>
    <mergeCell ref="IVP54:IVV54"/>
    <mergeCell ref="IVW54:IWC54"/>
    <mergeCell ref="IWD54:IWJ54"/>
    <mergeCell ref="ITS54:ITY54"/>
    <mergeCell ref="ITZ54:IUF54"/>
    <mergeCell ref="IUG54:IUM54"/>
    <mergeCell ref="IUN54:IUT54"/>
    <mergeCell ref="IUU54:IVA54"/>
    <mergeCell ref="ISJ54:ISP54"/>
    <mergeCell ref="ISQ54:ISW54"/>
    <mergeCell ref="ISX54:ITD54"/>
    <mergeCell ref="ITE54:ITK54"/>
    <mergeCell ref="ITL54:ITR54"/>
    <mergeCell ref="IRA54:IRG54"/>
    <mergeCell ref="IRH54:IRN54"/>
    <mergeCell ref="IRO54:IRU54"/>
    <mergeCell ref="IRV54:ISB54"/>
    <mergeCell ref="ISC54:ISI54"/>
    <mergeCell ref="IPR54:IPX54"/>
    <mergeCell ref="IPY54:IQE54"/>
    <mergeCell ref="IQF54:IQL54"/>
    <mergeCell ref="IQM54:IQS54"/>
    <mergeCell ref="IQT54:IQZ54"/>
    <mergeCell ref="IOI54:IOO54"/>
    <mergeCell ref="IOP54:IOV54"/>
    <mergeCell ref="IOW54:IPC54"/>
    <mergeCell ref="IPD54:IPJ54"/>
    <mergeCell ref="IPK54:IPQ54"/>
    <mergeCell ref="IMZ54:INF54"/>
    <mergeCell ref="ING54:INM54"/>
    <mergeCell ref="INN54:INT54"/>
    <mergeCell ref="INU54:IOA54"/>
    <mergeCell ref="IOB54:IOH54"/>
    <mergeCell ref="ILQ54:ILW54"/>
    <mergeCell ref="ILX54:IMD54"/>
    <mergeCell ref="IME54:IMK54"/>
    <mergeCell ref="IML54:IMR54"/>
    <mergeCell ref="IMS54:IMY54"/>
    <mergeCell ref="IKH54:IKN54"/>
    <mergeCell ref="IKO54:IKU54"/>
    <mergeCell ref="IKV54:ILB54"/>
    <mergeCell ref="ILC54:ILI54"/>
    <mergeCell ref="ILJ54:ILP54"/>
    <mergeCell ref="IIY54:IJE54"/>
    <mergeCell ref="IJF54:IJL54"/>
    <mergeCell ref="IJM54:IJS54"/>
    <mergeCell ref="IJT54:IJZ54"/>
    <mergeCell ref="IKA54:IKG54"/>
    <mergeCell ref="IHP54:IHV54"/>
    <mergeCell ref="IHW54:IIC54"/>
    <mergeCell ref="IID54:IIJ54"/>
    <mergeCell ref="IIK54:IIQ54"/>
    <mergeCell ref="IIR54:IIX54"/>
    <mergeCell ref="IGG54:IGM54"/>
    <mergeCell ref="IGN54:IGT54"/>
    <mergeCell ref="IGU54:IHA54"/>
    <mergeCell ref="IHB54:IHH54"/>
    <mergeCell ref="IHI54:IHO54"/>
    <mergeCell ref="IEX54:IFD54"/>
    <mergeCell ref="IFE54:IFK54"/>
    <mergeCell ref="IFL54:IFR54"/>
    <mergeCell ref="IFS54:IFY54"/>
    <mergeCell ref="IFZ54:IGF54"/>
    <mergeCell ref="IDO54:IDU54"/>
    <mergeCell ref="IDV54:IEB54"/>
    <mergeCell ref="IEC54:IEI54"/>
    <mergeCell ref="IEJ54:IEP54"/>
    <mergeCell ref="IEQ54:IEW54"/>
    <mergeCell ref="ICF54:ICL54"/>
    <mergeCell ref="ICM54:ICS54"/>
    <mergeCell ref="ICT54:ICZ54"/>
    <mergeCell ref="IDA54:IDG54"/>
    <mergeCell ref="IDH54:IDN54"/>
    <mergeCell ref="IAW54:IBC54"/>
    <mergeCell ref="IBD54:IBJ54"/>
    <mergeCell ref="IBK54:IBQ54"/>
    <mergeCell ref="IBR54:IBX54"/>
    <mergeCell ref="IBY54:ICE54"/>
    <mergeCell ref="HZN54:HZT54"/>
    <mergeCell ref="HZU54:IAA54"/>
    <mergeCell ref="IAB54:IAH54"/>
    <mergeCell ref="IAI54:IAO54"/>
    <mergeCell ref="IAP54:IAV54"/>
    <mergeCell ref="HYE54:HYK54"/>
    <mergeCell ref="HYL54:HYR54"/>
    <mergeCell ref="HYS54:HYY54"/>
    <mergeCell ref="HYZ54:HZF54"/>
    <mergeCell ref="HZG54:HZM54"/>
    <mergeCell ref="HWV54:HXB54"/>
    <mergeCell ref="HXC54:HXI54"/>
    <mergeCell ref="HXJ54:HXP54"/>
    <mergeCell ref="HXQ54:HXW54"/>
    <mergeCell ref="HXX54:HYD54"/>
    <mergeCell ref="HVM54:HVS54"/>
    <mergeCell ref="HVT54:HVZ54"/>
    <mergeCell ref="HWA54:HWG54"/>
    <mergeCell ref="HWH54:HWN54"/>
    <mergeCell ref="HWO54:HWU54"/>
    <mergeCell ref="HUD54:HUJ54"/>
    <mergeCell ref="HUK54:HUQ54"/>
    <mergeCell ref="HUR54:HUX54"/>
    <mergeCell ref="HUY54:HVE54"/>
    <mergeCell ref="HVF54:HVL54"/>
    <mergeCell ref="HSU54:HTA54"/>
    <mergeCell ref="HTB54:HTH54"/>
    <mergeCell ref="HTI54:HTO54"/>
    <mergeCell ref="HTP54:HTV54"/>
    <mergeCell ref="HTW54:HUC54"/>
    <mergeCell ref="HRL54:HRR54"/>
    <mergeCell ref="HRS54:HRY54"/>
    <mergeCell ref="HRZ54:HSF54"/>
    <mergeCell ref="HSG54:HSM54"/>
    <mergeCell ref="HSN54:HST54"/>
    <mergeCell ref="HQC54:HQI54"/>
    <mergeCell ref="HQJ54:HQP54"/>
    <mergeCell ref="HQQ54:HQW54"/>
    <mergeCell ref="HQX54:HRD54"/>
    <mergeCell ref="HRE54:HRK54"/>
    <mergeCell ref="HOT54:HOZ54"/>
    <mergeCell ref="HPA54:HPG54"/>
    <mergeCell ref="HPH54:HPN54"/>
    <mergeCell ref="HPO54:HPU54"/>
    <mergeCell ref="HPV54:HQB54"/>
    <mergeCell ref="HNK54:HNQ54"/>
    <mergeCell ref="HNR54:HNX54"/>
    <mergeCell ref="HNY54:HOE54"/>
    <mergeCell ref="HOF54:HOL54"/>
    <mergeCell ref="HOM54:HOS54"/>
    <mergeCell ref="HMB54:HMH54"/>
    <mergeCell ref="HMI54:HMO54"/>
    <mergeCell ref="HMP54:HMV54"/>
    <mergeCell ref="HMW54:HNC54"/>
    <mergeCell ref="HND54:HNJ54"/>
    <mergeCell ref="HKS54:HKY54"/>
    <mergeCell ref="HKZ54:HLF54"/>
    <mergeCell ref="HLG54:HLM54"/>
    <mergeCell ref="HLN54:HLT54"/>
    <mergeCell ref="HLU54:HMA54"/>
    <mergeCell ref="HJJ54:HJP54"/>
    <mergeCell ref="HJQ54:HJW54"/>
    <mergeCell ref="HJX54:HKD54"/>
    <mergeCell ref="HKE54:HKK54"/>
    <mergeCell ref="HKL54:HKR54"/>
    <mergeCell ref="HIA54:HIG54"/>
    <mergeCell ref="HIH54:HIN54"/>
    <mergeCell ref="HIO54:HIU54"/>
    <mergeCell ref="HIV54:HJB54"/>
    <mergeCell ref="HJC54:HJI54"/>
    <mergeCell ref="HGR54:HGX54"/>
    <mergeCell ref="HGY54:HHE54"/>
    <mergeCell ref="HHF54:HHL54"/>
    <mergeCell ref="HHM54:HHS54"/>
    <mergeCell ref="HHT54:HHZ54"/>
    <mergeCell ref="HFI54:HFO54"/>
    <mergeCell ref="HFP54:HFV54"/>
    <mergeCell ref="HFW54:HGC54"/>
    <mergeCell ref="HGD54:HGJ54"/>
    <mergeCell ref="HGK54:HGQ54"/>
    <mergeCell ref="HDZ54:HEF54"/>
    <mergeCell ref="HEG54:HEM54"/>
    <mergeCell ref="HEN54:HET54"/>
    <mergeCell ref="HEU54:HFA54"/>
    <mergeCell ref="HFB54:HFH54"/>
    <mergeCell ref="HCQ54:HCW54"/>
    <mergeCell ref="HCX54:HDD54"/>
    <mergeCell ref="HDE54:HDK54"/>
    <mergeCell ref="HDL54:HDR54"/>
    <mergeCell ref="HDS54:HDY54"/>
    <mergeCell ref="HBH54:HBN54"/>
    <mergeCell ref="HBO54:HBU54"/>
    <mergeCell ref="HBV54:HCB54"/>
    <mergeCell ref="HCC54:HCI54"/>
    <mergeCell ref="HCJ54:HCP54"/>
    <mergeCell ref="GZY54:HAE54"/>
    <mergeCell ref="HAF54:HAL54"/>
    <mergeCell ref="HAM54:HAS54"/>
    <mergeCell ref="HAT54:HAZ54"/>
    <mergeCell ref="HBA54:HBG54"/>
    <mergeCell ref="GYP54:GYV54"/>
    <mergeCell ref="GYW54:GZC54"/>
    <mergeCell ref="GZD54:GZJ54"/>
    <mergeCell ref="GZK54:GZQ54"/>
    <mergeCell ref="GZR54:GZX54"/>
    <mergeCell ref="GXG54:GXM54"/>
    <mergeCell ref="GXN54:GXT54"/>
    <mergeCell ref="GXU54:GYA54"/>
    <mergeCell ref="GYB54:GYH54"/>
    <mergeCell ref="GYI54:GYO54"/>
    <mergeCell ref="GVX54:GWD54"/>
    <mergeCell ref="GWE54:GWK54"/>
    <mergeCell ref="GWL54:GWR54"/>
    <mergeCell ref="GWS54:GWY54"/>
    <mergeCell ref="GWZ54:GXF54"/>
    <mergeCell ref="GUO54:GUU54"/>
    <mergeCell ref="GUV54:GVB54"/>
    <mergeCell ref="GVC54:GVI54"/>
    <mergeCell ref="GVJ54:GVP54"/>
    <mergeCell ref="GVQ54:GVW54"/>
    <mergeCell ref="GTF54:GTL54"/>
    <mergeCell ref="GTM54:GTS54"/>
    <mergeCell ref="GTT54:GTZ54"/>
    <mergeCell ref="GUA54:GUG54"/>
    <mergeCell ref="GUH54:GUN54"/>
    <mergeCell ref="GRW54:GSC54"/>
    <mergeCell ref="GSD54:GSJ54"/>
    <mergeCell ref="GSK54:GSQ54"/>
    <mergeCell ref="GSR54:GSX54"/>
    <mergeCell ref="GSY54:GTE54"/>
    <mergeCell ref="GQN54:GQT54"/>
    <mergeCell ref="GQU54:GRA54"/>
    <mergeCell ref="GRB54:GRH54"/>
    <mergeCell ref="GRI54:GRO54"/>
    <mergeCell ref="GRP54:GRV54"/>
    <mergeCell ref="GPE54:GPK54"/>
    <mergeCell ref="GPL54:GPR54"/>
    <mergeCell ref="GPS54:GPY54"/>
    <mergeCell ref="GPZ54:GQF54"/>
    <mergeCell ref="GQG54:GQM54"/>
    <mergeCell ref="GNV54:GOB54"/>
    <mergeCell ref="GOC54:GOI54"/>
    <mergeCell ref="GOJ54:GOP54"/>
    <mergeCell ref="GOQ54:GOW54"/>
    <mergeCell ref="GOX54:GPD54"/>
    <mergeCell ref="GMM54:GMS54"/>
    <mergeCell ref="GMT54:GMZ54"/>
    <mergeCell ref="GNA54:GNG54"/>
    <mergeCell ref="GNH54:GNN54"/>
    <mergeCell ref="GNO54:GNU54"/>
    <mergeCell ref="GLD54:GLJ54"/>
    <mergeCell ref="GLK54:GLQ54"/>
    <mergeCell ref="GLR54:GLX54"/>
    <mergeCell ref="GLY54:GME54"/>
    <mergeCell ref="GMF54:GML54"/>
    <mergeCell ref="GJU54:GKA54"/>
    <mergeCell ref="GKB54:GKH54"/>
    <mergeCell ref="GKI54:GKO54"/>
    <mergeCell ref="GKP54:GKV54"/>
    <mergeCell ref="GKW54:GLC54"/>
    <mergeCell ref="GIL54:GIR54"/>
    <mergeCell ref="GIS54:GIY54"/>
    <mergeCell ref="GIZ54:GJF54"/>
    <mergeCell ref="GJG54:GJM54"/>
    <mergeCell ref="GJN54:GJT54"/>
    <mergeCell ref="GHC54:GHI54"/>
    <mergeCell ref="GHJ54:GHP54"/>
    <mergeCell ref="GHQ54:GHW54"/>
    <mergeCell ref="GHX54:GID54"/>
    <mergeCell ref="GIE54:GIK54"/>
    <mergeCell ref="GFT54:GFZ54"/>
    <mergeCell ref="GGA54:GGG54"/>
    <mergeCell ref="GGH54:GGN54"/>
    <mergeCell ref="GGO54:GGU54"/>
    <mergeCell ref="GGV54:GHB54"/>
    <mergeCell ref="GEK54:GEQ54"/>
    <mergeCell ref="GER54:GEX54"/>
    <mergeCell ref="GEY54:GFE54"/>
    <mergeCell ref="GFF54:GFL54"/>
    <mergeCell ref="GFM54:GFS54"/>
    <mergeCell ref="GDB54:GDH54"/>
    <mergeCell ref="GDI54:GDO54"/>
    <mergeCell ref="GDP54:GDV54"/>
    <mergeCell ref="GDW54:GEC54"/>
    <mergeCell ref="GED54:GEJ54"/>
    <mergeCell ref="GBS54:GBY54"/>
    <mergeCell ref="GBZ54:GCF54"/>
    <mergeCell ref="GCG54:GCM54"/>
    <mergeCell ref="GCN54:GCT54"/>
    <mergeCell ref="GCU54:GDA54"/>
    <mergeCell ref="GAJ54:GAP54"/>
    <mergeCell ref="GAQ54:GAW54"/>
    <mergeCell ref="GAX54:GBD54"/>
    <mergeCell ref="GBE54:GBK54"/>
    <mergeCell ref="GBL54:GBR54"/>
    <mergeCell ref="FZA54:FZG54"/>
    <mergeCell ref="FZH54:FZN54"/>
    <mergeCell ref="FZO54:FZU54"/>
    <mergeCell ref="FZV54:GAB54"/>
    <mergeCell ref="GAC54:GAI54"/>
    <mergeCell ref="FXR54:FXX54"/>
    <mergeCell ref="FXY54:FYE54"/>
    <mergeCell ref="FYF54:FYL54"/>
    <mergeCell ref="FYM54:FYS54"/>
    <mergeCell ref="FYT54:FYZ54"/>
    <mergeCell ref="FWI54:FWO54"/>
    <mergeCell ref="FWP54:FWV54"/>
    <mergeCell ref="FWW54:FXC54"/>
    <mergeCell ref="FXD54:FXJ54"/>
    <mergeCell ref="FXK54:FXQ54"/>
    <mergeCell ref="FUZ54:FVF54"/>
    <mergeCell ref="FVG54:FVM54"/>
    <mergeCell ref="FVN54:FVT54"/>
    <mergeCell ref="FVU54:FWA54"/>
    <mergeCell ref="FWB54:FWH54"/>
    <mergeCell ref="FTQ54:FTW54"/>
    <mergeCell ref="FTX54:FUD54"/>
    <mergeCell ref="FUE54:FUK54"/>
    <mergeCell ref="FUL54:FUR54"/>
    <mergeCell ref="FUS54:FUY54"/>
    <mergeCell ref="FSH54:FSN54"/>
    <mergeCell ref="FSO54:FSU54"/>
    <mergeCell ref="FSV54:FTB54"/>
    <mergeCell ref="FTC54:FTI54"/>
    <mergeCell ref="FTJ54:FTP54"/>
    <mergeCell ref="FQY54:FRE54"/>
    <mergeCell ref="FRF54:FRL54"/>
    <mergeCell ref="FRM54:FRS54"/>
    <mergeCell ref="FRT54:FRZ54"/>
    <mergeCell ref="FSA54:FSG54"/>
    <mergeCell ref="FPP54:FPV54"/>
    <mergeCell ref="FPW54:FQC54"/>
    <mergeCell ref="FQD54:FQJ54"/>
    <mergeCell ref="FQK54:FQQ54"/>
    <mergeCell ref="FQR54:FQX54"/>
    <mergeCell ref="FOG54:FOM54"/>
    <mergeCell ref="FON54:FOT54"/>
    <mergeCell ref="FOU54:FPA54"/>
    <mergeCell ref="FPB54:FPH54"/>
    <mergeCell ref="FPI54:FPO54"/>
    <mergeCell ref="FMX54:FND54"/>
    <mergeCell ref="FNE54:FNK54"/>
    <mergeCell ref="FNL54:FNR54"/>
    <mergeCell ref="FNS54:FNY54"/>
    <mergeCell ref="FNZ54:FOF54"/>
    <mergeCell ref="FLO54:FLU54"/>
    <mergeCell ref="FLV54:FMB54"/>
    <mergeCell ref="FMC54:FMI54"/>
    <mergeCell ref="FMJ54:FMP54"/>
    <mergeCell ref="FMQ54:FMW54"/>
    <mergeCell ref="FKF54:FKL54"/>
    <mergeCell ref="FKM54:FKS54"/>
    <mergeCell ref="FKT54:FKZ54"/>
    <mergeCell ref="FLA54:FLG54"/>
    <mergeCell ref="FLH54:FLN54"/>
    <mergeCell ref="FIW54:FJC54"/>
    <mergeCell ref="FJD54:FJJ54"/>
    <mergeCell ref="FJK54:FJQ54"/>
    <mergeCell ref="FJR54:FJX54"/>
    <mergeCell ref="FJY54:FKE54"/>
    <mergeCell ref="FHN54:FHT54"/>
    <mergeCell ref="FHU54:FIA54"/>
    <mergeCell ref="FIB54:FIH54"/>
    <mergeCell ref="FII54:FIO54"/>
    <mergeCell ref="FIP54:FIV54"/>
    <mergeCell ref="FGE54:FGK54"/>
    <mergeCell ref="FGL54:FGR54"/>
    <mergeCell ref="FGS54:FGY54"/>
    <mergeCell ref="FGZ54:FHF54"/>
    <mergeCell ref="FHG54:FHM54"/>
    <mergeCell ref="FEV54:FFB54"/>
    <mergeCell ref="FFC54:FFI54"/>
    <mergeCell ref="FFJ54:FFP54"/>
    <mergeCell ref="FFQ54:FFW54"/>
    <mergeCell ref="FFX54:FGD54"/>
    <mergeCell ref="FDM54:FDS54"/>
    <mergeCell ref="FDT54:FDZ54"/>
    <mergeCell ref="FEA54:FEG54"/>
    <mergeCell ref="FEH54:FEN54"/>
    <mergeCell ref="FEO54:FEU54"/>
    <mergeCell ref="FCD54:FCJ54"/>
    <mergeCell ref="FCK54:FCQ54"/>
    <mergeCell ref="FCR54:FCX54"/>
    <mergeCell ref="FCY54:FDE54"/>
    <mergeCell ref="FDF54:FDL54"/>
    <mergeCell ref="FAU54:FBA54"/>
    <mergeCell ref="FBB54:FBH54"/>
    <mergeCell ref="FBI54:FBO54"/>
    <mergeCell ref="FBP54:FBV54"/>
    <mergeCell ref="FBW54:FCC54"/>
    <mergeCell ref="EZL54:EZR54"/>
    <mergeCell ref="EZS54:EZY54"/>
    <mergeCell ref="EZZ54:FAF54"/>
    <mergeCell ref="FAG54:FAM54"/>
    <mergeCell ref="FAN54:FAT54"/>
    <mergeCell ref="EYC54:EYI54"/>
    <mergeCell ref="EYJ54:EYP54"/>
    <mergeCell ref="EYQ54:EYW54"/>
    <mergeCell ref="EYX54:EZD54"/>
    <mergeCell ref="EZE54:EZK54"/>
    <mergeCell ref="EWT54:EWZ54"/>
    <mergeCell ref="EXA54:EXG54"/>
    <mergeCell ref="EXH54:EXN54"/>
    <mergeCell ref="EXO54:EXU54"/>
    <mergeCell ref="EXV54:EYB54"/>
    <mergeCell ref="EVK54:EVQ54"/>
    <mergeCell ref="EVR54:EVX54"/>
    <mergeCell ref="EVY54:EWE54"/>
    <mergeCell ref="EWF54:EWL54"/>
    <mergeCell ref="EWM54:EWS54"/>
    <mergeCell ref="EUB54:EUH54"/>
    <mergeCell ref="EUI54:EUO54"/>
    <mergeCell ref="EUP54:EUV54"/>
    <mergeCell ref="EUW54:EVC54"/>
    <mergeCell ref="EVD54:EVJ54"/>
    <mergeCell ref="ESS54:ESY54"/>
    <mergeCell ref="ESZ54:ETF54"/>
    <mergeCell ref="ETG54:ETM54"/>
    <mergeCell ref="ETN54:ETT54"/>
    <mergeCell ref="ETU54:EUA54"/>
    <mergeCell ref="ERJ54:ERP54"/>
    <mergeCell ref="ERQ54:ERW54"/>
    <mergeCell ref="ERX54:ESD54"/>
    <mergeCell ref="ESE54:ESK54"/>
    <mergeCell ref="ESL54:ESR54"/>
    <mergeCell ref="EQA54:EQG54"/>
    <mergeCell ref="EQH54:EQN54"/>
    <mergeCell ref="EQO54:EQU54"/>
    <mergeCell ref="EQV54:ERB54"/>
    <mergeCell ref="ERC54:ERI54"/>
    <mergeCell ref="EOR54:EOX54"/>
    <mergeCell ref="EOY54:EPE54"/>
    <mergeCell ref="EPF54:EPL54"/>
    <mergeCell ref="EPM54:EPS54"/>
    <mergeCell ref="EPT54:EPZ54"/>
    <mergeCell ref="ENI54:ENO54"/>
    <mergeCell ref="ENP54:ENV54"/>
    <mergeCell ref="ENW54:EOC54"/>
    <mergeCell ref="EOD54:EOJ54"/>
    <mergeCell ref="EOK54:EOQ54"/>
    <mergeCell ref="ELZ54:EMF54"/>
    <mergeCell ref="EMG54:EMM54"/>
    <mergeCell ref="EMN54:EMT54"/>
    <mergeCell ref="EMU54:ENA54"/>
    <mergeCell ref="ENB54:ENH54"/>
    <mergeCell ref="EKQ54:EKW54"/>
    <mergeCell ref="EKX54:ELD54"/>
    <mergeCell ref="ELE54:ELK54"/>
    <mergeCell ref="ELL54:ELR54"/>
    <mergeCell ref="ELS54:ELY54"/>
    <mergeCell ref="EJH54:EJN54"/>
    <mergeCell ref="EJO54:EJU54"/>
    <mergeCell ref="EJV54:EKB54"/>
    <mergeCell ref="EKC54:EKI54"/>
    <mergeCell ref="EKJ54:EKP54"/>
    <mergeCell ref="EHY54:EIE54"/>
    <mergeCell ref="EIF54:EIL54"/>
    <mergeCell ref="EIM54:EIS54"/>
    <mergeCell ref="EIT54:EIZ54"/>
    <mergeCell ref="EJA54:EJG54"/>
    <mergeCell ref="EGP54:EGV54"/>
    <mergeCell ref="EGW54:EHC54"/>
    <mergeCell ref="EHD54:EHJ54"/>
    <mergeCell ref="EHK54:EHQ54"/>
    <mergeCell ref="EHR54:EHX54"/>
    <mergeCell ref="EFG54:EFM54"/>
    <mergeCell ref="EFN54:EFT54"/>
    <mergeCell ref="EFU54:EGA54"/>
    <mergeCell ref="EGB54:EGH54"/>
    <mergeCell ref="EGI54:EGO54"/>
    <mergeCell ref="EDX54:EED54"/>
    <mergeCell ref="EEE54:EEK54"/>
    <mergeCell ref="EEL54:EER54"/>
    <mergeCell ref="EES54:EEY54"/>
    <mergeCell ref="EEZ54:EFF54"/>
    <mergeCell ref="ECO54:ECU54"/>
    <mergeCell ref="ECV54:EDB54"/>
    <mergeCell ref="EDC54:EDI54"/>
    <mergeCell ref="EDJ54:EDP54"/>
    <mergeCell ref="EDQ54:EDW54"/>
    <mergeCell ref="EBF54:EBL54"/>
    <mergeCell ref="EBM54:EBS54"/>
    <mergeCell ref="EBT54:EBZ54"/>
    <mergeCell ref="ECA54:ECG54"/>
    <mergeCell ref="ECH54:ECN54"/>
    <mergeCell ref="DZW54:EAC54"/>
    <mergeCell ref="EAD54:EAJ54"/>
    <mergeCell ref="EAK54:EAQ54"/>
    <mergeCell ref="EAR54:EAX54"/>
    <mergeCell ref="EAY54:EBE54"/>
    <mergeCell ref="DYN54:DYT54"/>
    <mergeCell ref="DYU54:DZA54"/>
    <mergeCell ref="DZB54:DZH54"/>
    <mergeCell ref="DZI54:DZO54"/>
    <mergeCell ref="DZP54:DZV54"/>
    <mergeCell ref="DXE54:DXK54"/>
    <mergeCell ref="DXL54:DXR54"/>
    <mergeCell ref="DXS54:DXY54"/>
    <mergeCell ref="DXZ54:DYF54"/>
    <mergeCell ref="DYG54:DYM54"/>
    <mergeCell ref="DVV54:DWB54"/>
    <mergeCell ref="DWC54:DWI54"/>
    <mergeCell ref="DWJ54:DWP54"/>
    <mergeCell ref="DWQ54:DWW54"/>
    <mergeCell ref="DWX54:DXD54"/>
    <mergeCell ref="DUM54:DUS54"/>
    <mergeCell ref="DUT54:DUZ54"/>
    <mergeCell ref="DVA54:DVG54"/>
    <mergeCell ref="DVH54:DVN54"/>
    <mergeCell ref="DVO54:DVU54"/>
    <mergeCell ref="DTD54:DTJ54"/>
    <mergeCell ref="DTK54:DTQ54"/>
    <mergeCell ref="DTR54:DTX54"/>
    <mergeCell ref="DTY54:DUE54"/>
    <mergeCell ref="DUF54:DUL54"/>
    <mergeCell ref="DRU54:DSA54"/>
    <mergeCell ref="DSB54:DSH54"/>
    <mergeCell ref="DSI54:DSO54"/>
    <mergeCell ref="DSP54:DSV54"/>
    <mergeCell ref="DSW54:DTC54"/>
    <mergeCell ref="DQL54:DQR54"/>
    <mergeCell ref="DQS54:DQY54"/>
    <mergeCell ref="DQZ54:DRF54"/>
    <mergeCell ref="DRG54:DRM54"/>
    <mergeCell ref="DRN54:DRT54"/>
    <mergeCell ref="DPC54:DPI54"/>
    <mergeCell ref="DPJ54:DPP54"/>
    <mergeCell ref="DPQ54:DPW54"/>
    <mergeCell ref="DPX54:DQD54"/>
    <mergeCell ref="DQE54:DQK54"/>
    <mergeCell ref="DNT54:DNZ54"/>
    <mergeCell ref="DOA54:DOG54"/>
    <mergeCell ref="DOH54:DON54"/>
    <mergeCell ref="DOO54:DOU54"/>
    <mergeCell ref="DOV54:DPB54"/>
    <mergeCell ref="DMK54:DMQ54"/>
    <mergeCell ref="DMR54:DMX54"/>
    <mergeCell ref="DMY54:DNE54"/>
    <mergeCell ref="DNF54:DNL54"/>
    <mergeCell ref="DNM54:DNS54"/>
    <mergeCell ref="DLB54:DLH54"/>
    <mergeCell ref="DLI54:DLO54"/>
    <mergeCell ref="DLP54:DLV54"/>
    <mergeCell ref="DLW54:DMC54"/>
    <mergeCell ref="DMD54:DMJ54"/>
    <mergeCell ref="DJS54:DJY54"/>
    <mergeCell ref="DJZ54:DKF54"/>
    <mergeCell ref="DKG54:DKM54"/>
    <mergeCell ref="DKN54:DKT54"/>
    <mergeCell ref="DKU54:DLA54"/>
    <mergeCell ref="DIJ54:DIP54"/>
    <mergeCell ref="DIQ54:DIW54"/>
    <mergeCell ref="DIX54:DJD54"/>
    <mergeCell ref="DJE54:DJK54"/>
    <mergeCell ref="DJL54:DJR54"/>
    <mergeCell ref="DHA54:DHG54"/>
    <mergeCell ref="DHH54:DHN54"/>
    <mergeCell ref="DHO54:DHU54"/>
    <mergeCell ref="DHV54:DIB54"/>
    <mergeCell ref="DIC54:DII54"/>
    <mergeCell ref="DFR54:DFX54"/>
    <mergeCell ref="DFY54:DGE54"/>
    <mergeCell ref="DGF54:DGL54"/>
    <mergeCell ref="DGM54:DGS54"/>
    <mergeCell ref="DGT54:DGZ54"/>
    <mergeCell ref="DEI54:DEO54"/>
    <mergeCell ref="DEP54:DEV54"/>
    <mergeCell ref="DEW54:DFC54"/>
    <mergeCell ref="DFD54:DFJ54"/>
    <mergeCell ref="DFK54:DFQ54"/>
    <mergeCell ref="DCZ54:DDF54"/>
    <mergeCell ref="DDG54:DDM54"/>
    <mergeCell ref="DDN54:DDT54"/>
    <mergeCell ref="DDU54:DEA54"/>
    <mergeCell ref="DEB54:DEH54"/>
    <mergeCell ref="DBQ54:DBW54"/>
    <mergeCell ref="DBX54:DCD54"/>
    <mergeCell ref="DCE54:DCK54"/>
    <mergeCell ref="DCL54:DCR54"/>
    <mergeCell ref="DCS54:DCY54"/>
    <mergeCell ref="DAH54:DAN54"/>
    <mergeCell ref="DAO54:DAU54"/>
    <mergeCell ref="DAV54:DBB54"/>
    <mergeCell ref="DBC54:DBI54"/>
    <mergeCell ref="DBJ54:DBP54"/>
    <mergeCell ref="CYY54:CZE54"/>
    <mergeCell ref="CZF54:CZL54"/>
    <mergeCell ref="CZM54:CZS54"/>
    <mergeCell ref="CZT54:CZZ54"/>
    <mergeCell ref="DAA54:DAG54"/>
    <mergeCell ref="CXP54:CXV54"/>
    <mergeCell ref="CXW54:CYC54"/>
    <mergeCell ref="CYD54:CYJ54"/>
    <mergeCell ref="CYK54:CYQ54"/>
    <mergeCell ref="CYR54:CYX54"/>
    <mergeCell ref="CWG54:CWM54"/>
    <mergeCell ref="CWN54:CWT54"/>
    <mergeCell ref="CWU54:CXA54"/>
    <mergeCell ref="CXB54:CXH54"/>
    <mergeCell ref="CXI54:CXO54"/>
    <mergeCell ref="CUX54:CVD54"/>
    <mergeCell ref="CVE54:CVK54"/>
    <mergeCell ref="CVL54:CVR54"/>
    <mergeCell ref="CVS54:CVY54"/>
    <mergeCell ref="CVZ54:CWF54"/>
    <mergeCell ref="CTO54:CTU54"/>
    <mergeCell ref="CTV54:CUB54"/>
    <mergeCell ref="CUC54:CUI54"/>
    <mergeCell ref="CUJ54:CUP54"/>
    <mergeCell ref="CUQ54:CUW54"/>
    <mergeCell ref="CSF54:CSL54"/>
    <mergeCell ref="CSM54:CSS54"/>
    <mergeCell ref="CST54:CSZ54"/>
    <mergeCell ref="CTA54:CTG54"/>
    <mergeCell ref="CTH54:CTN54"/>
    <mergeCell ref="CQW54:CRC54"/>
    <mergeCell ref="CRD54:CRJ54"/>
    <mergeCell ref="CRK54:CRQ54"/>
    <mergeCell ref="CRR54:CRX54"/>
    <mergeCell ref="CRY54:CSE54"/>
    <mergeCell ref="CPN54:CPT54"/>
    <mergeCell ref="CPU54:CQA54"/>
    <mergeCell ref="CQB54:CQH54"/>
    <mergeCell ref="CQI54:CQO54"/>
    <mergeCell ref="CQP54:CQV54"/>
    <mergeCell ref="COE54:COK54"/>
    <mergeCell ref="COL54:COR54"/>
    <mergeCell ref="COS54:COY54"/>
    <mergeCell ref="COZ54:CPF54"/>
    <mergeCell ref="CPG54:CPM54"/>
    <mergeCell ref="CMV54:CNB54"/>
    <mergeCell ref="CNC54:CNI54"/>
    <mergeCell ref="CNJ54:CNP54"/>
    <mergeCell ref="CNQ54:CNW54"/>
    <mergeCell ref="CNX54:COD54"/>
    <mergeCell ref="CLM54:CLS54"/>
    <mergeCell ref="CLT54:CLZ54"/>
    <mergeCell ref="CMA54:CMG54"/>
    <mergeCell ref="CMH54:CMN54"/>
    <mergeCell ref="CMO54:CMU54"/>
    <mergeCell ref="CKD54:CKJ54"/>
    <mergeCell ref="CKK54:CKQ54"/>
    <mergeCell ref="CKR54:CKX54"/>
    <mergeCell ref="CKY54:CLE54"/>
    <mergeCell ref="CLF54:CLL54"/>
    <mergeCell ref="CIU54:CJA54"/>
    <mergeCell ref="CJB54:CJH54"/>
    <mergeCell ref="CJI54:CJO54"/>
    <mergeCell ref="CJP54:CJV54"/>
    <mergeCell ref="CJW54:CKC54"/>
    <mergeCell ref="CHL54:CHR54"/>
    <mergeCell ref="CHS54:CHY54"/>
    <mergeCell ref="CHZ54:CIF54"/>
    <mergeCell ref="CIG54:CIM54"/>
    <mergeCell ref="CIN54:CIT54"/>
    <mergeCell ref="CGC54:CGI54"/>
    <mergeCell ref="CGJ54:CGP54"/>
    <mergeCell ref="CGQ54:CGW54"/>
    <mergeCell ref="CGX54:CHD54"/>
    <mergeCell ref="CHE54:CHK54"/>
    <mergeCell ref="CET54:CEZ54"/>
    <mergeCell ref="CFA54:CFG54"/>
    <mergeCell ref="CFH54:CFN54"/>
    <mergeCell ref="CFO54:CFU54"/>
    <mergeCell ref="CFV54:CGB54"/>
    <mergeCell ref="CDK54:CDQ54"/>
    <mergeCell ref="CDR54:CDX54"/>
    <mergeCell ref="CDY54:CEE54"/>
    <mergeCell ref="CEF54:CEL54"/>
    <mergeCell ref="CEM54:CES54"/>
    <mergeCell ref="CCB54:CCH54"/>
    <mergeCell ref="CCI54:CCO54"/>
    <mergeCell ref="CCP54:CCV54"/>
    <mergeCell ref="CCW54:CDC54"/>
    <mergeCell ref="CDD54:CDJ54"/>
    <mergeCell ref="CAS54:CAY54"/>
    <mergeCell ref="CAZ54:CBF54"/>
    <mergeCell ref="CBG54:CBM54"/>
    <mergeCell ref="CBN54:CBT54"/>
    <mergeCell ref="CBU54:CCA54"/>
    <mergeCell ref="BZJ54:BZP54"/>
    <mergeCell ref="BZQ54:BZW54"/>
    <mergeCell ref="BZX54:CAD54"/>
    <mergeCell ref="CAE54:CAK54"/>
    <mergeCell ref="CAL54:CAR54"/>
    <mergeCell ref="BYA54:BYG54"/>
    <mergeCell ref="BYH54:BYN54"/>
    <mergeCell ref="BYO54:BYU54"/>
    <mergeCell ref="BYV54:BZB54"/>
    <mergeCell ref="BZC54:BZI54"/>
    <mergeCell ref="BWR54:BWX54"/>
    <mergeCell ref="BWY54:BXE54"/>
    <mergeCell ref="BXF54:BXL54"/>
    <mergeCell ref="BXM54:BXS54"/>
    <mergeCell ref="BXT54:BXZ54"/>
    <mergeCell ref="BVI54:BVO54"/>
    <mergeCell ref="BVP54:BVV54"/>
    <mergeCell ref="BVW54:BWC54"/>
    <mergeCell ref="BWD54:BWJ54"/>
    <mergeCell ref="BWK54:BWQ54"/>
    <mergeCell ref="BTZ54:BUF54"/>
    <mergeCell ref="BUG54:BUM54"/>
    <mergeCell ref="BUN54:BUT54"/>
    <mergeCell ref="BUU54:BVA54"/>
    <mergeCell ref="BVB54:BVH54"/>
    <mergeCell ref="BSQ54:BSW54"/>
    <mergeCell ref="BSX54:BTD54"/>
    <mergeCell ref="BTE54:BTK54"/>
    <mergeCell ref="BTL54:BTR54"/>
    <mergeCell ref="BTS54:BTY54"/>
    <mergeCell ref="BRH54:BRN54"/>
    <mergeCell ref="BRO54:BRU54"/>
    <mergeCell ref="BRV54:BSB54"/>
    <mergeCell ref="BSC54:BSI54"/>
    <mergeCell ref="BSJ54:BSP54"/>
    <mergeCell ref="BPY54:BQE54"/>
    <mergeCell ref="BQF54:BQL54"/>
    <mergeCell ref="BQM54:BQS54"/>
    <mergeCell ref="BQT54:BQZ54"/>
    <mergeCell ref="BRA54:BRG54"/>
    <mergeCell ref="BOP54:BOV54"/>
    <mergeCell ref="BOW54:BPC54"/>
    <mergeCell ref="BPD54:BPJ54"/>
    <mergeCell ref="BPK54:BPQ54"/>
    <mergeCell ref="BPR54:BPX54"/>
    <mergeCell ref="BNG54:BNM54"/>
    <mergeCell ref="BNN54:BNT54"/>
    <mergeCell ref="BNU54:BOA54"/>
    <mergeCell ref="BOB54:BOH54"/>
    <mergeCell ref="BOI54:BOO54"/>
    <mergeCell ref="BLX54:BMD54"/>
    <mergeCell ref="BME54:BMK54"/>
    <mergeCell ref="BML54:BMR54"/>
    <mergeCell ref="BMS54:BMY54"/>
    <mergeCell ref="BMZ54:BNF54"/>
    <mergeCell ref="BKO54:BKU54"/>
    <mergeCell ref="BKV54:BLB54"/>
    <mergeCell ref="BLC54:BLI54"/>
    <mergeCell ref="BLJ54:BLP54"/>
    <mergeCell ref="BLQ54:BLW54"/>
    <mergeCell ref="BJF54:BJL54"/>
    <mergeCell ref="BJM54:BJS54"/>
    <mergeCell ref="BJT54:BJZ54"/>
    <mergeCell ref="BKA54:BKG54"/>
    <mergeCell ref="BKH54:BKN54"/>
    <mergeCell ref="BHW54:BIC54"/>
    <mergeCell ref="BID54:BIJ54"/>
    <mergeCell ref="BIK54:BIQ54"/>
    <mergeCell ref="BIR54:BIX54"/>
    <mergeCell ref="BIY54:BJE54"/>
    <mergeCell ref="BGN54:BGT54"/>
    <mergeCell ref="BGU54:BHA54"/>
    <mergeCell ref="BHB54:BHH54"/>
    <mergeCell ref="BHI54:BHO54"/>
    <mergeCell ref="BHP54:BHV54"/>
    <mergeCell ref="BFE54:BFK54"/>
    <mergeCell ref="BFL54:BFR54"/>
    <mergeCell ref="BFS54:BFY54"/>
    <mergeCell ref="BFZ54:BGF54"/>
    <mergeCell ref="BGG54:BGM54"/>
    <mergeCell ref="BDV54:BEB54"/>
    <mergeCell ref="BEC54:BEI54"/>
    <mergeCell ref="BEJ54:BEP54"/>
    <mergeCell ref="BEQ54:BEW54"/>
    <mergeCell ref="BEX54:BFD54"/>
    <mergeCell ref="BCM54:BCS54"/>
    <mergeCell ref="BCT54:BCZ54"/>
    <mergeCell ref="BDA54:BDG54"/>
    <mergeCell ref="BDH54:BDN54"/>
    <mergeCell ref="BDO54:BDU54"/>
    <mergeCell ref="BBD54:BBJ54"/>
    <mergeCell ref="BBK54:BBQ54"/>
    <mergeCell ref="BBR54:BBX54"/>
    <mergeCell ref="BBY54:BCE54"/>
    <mergeCell ref="BCF54:BCL54"/>
    <mergeCell ref="AZU54:BAA54"/>
    <mergeCell ref="BAB54:BAH54"/>
    <mergeCell ref="BAI54:BAO54"/>
    <mergeCell ref="BAP54:BAV54"/>
    <mergeCell ref="BAW54:BBC54"/>
    <mergeCell ref="AYL54:AYR54"/>
    <mergeCell ref="AYS54:AYY54"/>
    <mergeCell ref="AYZ54:AZF54"/>
    <mergeCell ref="AZG54:AZM54"/>
    <mergeCell ref="AZN54:AZT54"/>
    <mergeCell ref="AXC54:AXI54"/>
    <mergeCell ref="AXJ54:AXP54"/>
    <mergeCell ref="AXQ54:AXW54"/>
    <mergeCell ref="AXX54:AYD54"/>
    <mergeCell ref="AYE54:AYK54"/>
    <mergeCell ref="AVT54:AVZ54"/>
    <mergeCell ref="AWA54:AWG54"/>
    <mergeCell ref="AWH54:AWN54"/>
    <mergeCell ref="AWO54:AWU54"/>
    <mergeCell ref="AWV54:AXB54"/>
    <mergeCell ref="AUK54:AUQ54"/>
    <mergeCell ref="AUR54:AUX54"/>
    <mergeCell ref="AUY54:AVE54"/>
    <mergeCell ref="AVF54:AVL54"/>
    <mergeCell ref="AVM54:AVS54"/>
    <mergeCell ref="ATB54:ATH54"/>
    <mergeCell ref="ATI54:ATO54"/>
    <mergeCell ref="ATP54:ATV54"/>
    <mergeCell ref="ATW54:AUC54"/>
    <mergeCell ref="AUD54:AUJ54"/>
    <mergeCell ref="ARS54:ARY54"/>
    <mergeCell ref="ARZ54:ASF54"/>
    <mergeCell ref="ASG54:ASM54"/>
    <mergeCell ref="ASN54:AST54"/>
    <mergeCell ref="ASU54:ATA54"/>
    <mergeCell ref="AQJ54:AQP54"/>
    <mergeCell ref="AQQ54:AQW54"/>
    <mergeCell ref="AQX54:ARD54"/>
    <mergeCell ref="ARE54:ARK54"/>
    <mergeCell ref="ARL54:ARR54"/>
    <mergeCell ref="APA54:APG54"/>
    <mergeCell ref="APH54:APN54"/>
    <mergeCell ref="APO54:APU54"/>
    <mergeCell ref="APV54:AQB54"/>
    <mergeCell ref="AQC54:AQI54"/>
    <mergeCell ref="ANR54:ANX54"/>
    <mergeCell ref="ANY54:AOE54"/>
    <mergeCell ref="AOF54:AOL54"/>
    <mergeCell ref="AOM54:AOS54"/>
    <mergeCell ref="AOT54:AOZ54"/>
    <mergeCell ref="AMI54:AMO54"/>
    <mergeCell ref="AMP54:AMV54"/>
    <mergeCell ref="AMW54:ANC54"/>
    <mergeCell ref="AND54:ANJ54"/>
    <mergeCell ref="ANK54:ANQ54"/>
    <mergeCell ref="AKZ54:ALF54"/>
    <mergeCell ref="ALG54:ALM54"/>
    <mergeCell ref="ALN54:ALT54"/>
    <mergeCell ref="ALU54:AMA54"/>
    <mergeCell ref="AMB54:AMH54"/>
    <mergeCell ref="AJQ54:AJW54"/>
    <mergeCell ref="AJX54:AKD54"/>
    <mergeCell ref="AKE54:AKK54"/>
    <mergeCell ref="AKL54:AKR54"/>
    <mergeCell ref="AKS54:AKY54"/>
    <mergeCell ref="AIH54:AIN54"/>
    <mergeCell ref="AIO54:AIU54"/>
    <mergeCell ref="AIV54:AJB54"/>
    <mergeCell ref="AJC54:AJI54"/>
    <mergeCell ref="AJJ54:AJP54"/>
    <mergeCell ref="AGY54:AHE54"/>
    <mergeCell ref="AHF54:AHL54"/>
    <mergeCell ref="AHM54:AHS54"/>
    <mergeCell ref="AHT54:AHZ54"/>
    <mergeCell ref="AIA54:AIG54"/>
    <mergeCell ref="AFP54:AFV54"/>
    <mergeCell ref="AFW54:AGC54"/>
    <mergeCell ref="AGD54:AGJ54"/>
    <mergeCell ref="AGK54:AGQ54"/>
    <mergeCell ref="AGR54:AGX54"/>
    <mergeCell ref="AEG54:AEM54"/>
    <mergeCell ref="AEN54:AET54"/>
    <mergeCell ref="AEU54:AFA54"/>
    <mergeCell ref="AFB54:AFH54"/>
    <mergeCell ref="AFI54:AFO54"/>
    <mergeCell ref="ACX54:ADD54"/>
    <mergeCell ref="ADE54:ADK54"/>
    <mergeCell ref="ADL54:ADR54"/>
    <mergeCell ref="ADS54:ADY54"/>
    <mergeCell ref="ADZ54:AEF54"/>
    <mergeCell ref="ABO54:ABU54"/>
    <mergeCell ref="ABV54:ACB54"/>
    <mergeCell ref="ACC54:ACI54"/>
    <mergeCell ref="ACJ54:ACP54"/>
    <mergeCell ref="ACQ54:ACW54"/>
    <mergeCell ref="AAF54:AAL54"/>
    <mergeCell ref="AAM54:AAS54"/>
    <mergeCell ref="AAT54:AAZ54"/>
    <mergeCell ref="ABA54:ABG54"/>
    <mergeCell ref="ABH54:ABN54"/>
    <mergeCell ref="YW54:ZC54"/>
    <mergeCell ref="ZD54:ZJ54"/>
    <mergeCell ref="ZK54:ZQ54"/>
    <mergeCell ref="ZR54:ZX54"/>
    <mergeCell ref="ZY54:AAE54"/>
    <mergeCell ref="XN54:XT54"/>
    <mergeCell ref="XU54:YA54"/>
    <mergeCell ref="YB54:YH54"/>
    <mergeCell ref="YI54:YO54"/>
    <mergeCell ref="YP54:YV54"/>
    <mergeCell ref="WE54:WK54"/>
    <mergeCell ref="WL54:WR54"/>
    <mergeCell ref="WS54:WY54"/>
    <mergeCell ref="WZ54:XF54"/>
    <mergeCell ref="XG54:XM54"/>
    <mergeCell ref="UV54:VB54"/>
    <mergeCell ref="VC54:VI54"/>
    <mergeCell ref="VJ54:VP54"/>
    <mergeCell ref="VQ54:VW54"/>
    <mergeCell ref="VX54:WD54"/>
    <mergeCell ref="TM54:TS54"/>
    <mergeCell ref="TT54:TZ54"/>
    <mergeCell ref="UA54:UG54"/>
    <mergeCell ref="UH54:UN54"/>
    <mergeCell ref="UO54:UU54"/>
    <mergeCell ref="SD54:SJ54"/>
    <mergeCell ref="SK54:SQ54"/>
    <mergeCell ref="SR54:SX54"/>
    <mergeCell ref="SY54:TE54"/>
    <mergeCell ref="TF54:TL54"/>
    <mergeCell ref="QU54:RA54"/>
    <mergeCell ref="RB54:RH54"/>
    <mergeCell ref="RI54:RO54"/>
    <mergeCell ref="RP54:RV54"/>
    <mergeCell ref="RW54:SC54"/>
    <mergeCell ref="PL54:PR54"/>
    <mergeCell ref="PS54:PY54"/>
    <mergeCell ref="PZ54:QF54"/>
    <mergeCell ref="QG54:QM54"/>
    <mergeCell ref="QN54:QT54"/>
    <mergeCell ref="OC54:OI54"/>
    <mergeCell ref="OJ54:OP54"/>
    <mergeCell ref="OQ54:OW54"/>
    <mergeCell ref="OX54:PD54"/>
    <mergeCell ref="PE54:PK54"/>
    <mergeCell ref="MT54:MZ54"/>
    <mergeCell ref="NA54:NG54"/>
    <mergeCell ref="NH54:NN54"/>
    <mergeCell ref="NO54:NU54"/>
    <mergeCell ref="NV54:OB54"/>
    <mergeCell ref="LK54:LQ54"/>
    <mergeCell ref="LR54:LX54"/>
    <mergeCell ref="LY54:ME54"/>
    <mergeCell ref="MF54:ML54"/>
    <mergeCell ref="MM54:MS54"/>
    <mergeCell ref="KB54:KH54"/>
    <mergeCell ref="KI54:KO54"/>
    <mergeCell ref="KP54:KV54"/>
    <mergeCell ref="KW54:LC54"/>
    <mergeCell ref="LD54:LJ54"/>
    <mergeCell ref="IS54:IY54"/>
    <mergeCell ref="IZ54:JF54"/>
    <mergeCell ref="JG54:JM54"/>
    <mergeCell ref="JN54:JT54"/>
    <mergeCell ref="JU54:KA54"/>
    <mergeCell ref="HJ54:HP54"/>
    <mergeCell ref="HQ54:HW54"/>
    <mergeCell ref="HX54:ID54"/>
    <mergeCell ref="IE54:IK54"/>
    <mergeCell ref="IL54:IR54"/>
    <mergeCell ref="GA54:GG54"/>
    <mergeCell ref="GH54:GN54"/>
    <mergeCell ref="GO54:GU54"/>
    <mergeCell ref="GV54:HB54"/>
    <mergeCell ref="HC54:HI54"/>
    <mergeCell ref="ER54:EX54"/>
    <mergeCell ref="EY54:FE54"/>
    <mergeCell ref="FF54:FL54"/>
    <mergeCell ref="FM54:FS54"/>
    <mergeCell ref="FT54:FZ54"/>
    <mergeCell ref="DI54:DO54"/>
    <mergeCell ref="DP54:DV54"/>
    <mergeCell ref="DW54:EC54"/>
    <mergeCell ref="ED54:EJ54"/>
    <mergeCell ref="EK54:EQ54"/>
    <mergeCell ref="BZ54:CF54"/>
    <mergeCell ref="CG54:CM54"/>
    <mergeCell ref="CN54:CT54"/>
    <mergeCell ref="CU54:DA54"/>
    <mergeCell ref="DB54:DH54"/>
    <mergeCell ref="AQ54:AW54"/>
    <mergeCell ref="AX54:BD54"/>
    <mergeCell ref="BE54:BK54"/>
    <mergeCell ref="BL54:BR54"/>
    <mergeCell ref="BS54:BY54"/>
    <mergeCell ref="O54:U54"/>
    <mergeCell ref="V54:AB54"/>
    <mergeCell ref="AC54:AI54"/>
    <mergeCell ref="AJ54:AP54"/>
    <mergeCell ref="XDY47:XEE47"/>
    <mergeCell ref="XEF47:XEL47"/>
    <mergeCell ref="XEM47:XES47"/>
    <mergeCell ref="XET47:XEZ47"/>
    <mergeCell ref="XFA47:XFD47"/>
    <mergeCell ref="XCP47:XCV47"/>
    <mergeCell ref="XCW47:XDC47"/>
    <mergeCell ref="XDD47:XDJ47"/>
    <mergeCell ref="XDK47:XDQ47"/>
    <mergeCell ref="XDR47:XDX47"/>
    <mergeCell ref="XBG47:XBM47"/>
    <mergeCell ref="XBN47:XBT47"/>
    <mergeCell ref="XBU47:XCA47"/>
    <mergeCell ref="XCB47:XCH47"/>
    <mergeCell ref="XCI47:XCO47"/>
    <mergeCell ref="WZX47:XAD47"/>
    <mergeCell ref="XAE47:XAK47"/>
    <mergeCell ref="XAL47:XAR47"/>
    <mergeCell ref="XAS47:XAY47"/>
    <mergeCell ref="XAZ47:XBF47"/>
    <mergeCell ref="WYO47:WYU47"/>
    <mergeCell ref="WYV47:WZB47"/>
    <mergeCell ref="WZC47:WZI47"/>
    <mergeCell ref="WZJ47:WZP47"/>
    <mergeCell ref="WZQ47:WZW47"/>
    <mergeCell ref="WXF47:WXL47"/>
    <mergeCell ref="WXM47:WXS47"/>
    <mergeCell ref="WXT47:WXZ47"/>
    <mergeCell ref="WYA47:WYG47"/>
    <mergeCell ref="WYH47:WYN47"/>
    <mergeCell ref="WVW47:WWC47"/>
    <mergeCell ref="WWD47:WWJ47"/>
    <mergeCell ref="WWK47:WWQ47"/>
    <mergeCell ref="WWR47:WWX47"/>
    <mergeCell ref="WWY47:WXE47"/>
    <mergeCell ref="WUN47:WUT47"/>
    <mergeCell ref="WUU47:WVA47"/>
    <mergeCell ref="WVB47:WVH47"/>
    <mergeCell ref="WVI47:WVO47"/>
    <mergeCell ref="WVP47:WVV47"/>
    <mergeCell ref="WTE47:WTK47"/>
    <mergeCell ref="WTL47:WTR47"/>
    <mergeCell ref="WTS47:WTY47"/>
    <mergeCell ref="WTZ47:WUF47"/>
    <mergeCell ref="WUG47:WUM47"/>
    <mergeCell ref="WRV47:WSB47"/>
    <mergeCell ref="WSC47:WSI47"/>
    <mergeCell ref="WSJ47:WSP47"/>
    <mergeCell ref="WSQ47:WSW47"/>
    <mergeCell ref="WSX47:WTD47"/>
    <mergeCell ref="WQM47:WQS47"/>
    <mergeCell ref="WQT47:WQZ47"/>
    <mergeCell ref="WRA47:WRG47"/>
    <mergeCell ref="WRH47:WRN47"/>
    <mergeCell ref="WRO47:WRU47"/>
    <mergeCell ref="WPD47:WPJ47"/>
    <mergeCell ref="WPK47:WPQ47"/>
    <mergeCell ref="WPR47:WPX47"/>
    <mergeCell ref="WPY47:WQE47"/>
    <mergeCell ref="WQF47:WQL47"/>
    <mergeCell ref="WNU47:WOA47"/>
    <mergeCell ref="WOB47:WOH47"/>
    <mergeCell ref="WOI47:WOO47"/>
    <mergeCell ref="WOP47:WOV47"/>
    <mergeCell ref="WOW47:WPC47"/>
    <mergeCell ref="WML47:WMR47"/>
    <mergeCell ref="WMS47:WMY47"/>
    <mergeCell ref="WMZ47:WNF47"/>
    <mergeCell ref="WNG47:WNM47"/>
    <mergeCell ref="WNN47:WNT47"/>
    <mergeCell ref="WLC47:WLI47"/>
    <mergeCell ref="WLJ47:WLP47"/>
    <mergeCell ref="WLQ47:WLW47"/>
    <mergeCell ref="WLX47:WMD47"/>
    <mergeCell ref="WME47:WMK47"/>
    <mergeCell ref="WJT47:WJZ47"/>
    <mergeCell ref="WKA47:WKG47"/>
    <mergeCell ref="WKH47:WKN47"/>
    <mergeCell ref="WKO47:WKU47"/>
    <mergeCell ref="WKV47:WLB47"/>
    <mergeCell ref="WIK47:WIQ47"/>
    <mergeCell ref="WIR47:WIX47"/>
    <mergeCell ref="WIY47:WJE47"/>
    <mergeCell ref="WJF47:WJL47"/>
    <mergeCell ref="WJM47:WJS47"/>
    <mergeCell ref="WHB47:WHH47"/>
    <mergeCell ref="WHI47:WHO47"/>
    <mergeCell ref="WHP47:WHV47"/>
    <mergeCell ref="WHW47:WIC47"/>
    <mergeCell ref="WID47:WIJ47"/>
    <mergeCell ref="WFS47:WFY47"/>
    <mergeCell ref="WFZ47:WGF47"/>
    <mergeCell ref="WGG47:WGM47"/>
    <mergeCell ref="WGN47:WGT47"/>
    <mergeCell ref="WGU47:WHA47"/>
    <mergeCell ref="WEJ47:WEP47"/>
    <mergeCell ref="WEQ47:WEW47"/>
    <mergeCell ref="WEX47:WFD47"/>
    <mergeCell ref="WFE47:WFK47"/>
    <mergeCell ref="WFL47:WFR47"/>
    <mergeCell ref="WDA47:WDG47"/>
    <mergeCell ref="WDH47:WDN47"/>
    <mergeCell ref="WDO47:WDU47"/>
    <mergeCell ref="WDV47:WEB47"/>
    <mergeCell ref="WEC47:WEI47"/>
    <mergeCell ref="WBR47:WBX47"/>
    <mergeCell ref="WBY47:WCE47"/>
    <mergeCell ref="WCF47:WCL47"/>
    <mergeCell ref="WCM47:WCS47"/>
    <mergeCell ref="WCT47:WCZ47"/>
    <mergeCell ref="WAI47:WAO47"/>
    <mergeCell ref="WAP47:WAV47"/>
    <mergeCell ref="WAW47:WBC47"/>
    <mergeCell ref="WBD47:WBJ47"/>
    <mergeCell ref="WBK47:WBQ47"/>
    <mergeCell ref="VYZ47:VZF47"/>
    <mergeCell ref="VZG47:VZM47"/>
    <mergeCell ref="VZN47:VZT47"/>
    <mergeCell ref="VZU47:WAA47"/>
    <mergeCell ref="WAB47:WAH47"/>
    <mergeCell ref="VXQ47:VXW47"/>
    <mergeCell ref="VXX47:VYD47"/>
    <mergeCell ref="VYE47:VYK47"/>
    <mergeCell ref="VYL47:VYR47"/>
    <mergeCell ref="VYS47:VYY47"/>
    <mergeCell ref="VWH47:VWN47"/>
    <mergeCell ref="VWO47:VWU47"/>
    <mergeCell ref="VWV47:VXB47"/>
    <mergeCell ref="VXC47:VXI47"/>
    <mergeCell ref="VXJ47:VXP47"/>
    <mergeCell ref="VUY47:VVE47"/>
    <mergeCell ref="VVF47:VVL47"/>
    <mergeCell ref="VVM47:VVS47"/>
    <mergeCell ref="VVT47:VVZ47"/>
    <mergeCell ref="VWA47:VWG47"/>
    <mergeCell ref="VTP47:VTV47"/>
    <mergeCell ref="VTW47:VUC47"/>
    <mergeCell ref="VUD47:VUJ47"/>
    <mergeCell ref="VUK47:VUQ47"/>
    <mergeCell ref="VUR47:VUX47"/>
    <mergeCell ref="VSG47:VSM47"/>
    <mergeCell ref="VSN47:VST47"/>
    <mergeCell ref="VSU47:VTA47"/>
    <mergeCell ref="VTB47:VTH47"/>
    <mergeCell ref="VTI47:VTO47"/>
    <mergeCell ref="VQX47:VRD47"/>
    <mergeCell ref="VRE47:VRK47"/>
    <mergeCell ref="VRL47:VRR47"/>
    <mergeCell ref="VRS47:VRY47"/>
    <mergeCell ref="VRZ47:VSF47"/>
    <mergeCell ref="VPO47:VPU47"/>
    <mergeCell ref="VPV47:VQB47"/>
    <mergeCell ref="VQC47:VQI47"/>
    <mergeCell ref="VQJ47:VQP47"/>
    <mergeCell ref="VQQ47:VQW47"/>
    <mergeCell ref="VOF47:VOL47"/>
    <mergeCell ref="VOM47:VOS47"/>
    <mergeCell ref="VOT47:VOZ47"/>
    <mergeCell ref="VPA47:VPG47"/>
    <mergeCell ref="VPH47:VPN47"/>
    <mergeCell ref="VMW47:VNC47"/>
    <mergeCell ref="VND47:VNJ47"/>
    <mergeCell ref="VNK47:VNQ47"/>
    <mergeCell ref="VNR47:VNX47"/>
    <mergeCell ref="VNY47:VOE47"/>
    <mergeCell ref="VLN47:VLT47"/>
    <mergeCell ref="VLU47:VMA47"/>
    <mergeCell ref="VMB47:VMH47"/>
    <mergeCell ref="VMI47:VMO47"/>
    <mergeCell ref="VMP47:VMV47"/>
    <mergeCell ref="VKE47:VKK47"/>
    <mergeCell ref="VKL47:VKR47"/>
    <mergeCell ref="VKS47:VKY47"/>
    <mergeCell ref="VKZ47:VLF47"/>
    <mergeCell ref="VLG47:VLM47"/>
    <mergeCell ref="VIV47:VJB47"/>
    <mergeCell ref="VJC47:VJI47"/>
    <mergeCell ref="VJJ47:VJP47"/>
    <mergeCell ref="VJQ47:VJW47"/>
    <mergeCell ref="VJX47:VKD47"/>
    <mergeCell ref="VHM47:VHS47"/>
    <mergeCell ref="VHT47:VHZ47"/>
    <mergeCell ref="VIA47:VIG47"/>
    <mergeCell ref="VIH47:VIN47"/>
    <mergeCell ref="VIO47:VIU47"/>
    <mergeCell ref="VGD47:VGJ47"/>
    <mergeCell ref="VGK47:VGQ47"/>
    <mergeCell ref="VGR47:VGX47"/>
    <mergeCell ref="VGY47:VHE47"/>
    <mergeCell ref="VHF47:VHL47"/>
    <mergeCell ref="VEU47:VFA47"/>
    <mergeCell ref="VFB47:VFH47"/>
    <mergeCell ref="VFI47:VFO47"/>
    <mergeCell ref="VFP47:VFV47"/>
    <mergeCell ref="VFW47:VGC47"/>
    <mergeCell ref="VDL47:VDR47"/>
    <mergeCell ref="VDS47:VDY47"/>
    <mergeCell ref="VDZ47:VEF47"/>
    <mergeCell ref="VEG47:VEM47"/>
    <mergeCell ref="VEN47:VET47"/>
    <mergeCell ref="VCC47:VCI47"/>
    <mergeCell ref="VCJ47:VCP47"/>
    <mergeCell ref="VCQ47:VCW47"/>
    <mergeCell ref="VCX47:VDD47"/>
    <mergeCell ref="VDE47:VDK47"/>
    <mergeCell ref="VAT47:VAZ47"/>
    <mergeCell ref="VBA47:VBG47"/>
    <mergeCell ref="VBH47:VBN47"/>
    <mergeCell ref="VBO47:VBU47"/>
    <mergeCell ref="VBV47:VCB47"/>
    <mergeCell ref="UZK47:UZQ47"/>
    <mergeCell ref="UZR47:UZX47"/>
    <mergeCell ref="UZY47:VAE47"/>
    <mergeCell ref="VAF47:VAL47"/>
    <mergeCell ref="VAM47:VAS47"/>
    <mergeCell ref="UYB47:UYH47"/>
    <mergeCell ref="UYI47:UYO47"/>
    <mergeCell ref="UYP47:UYV47"/>
    <mergeCell ref="UYW47:UZC47"/>
    <mergeCell ref="UZD47:UZJ47"/>
    <mergeCell ref="UWS47:UWY47"/>
    <mergeCell ref="UWZ47:UXF47"/>
    <mergeCell ref="UXG47:UXM47"/>
    <mergeCell ref="UXN47:UXT47"/>
    <mergeCell ref="UXU47:UYA47"/>
    <mergeCell ref="UVJ47:UVP47"/>
    <mergeCell ref="UVQ47:UVW47"/>
    <mergeCell ref="UVX47:UWD47"/>
    <mergeCell ref="UWE47:UWK47"/>
    <mergeCell ref="UWL47:UWR47"/>
    <mergeCell ref="UUA47:UUG47"/>
    <mergeCell ref="UUH47:UUN47"/>
    <mergeCell ref="UUO47:UUU47"/>
    <mergeCell ref="UUV47:UVB47"/>
    <mergeCell ref="UVC47:UVI47"/>
    <mergeCell ref="USR47:USX47"/>
    <mergeCell ref="USY47:UTE47"/>
    <mergeCell ref="UTF47:UTL47"/>
    <mergeCell ref="UTM47:UTS47"/>
    <mergeCell ref="UTT47:UTZ47"/>
    <mergeCell ref="URI47:URO47"/>
    <mergeCell ref="URP47:URV47"/>
    <mergeCell ref="URW47:USC47"/>
    <mergeCell ref="USD47:USJ47"/>
    <mergeCell ref="USK47:USQ47"/>
    <mergeCell ref="UPZ47:UQF47"/>
    <mergeCell ref="UQG47:UQM47"/>
    <mergeCell ref="UQN47:UQT47"/>
    <mergeCell ref="UQU47:URA47"/>
    <mergeCell ref="URB47:URH47"/>
    <mergeCell ref="UOQ47:UOW47"/>
    <mergeCell ref="UOX47:UPD47"/>
    <mergeCell ref="UPE47:UPK47"/>
    <mergeCell ref="UPL47:UPR47"/>
    <mergeCell ref="UPS47:UPY47"/>
    <mergeCell ref="UNH47:UNN47"/>
    <mergeCell ref="UNO47:UNU47"/>
    <mergeCell ref="UNV47:UOB47"/>
    <mergeCell ref="UOC47:UOI47"/>
    <mergeCell ref="UOJ47:UOP47"/>
    <mergeCell ref="ULY47:UME47"/>
    <mergeCell ref="UMF47:UML47"/>
    <mergeCell ref="UMM47:UMS47"/>
    <mergeCell ref="UMT47:UMZ47"/>
    <mergeCell ref="UNA47:UNG47"/>
    <mergeCell ref="UKP47:UKV47"/>
    <mergeCell ref="UKW47:ULC47"/>
    <mergeCell ref="ULD47:ULJ47"/>
    <mergeCell ref="ULK47:ULQ47"/>
    <mergeCell ref="ULR47:ULX47"/>
    <mergeCell ref="UJG47:UJM47"/>
    <mergeCell ref="UJN47:UJT47"/>
    <mergeCell ref="UJU47:UKA47"/>
    <mergeCell ref="UKB47:UKH47"/>
    <mergeCell ref="UKI47:UKO47"/>
    <mergeCell ref="UHX47:UID47"/>
    <mergeCell ref="UIE47:UIK47"/>
    <mergeCell ref="UIL47:UIR47"/>
    <mergeCell ref="UIS47:UIY47"/>
    <mergeCell ref="UIZ47:UJF47"/>
    <mergeCell ref="UGO47:UGU47"/>
    <mergeCell ref="UGV47:UHB47"/>
    <mergeCell ref="UHC47:UHI47"/>
    <mergeCell ref="UHJ47:UHP47"/>
    <mergeCell ref="UHQ47:UHW47"/>
    <mergeCell ref="UFF47:UFL47"/>
    <mergeCell ref="UFM47:UFS47"/>
    <mergeCell ref="UFT47:UFZ47"/>
    <mergeCell ref="UGA47:UGG47"/>
    <mergeCell ref="UGH47:UGN47"/>
    <mergeCell ref="UDW47:UEC47"/>
    <mergeCell ref="UED47:UEJ47"/>
    <mergeCell ref="UEK47:UEQ47"/>
    <mergeCell ref="UER47:UEX47"/>
    <mergeCell ref="UEY47:UFE47"/>
    <mergeCell ref="UCN47:UCT47"/>
    <mergeCell ref="UCU47:UDA47"/>
    <mergeCell ref="UDB47:UDH47"/>
    <mergeCell ref="UDI47:UDO47"/>
    <mergeCell ref="UDP47:UDV47"/>
    <mergeCell ref="UBE47:UBK47"/>
    <mergeCell ref="UBL47:UBR47"/>
    <mergeCell ref="UBS47:UBY47"/>
    <mergeCell ref="UBZ47:UCF47"/>
    <mergeCell ref="UCG47:UCM47"/>
    <mergeCell ref="TZV47:UAB47"/>
    <mergeCell ref="UAC47:UAI47"/>
    <mergeCell ref="UAJ47:UAP47"/>
    <mergeCell ref="UAQ47:UAW47"/>
    <mergeCell ref="UAX47:UBD47"/>
    <mergeCell ref="TYM47:TYS47"/>
    <mergeCell ref="TYT47:TYZ47"/>
    <mergeCell ref="TZA47:TZG47"/>
    <mergeCell ref="TZH47:TZN47"/>
    <mergeCell ref="TZO47:TZU47"/>
    <mergeCell ref="TXD47:TXJ47"/>
    <mergeCell ref="TXK47:TXQ47"/>
    <mergeCell ref="TXR47:TXX47"/>
    <mergeCell ref="TXY47:TYE47"/>
    <mergeCell ref="TYF47:TYL47"/>
    <mergeCell ref="TVU47:TWA47"/>
    <mergeCell ref="TWB47:TWH47"/>
    <mergeCell ref="TWI47:TWO47"/>
    <mergeCell ref="TWP47:TWV47"/>
    <mergeCell ref="TWW47:TXC47"/>
    <mergeCell ref="TUL47:TUR47"/>
    <mergeCell ref="TUS47:TUY47"/>
    <mergeCell ref="TUZ47:TVF47"/>
    <mergeCell ref="TVG47:TVM47"/>
    <mergeCell ref="TVN47:TVT47"/>
    <mergeCell ref="TTC47:TTI47"/>
    <mergeCell ref="TTJ47:TTP47"/>
    <mergeCell ref="TTQ47:TTW47"/>
    <mergeCell ref="TTX47:TUD47"/>
    <mergeCell ref="TUE47:TUK47"/>
    <mergeCell ref="TRT47:TRZ47"/>
    <mergeCell ref="TSA47:TSG47"/>
    <mergeCell ref="TSH47:TSN47"/>
    <mergeCell ref="TSO47:TSU47"/>
    <mergeCell ref="TSV47:TTB47"/>
    <mergeCell ref="TQK47:TQQ47"/>
    <mergeCell ref="TQR47:TQX47"/>
    <mergeCell ref="TQY47:TRE47"/>
    <mergeCell ref="TRF47:TRL47"/>
    <mergeCell ref="TRM47:TRS47"/>
    <mergeCell ref="TPB47:TPH47"/>
    <mergeCell ref="TPI47:TPO47"/>
    <mergeCell ref="TPP47:TPV47"/>
    <mergeCell ref="TPW47:TQC47"/>
    <mergeCell ref="TQD47:TQJ47"/>
    <mergeCell ref="TNS47:TNY47"/>
    <mergeCell ref="TNZ47:TOF47"/>
    <mergeCell ref="TOG47:TOM47"/>
    <mergeCell ref="TON47:TOT47"/>
    <mergeCell ref="TOU47:TPA47"/>
    <mergeCell ref="TMJ47:TMP47"/>
    <mergeCell ref="TMQ47:TMW47"/>
    <mergeCell ref="TMX47:TND47"/>
    <mergeCell ref="TNE47:TNK47"/>
    <mergeCell ref="TNL47:TNR47"/>
    <mergeCell ref="TLA47:TLG47"/>
    <mergeCell ref="TLH47:TLN47"/>
    <mergeCell ref="TLO47:TLU47"/>
    <mergeCell ref="TLV47:TMB47"/>
    <mergeCell ref="TMC47:TMI47"/>
    <mergeCell ref="TJR47:TJX47"/>
    <mergeCell ref="TJY47:TKE47"/>
    <mergeCell ref="TKF47:TKL47"/>
    <mergeCell ref="TKM47:TKS47"/>
    <mergeCell ref="TKT47:TKZ47"/>
    <mergeCell ref="TII47:TIO47"/>
    <mergeCell ref="TIP47:TIV47"/>
    <mergeCell ref="TIW47:TJC47"/>
    <mergeCell ref="TJD47:TJJ47"/>
    <mergeCell ref="TJK47:TJQ47"/>
    <mergeCell ref="TGZ47:THF47"/>
    <mergeCell ref="THG47:THM47"/>
    <mergeCell ref="THN47:THT47"/>
    <mergeCell ref="THU47:TIA47"/>
    <mergeCell ref="TIB47:TIH47"/>
    <mergeCell ref="TFQ47:TFW47"/>
    <mergeCell ref="TFX47:TGD47"/>
    <mergeCell ref="TGE47:TGK47"/>
    <mergeCell ref="TGL47:TGR47"/>
    <mergeCell ref="TGS47:TGY47"/>
    <mergeCell ref="TEH47:TEN47"/>
    <mergeCell ref="TEO47:TEU47"/>
    <mergeCell ref="TEV47:TFB47"/>
    <mergeCell ref="TFC47:TFI47"/>
    <mergeCell ref="TFJ47:TFP47"/>
    <mergeCell ref="TCY47:TDE47"/>
    <mergeCell ref="TDF47:TDL47"/>
    <mergeCell ref="TDM47:TDS47"/>
    <mergeCell ref="TDT47:TDZ47"/>
    <mergeCell ref="TEA47:TEG47"/>
    <mergeCell ref="TBP47:TBV47"/>
    <mergeCell ref="TBW47:TCC47"/>
    <mergeCell ref="TCD47:TCJ47"/>
    <mergeCell ref="TCK47:TCQ47"/>
    <mergeCell ref="TCR47:TCX47"/>
    <mergeCell ref="TAG47:TAM47"/>
    <mergeCell ref="TAN47:TAT47"/>
    <mergeCell ref="TAU47:TBA47"/>
    <mergeCell ref="TBB47:TBH47"/>
    <mergeCell ref="TBI47:TBO47"/>
    <mergeCell ref="SYX47:SZD47"/>
    <mergeCell ref="SZE47:SZK47"/>
    <mergeCell ref="SZL47:SZR47"/>
    <mergeCell ref="SZS47:SZY47"/>
    <mergeCell ref="SZZ47:TAF47"/>
    <mergeCell ref="SXO47:SXU47"/>
    <mergeCell ref="SXV47:SYB47"/>
    <mergeCell ref="SYC47:SYI47"/>
    <mergeCell ref="SYJ47:SYP47"/>
    <mergeCell ref="SYQ47:SYW47"/>
    <mergeCell ref="SWF47:SWL47"/>
    <mergeCell ref="SWM47:SWS47"/>
    <mergeCell ref="SWT47:SWZ47"/>
    <mergeCell ref="SXA47:SXG47"/>
    <mergeCell ref="SXH47:SXN47"/>
    <mergeCell ref="SUW47:SVC47"/>
    <mergeCell ref="SVD47:SVJ47"/>
    <mergeCell ref="SVK47:SVQ47"/>
    <mergeCell ref="SVR47:SVX47"/>
    <mergeCell ref="SVY47:SWE47"/>
    <mergeCell ref="STN47:STT47"/>
    <mergeCell ref="STU47:SUA47"/>
    <mergeCell ref="SUB47:SUH47"/>
    <mergeCell ref="SUI47:SUO47"/>
    <mergeCell ref="SUP47:SUV47"/>
    <mergeCell ref="SSE47:SSK47"/>
    <mergeCell ref="SSL47:SSR47"/>
    <mergeCell ref="SSS47:SSY47"/>
    <mergeCell ref="SSZ47:STF47"/>
    <mergeCell ref="STG47:STM47"/>
    <mergeCell ref="SQV47:SRB47"/>
    <mergeCell ref="SRC47:SRI47"/>
    <mergeCell ref="SRJ47:SRP47"/>
    <mergeCell ref="SRQ47:SRW47"/>
    <mergeCell ref="SRX47:SSD47"/>
    <mergeCell ref="SPM47:SPS47"/>
    <mergeCell ref="SPT47:SPZ47"/>
    <mergeCell ref="SQA47:SQG47"/>
    <mergeCell ref="SQH47:SQN47"/>
    <mergeCell ref="SQO47:SQU47"/>
    <mergeCell ref="SOD47:SOJ47"/>
    <mergeCell ref="SOK47:SOQ47"/>
    <mergeCell ref="SOR47:SOX47"/>
    <mergeCell ref="SOY47:SPE47"/>
    <mergeCell ref="SPF47:SPL47"/>
    <mergeCell ref="SMU47:SNA47"/>
    <mergeCell ref="SNB47:SNH47"/>
    <mergeCell ref="SNI47:SNO47"/>
    <mergeCell ref="SNP47:SNV47"/>
    <mergeCell ref="SNW47:SOC47"/>
    <mergeCell ref="SLL47:SLR47"/>
    <mergeCell ref="SLS47:SLY47"/>
    <mergeCell ref="SLZ47:SMF47"/>
    <mergeCell ref="SMG47:SMM47"/>
    <mergeCell ref="SMN47:SMT47"/>
    <mergeCell ref="SKC47:SKI47"/>
    <mergeCell ref="SKJ47:SKP47"/>
    <mergeCell ref="SKQ47:SKW47"/>
    <mergeCell ref="SKX47:SLD47"/>
    <mergeCell ref="SLE47:SLK47"/>
    <mergeCell ref="SIT47:SIZ47"/>
    <mergeCell ref="SJA47:SJG47"/>
    <mergeCell ref="SJH47:SJN47"/>
    <mergeCell ref="SJO47:SJU47"/>
    <mergeCell ref="SJV47:SKB47"/>
    <mergeCell ref="SHK47:SHQ47"/>
    <mergeCell ref="SHR47:SHX47"/>
    <mergeCell ref="SHY47:SIE47"/>
    <mergeCell ref="SIF47:SIL47"/>
    <mergeCell ref="SIM47:SIS47"/>
    <mergeCell ref="SGB47:SGH47"/>
    <mergeCell ref="SGI47:SGO47"/>
    <mergeCell ref="SGP47:SGV47"/>
    <mergeCell ref="SGW47:SHC47"/>
    <mergeCell ref="SHD47:SHJ47"/>
    <mergeCell ref="SES47:SEY47"/>
    <mergeCell ref="SEZ47:SFF47"/>
    <mergeCell ref="SFG47:SFM47"/>
    <mergeCell ref="SFN47:SFT47"/>
    <mergeCell ref="SFU47:SGA47"/>
    <mergeCell ref="SDJ47:SDP47"/>
    <mergeCell ref="SDQ47:SDW47"/>
    <mergeCell ref="SDX47:SED47"/>
    <mergeCell ref="SEE47:SEK47"/>
    <mergeCell ref="SEL47:SER47"/>
    <mergeCell ref="SCA47:SCG47"/>
    <mergeCell ref="SCH47:SCN47"/>
    <mergeCell ref="SCO47:SCU47"/>
    <mergeCell ref="SCV47:SDB47"/>
    <mergeCell ref="SDC47:SDI47"/>
    <mergeCell ref="SAR47:SAX47"/>
    <mergeCell ref="SAY47:SBE47"/>
    <mergeCell ref="SBF47:SBL47"/>
    <mergeCell ref="SBM47:SBS47"/>
    <mergeCell ref="SBT47:SBZ47"/>
    <mergeCell ref="RZI47:RZO47"/>
    <mergeCell ref="RZP47:RZV47"/>
    <mergeCell ref="RZW47:SAC47"/>
    <mergeCell ref="SAD47:SAJ47"/>
    <mergeCell ref="SAK47:SAQ47"/>
    <mergeCell ref="RXZ47:RYF47"/>
    <mergeCell ref="RYG47:RYM47"/>
    <mergeCell ref="RYN47:RYT47"/>
    <mergeCell ref="RYU47:RZA47"/>
    <mergeCell ref="RZB47:RZH47"/>
    <mergeCell ref="RWQ47:RWW47"/>
    <mergeCell ref="RWX47:RXD47"/>
    <mergeCell ref="RXE47:RXK47"/>
    <mergeCell ref="RXL47:RXR47"/>
    <mergeCell ref="RXS47:RXY47"/>
    <mergeCell ref="RVH47:RVN47"/>
    <mergeCell ref="RVO47:RVU47"/>
    <mergeCell ref="RVV47:RWB47"/>
    <mergeCell ref="RWC47:RWI47"/>
    <mergeCell ref="RWJ47:RWP47"/>
    <mergeCell ref="RTY47:RUE47"/>
    <mergeCell ref="RUF47:RUL47"/>
    <mergeCell ref="RUM47:RUS47"/>
    <mergeCell ref="RUT47:RUZ47"/>
    <mergeCell ref="RVA47:RVG47"/>
    <mergeCell ref="RSP47:RSV47"/>
    <mergeCell ref="RSW47:RTC47"/>
    <mergeCell ref="RTD47:RTJ47"/>
    <mergeCell ref="RTK47:RTQ47"/>
    <mergeCell ref="RTR47:RTX47"/>
    <mergeCell ref="RRG47:RRM47"/>
    <mergeCell ref="RRN47:RRT47"/>
    <mergeCell ref="RRU47:RSA47"/>
    <mergeCell ref="RSB47:RSH47"/>
    <mergeCell ref="RSI47:RSO47"/>
    <mergeCell ref="RPX47:RQD47"/>
    <mergeCell ref="RQE47:RQK47"/>
    <mergeCell ref="RQL47:RQR47"/>
    <mergeCell ref="RQS47:RQY47"/>
    <mergeCell ref="RQZ47:RRF47"/>
    <mergeCell ref="ROO47:ROU47"/>
    <mergeCell ref="ROV47:RPB47"/>
    <mergeCell ref="RPC47:RPI47"/>
    <mergeCell ref="RPJ47:RPP47"/>
    <mergeCell ref="RPQ47:RPW47"/>
    <mergeCell ref="RNF47:RNL47"/>
    <mergeCell ref="RNM47:RNS47"/>
    <mergeCell ref="RNT47:RNZ47"/>
    <mergeCell ref="ROA47:ROG47"/>
    <mergeCell ref="ROH47:RON47"/>
    <mergeCell ref="RLW47:RMC47"/>
    <mergeCell ref="RMD47:RMJ47"/>
    <mergeCell ref="RMK47:RMQ47"/>
    <mergeCell ref="RMR47:RMX47"/>
    <mergeCell ref="RMY47:RNE47"/>
    <mergeCell ref="RKN47:RKT47"/>
    <mergeCell ref="RKU47:RLA47"/>
    <mergeCell ref="RLB47:RLH47"/>
    <mergeCell ref="RLI47:RLO47"/>
    <mergeCell ref="RLP47:RLV47"/>
    <mergeCell ref="RJE47:RJK47"/>
    <mergeCell ref="RJL47:RJR47"/>
    <mergeCell ref="RJS47:RJY47"/>
    <mergeCell ref="RJZ47:RKF47"/>
    <mergeCell ref="RKG47:RKM47"/>
    <mergeCell ref="RHV47:RIB47"/>
    <mergeCell ref="RIC47:RII47"/>
    <mergeCell ref="RIJ47:RIP47"/>
    <mergeCell ref="RIQ47:RIW47"/>
    <mergeCell ref="RIX47:RJD47"/>
    <mergeCell ref="RGM47:RGS47"/>
    <mergeCell ref="RGT47:RGZ47"/>
    <mergeCell ref="RHA47:RHG47"/>
    <mergeCell ref="RHH47:RHN47"/>
    <mergeCell ref="RHO47:RHU47"/>
    <mergeCell ref="RFD47:RFJ47"/>
    <mergeCell ref="RFK47:RFQ47"/>
    <mergeCell ref="RFR47:RFX47"/>
    <mergeCell ref="RFY47:RGE47"/>
    <mergeCell ref="RGF47:RGL47"/>
    <mergeCell ref="RDU47:REA47"/>
    <mergeCell ref="REB47:REH47"/>
    <mergeCell ref="REI47:REO47"/>
    <mergeCell ref="REP47:REV47"/>
    <mergeCell ref="REW47:RFC47"/>
    <mergeCell ref="RCL47:RCR47"/>
    <mergeCell ref="RCS47:RCY47"/>
    <mergeCell ref="RCZ47:RDF47"/>
    <mergeCell ref="RDG47:RDM47"/>
    <mergeCell ref="RDN47:RDT47"/>
    <mergeCell ref="RBC47:RBI47"/>
    <mergeCell ref="RBJ47:RBP47"/>
    <mergeCell ref="RBQ47:RBW47"/>
    <mergeCell ref="RBX47:RCD47"/>
    <mergeCell ref="RCE47:RCK47"/>
    <mergeCell ref="QZT47:QZZ47"/>
    <mergeCell ref="RAA47:RAG47"/>
    <mergeCell ref="RAH47:RAN47"/>
    <mergeCell ref="RAO47:RAU47"/>
    <mergeCell ref="RAV47:RBB47"/>
    <mergeCell ref="QYK47:QYQ47"/>
    <mergeCell ref="QYR47:QYX47"/>
    <mergeCell ref="QYY47:QZE47"/>
    <mergeCell ref="QZF47:QZL47"/>
    <mergeCell ref="QZM47:QZS47"/>
    <mergeCell ref="QXB47:QXH47"/>
    <mergeCell ref="QXI47:QXO47"/>
    <mergeCell ref="QXP47:QXV47"/>
    <mergeCell ref="QXW47:QYC47"/>
    <mergeCell ref="QYD47:QYJ47"/>
    <mergeCell ref="QVS47:QVY47"/>
    <mergeCell ref="QVZ47:QWF47"/>
    <mergeCell ref="QWG47:QWM47"/>
    <mergeCell ref="QWN47:QWT47"/>
    <mergeCell ref="QWU47:QXA47"/>
    <mergeCell ref="QUJ47:QUP47"/>
    <mergeCell ref="QUQ47:QUW47"/>
    <mergeCell ref="QUX47:QVD47"/>
    <mergeCell ref="QVE47:QVK47"/>
    <mergeCell ref="QVL47:QVR47"/>
    <mergeCell ref="QTA47:QTG47"/>
    <mergeCell ref="QTH47:QTN47"/>
    <mergeCell ref="QTO47:QTU47"/>
    <mergeCell ref="QTV47:QUB47"/>
    <mergeCell ref="QUC47:QUI47"/>
    <mergeCell ref="QRR47:QRX47"/>
    <mergeCell ref="QRY47:QSE47"/>
    <mergeCell ref="QSF47:QSL47"/>
    <mergeCell ref="QSM47:QSS47"/>
    <mergeCell ref="QST47:QSZ47"/>
    <mergeCell ref="QQI47:QQO47"/>
    <mergeCell ref="QQP47:QQV47"/>
    <mergeCell ref="QQW47:QRC47"/>
    <mergeCell ref="QRD47:QRJ47"/>
    <mergeCell ref="QRK47:QRQ47"/>
    <mergeCell ref="QOZ47:QPF47"/>
    <mergeCell ref="QPG47:QPM47"/>
    <mergeCell ref="QPN47:QPT47"/>
    <mergeCell ref="QPU47:QQA47"/>
    <mergeCell ref="QQB47:QQH47"/>
    <mergeCell ref="QNQ47:QNW47"/>
    <mergeCell ref="QNX47:QOD47"/>
    <mergeCell ref="QOE47:QOK47"/>
    <mergeCell ref="QOL47:QOR47"/>
    <mergeCell ref="QOS47:QOY47"/>
    <mergeCell ref="QMH47:QMN47"/>
    <mergeCell ref="QMO47:QMU47"/>
    <mergeCell ref="QMV47:QNB47"/>
    <mergeCell ref="QNC47:QNI47"/>
    <mergeCell ref="QNJ47:QNP47"/>
    <mergeCell ref="QKY47:QLE47"/>
    <mergeCell ref="QLF47:QLL47"/>
    <mergeCell ref="QLM47:QLS47"/>
    <mergeCell ref="QLT47:QLZ47"/>
    <mergeCell ref="QMA47:QMG47"/>
    <mergeCell ref="QJP47:QJV47"/>
    <mergeCell ref="QJW47:QKC47"/>
    <mergeCell ref="QKD47:QKJ47"/>
    <mergeCell ref="QKK47:QKQ47"/>
    <mergeCell ref="QKR47:QKX47"/>
    <mergeCell ref="QIG47:QIM47"/>
    <mergeCell ref="QIN47:QIT47"/>
    <mergeCell ref="QIU47:QJA47"/>
    <mergeCell ref="QJB47:QJH47"/>
    <mergeCell ref="QJI47:QJO47"/>
    <mergeCell ref="QGX47:QHD47"/>
    <mergeCell ref="QHE47:QHK47"/>
    <mergeCell ref="QHL47:QHR47"/>
    <mergeCell ref="QHS47:QHY47"/>
    <mergeCell ref="QHZ47:QIF47"/>
    <mergeCell ref="QFO47:QFU47"/>
    <mergeCell ref="QFV47:QGB47"/>
    <mergeCell ref="QGC47:QGI47"/>
    <mergeCell ref="QGJ47:QGP47"/>
    <mergeCell ref="QGQ47:QGW47"/>
    <mergeCell ref="QEF47:QEL47"/>
    <mergeCell ref="QEM47:QES47"/>
    <mergeCell ref="QET47:QEZ47"/>
    <mergeCell ref="QFA47:QFG47"/>
    <mergeCell ref="QFH47:QFN47"/>
    <mergeCell ref="QCW47:QDC47"/>
    <mergeCell ref="QDD47:QDJ47"/>
    <mergeCell ref="QDK47:QDQ47"/>
    <mergeCell ref="QDR47:QDX47"/>
    <mergeCell ref="QDY47:QEE47"/>
    <mergeCell ref="QBN47:QBT47"/>
    <mergeCell ref="QBU47:QCA47"/>
    <mergeCell ref="QCB47:QCH47"/>
    <mergeCell ref="QCI47:QCO47"/>
    <mergeCell ref="QCP47:QCV47"/>
    <mergeCell ref="QAE47:QAK47"/>
    <mergeCell ref="QAL47:QAR47"/>
    <mergeCell ref="QAS47:QAY47"/>
    <mergeCell ref="QAZ47:QBF47"/>
    <mergeCell ref="QBG47:QBM47"/>
    <mergeCell ref="PYV47:PZB47"/>
    <mergeCell ref="PZC47:PZI47"/>
    <mergeCell ref="PZJ47:PZP47"/>
    <mergeCell ref="PZQ47:PZW47"/>
    <mergeCell ref="PZX47:QAD47"/>
    <mergeCell ref="PXM47:PXS47"/>
    <mergeCell ref="PXT47:PXZ47"/>
    <mergeCell ref="PYA47:PYG47"/>
    <mergeCell ref="PYH47:PYN47"/>
    <mergeCell ref="PYO47:PYU47"/>
    <mergeCell ref="PWD47:PWJ47"/>
    <mergeCell ref="PWK47:PWQ47"/>
    <mergeCell ref="PWR47:PWX47"/>
    <mergeCell ref="PWY47:PXE47"/>
    <mergeCell ref="PXF47:PXL47"/>
    <mergeCell ref="PUU47:PVA47"/>
    <mergeCell ref="PVB47:PVH47"/>
    <mergeCell ref="PVI47:PVO47"/>
    <mergeCell ref="PVP47:PVV47"/>
    <mergeCell ref="PVW47:PWC47"/>
    <mergeCell ref="PTL47:PTR47"/>
    <mergeCell ref="PTS47:PTY47"/>
    <mergeCell ref="PTZ47:PUF47"/>
    <mergeCell ref="PUG47:PUM47"/>
    <mergeCell ref="PUN47:PUT47"/>
    <mergeCell ref="PSC47:PSI47"/>
    <mergeCell ref="PSJ47:PSP47"/>
    <mergeCell ref="PSQ47:PSW47"/>
    <mergeCell ref="PSX47:PTD47"/>
    <mergeCell ref="PTE47:PTK47"/>
    <mergeCell ref="PQT47:PQZ47"/>
    <mergeCell ref="PRA47:PRG47"/>
    <mergeCell ref="PRH47:PRN47"/>
    <mergeCell ref="PRO47:PRU47"/>
    <mergeCell ref="PRV47:PSB47"/>
    <mergeCell ref="PPK47:PPQ47"/>
    <mergeCell ref="PPR47:PPX47"/>
    <mergeCell ref="PPY47:PQE47"/>
    <mergeCell ref="PQF47:PQL47"/>
    <mergeCell ref="PQM47:PQS47"/>
    <mergeCell ref="POB47:POH47"/>
    <mergeCell ref="POI47:POO47"/>
    <mergeCell ref="POP47:POV47"/>
    <mergeCell ref="POW47:PPC47"/>
    <mergeCell ref="PPD47:PPJ47"/>
    <mergeCell ref="PMS47:PMY47"/>
    <mergeCell ref="PMZ47:PNF47"/>
    <mergeCell ref="PNG47:PNM47"/>
    <mergeCell ref="PNN47:PNT47"/>
    <mergeCell ref="PNU47:POA47"/>
    <mergeCell ref="PLJ47:PLP47"/>
    <mergeCell ref="PLQ47:PLW47"/>
    <mergeCell ref="PLX47:PMD47"/>
    <mergeCell ref="PME47:PMK47"/>
    <mergeCell ref="PML47:PMR47"/>
    <mergeCell ref="PKA47:PKG47"/>
    <mergeCell ref="PKH47:PKN47"/>
    <mergeCell ref="PKO47:PKU47"/>
    <mergeCell ref="PKV47:PLB47"/>
    <mergeCell ref="PLC47:PLI47"/>
    <mergeCell ref="PIR47:PIX47"/>
    <mergeCell ref="PIY47:PJE47"/>
    <mergeCell ref="PJF47:PJL47"/>
    <mergeCell ref="PJM47:PJS47"/>
    <mergeCell ref="PJT47:PJZ47"/>
    <mergeCell ref="PHI47:PHO47"/>
    <mergeCell ref="PHP47:PHV47"/>
    <mergeCell ref="PHW47:PIC47"/>
    <mergeCell ref="PID47:PIJ47"/>
    <mergeCell ref="PIK47:PIQ47"/>
    <mergeCell ref="PFZ47:PGF47"/>
    <mergeCell ref="PGG47:PGM47"/>
    <mergeCell ref="PGN47:PGT47"/>
    <mergeCell ref="PGU47:PHA47"/>
    <mergeCell ref="PHB47:PHH47"/>
    <mergeCell ref="PEQ47:PEW47"/>
    <mergeCell ref="PEX47:PFD47"/>
    <mergeCell ref="PFE47:PFK47"/>
    <mergeCell ref="PFL47:PFR47"/>
    <mergeCell ref="PFS47:PFY47"/>
    <mergeCell ref="PDH47:PDN47"/>
    <mergeCell ref="PDO47:PDU47"/>
    <mergeCell ref="PDV47:PEB47"/>
    <mergeCell ref="PEC47:PEI47"/>
    <mergeCell ref="PEJ47:PEP47"/>
    <mergeCell ref="PBY47:PCE47"/>
    <mergeCell ref="PCF47:PCL47"/>
    <mergeCell ref="PCM47:PCS47"/>
    <mergeCell ref="PCT47:PCZ47"/>
    <mergeCell ref="PDA47:PDG47"/>
    <mergeCell ref="PAP47:PAV47"/>
    <mergeCell ref="PAW47:PBC47"/>
    <mergeCell ref="PBD47:PBJ47"/>
    <mergeCell ref="PBK47:PBQ47"/>
    <mergeCell ref="PBR47:PBX47"/>
    <mergeCell ref="OZG47:OZM47"/>
    <mergeCell ref="OZN47:OZT47"/>
    <mergeCell ref="OZU47:PAA47"/>
    <mergeCell ref="PAB47:PAH47"/>
    <mergeCell ref="PAI47:PAO47"/>
    <mergeCell ref="OXX47:OYD47"/>
    <mergeCell ref="OYE47:OYK47"/>
    <mergeCell ref="OYL47:OYR47"/>
    <mergeCell ref="OYS47:OYY47"/>
    <mergeCell ref="OYZ47:OZF47"/>
    <mergeCell ref="OWO47:OWU47"/>
    <mergeCell ref="OWV47:OXB47"/>
    <mergeCell ref="OXC47:OXI47"/>
    <mergeCell ref="OXJ47:OXP47"/>
    <mergeCell ref="OXQ47:OXW47"/>
    <mergeCell ref="OVF47:OVL47"/>
    <mergeCell ref="OVM47:OVS47"/>
    <mergeCell ref="OVT47:OVZ47"/>
    <mergeCell ref="OWA47:OWG47"/>
    <mergeCell ref="OWH47:OWN47"/>
    <mergeCell ref="OTW47:OUC47"/>
    <mergeCell ref="OUD47:OUJ47"/>
    <mergeCell ref="OUK47:OUQ47"/>
    <mergeCell ref="OUR47:OUX47"/>
    <mergeCell ref="OUY47:OVE47"/>
    <mergeCell ref="OSN47:OST47"/>
    <mergeCell ref="OSU47:OTA47"/>
    <mergeCell ref="OTB47:OTH47"/>
    <mergeCell ref="OTI47:OTO47"/>
    <mergeCell ref="OTP47:OTV47"/>
    <mergeCell ref="ORE47:ORK47"/>
    <mergeCell ref="ORL47:ORR47"/>
    <mergeCell ref="ORS47:ORY47"/>
    <mergeCell ref="ORZ47:OSF47"/>
    <mergeCell ref="OSG47:OSM47"/>
    <mergeCell ref="OPV47:OQB47"/>
    <mergeCell ref="OQC47:OQI47"/>
    <mergeCell ref="OQJ47:OQP47"/>
    <mergeCell ref="OQQ47:OQW47"/>
    <mergeCell ref="OQX47:ORD47"/>
    <mergeCell ref="OOM47:OOS47"/>
    <mergeCell ref="OOT47:OOZ47"/>
    <mergeCell ref="OPA47:OPG47"/>
    <mergeCell ref="OPH47:OPN47"/>
    <mergeCell ref="OPO47:OPU47"/>
    <mergeCell ref="OND47:ONJ47"/>
    <mergeCell ref="ONK47:ONQ47"/>
    <mergeCell ref="ONR47:ONX47"/>
    <mergeCell ref="ONY47:OOE47"/>
    <mergeCell ref="OOF47:OOL47"/>
    <mergeCell ref="OLU47:OMA47"/>
    <mergeCell ref="OMB47:OMH47"/>
    <mergeCell ref="OMI47:OMO47"/>
    <mergeCell ref="OMP47:OMV47"/>
    <mergeCell ref="OMW47:ONC47"/>
    <mergeCell ref="OKL47:OKR47"/>
    <mergeCell ref="OKS47:OKY47"/>
    <mergeCell ref="OKZ47:OLF47"/>
    <mergeCell ref="OLG47:OLM47"/>
    <mergeCell ref="OLN47:OLT47"/>
    <mergeCell ref="OJC47:OJI47"/>
    <mergeCell ref="OJJ47:OJP47"/>
    <mergeCell ref="OJQ47:OJW47"/>
    <mergeCell ref="OJX47:OKD47"/>
    <mergeCell ref="OKE47:OKK47"/>
    <mergeCell ref="OHT47:OHZ47"/>
    <mergeCell ref="OIA47:OIG47"/>
    <mergeCell ref="OIH47:OIN47"/>
    <mergeCell ref="OIO47:OIU47"/>
    <mergeCell ref="OIV47:OJB47"/>
    <mergeCell ref="OGK47:OGQ47"/>
    <mergeCell ref="OGR47:OGX47"/>
    <mergeCell ref="OGY47:OHE47"/>
    <mergeCell ref="OHF47:OHL47"/>
    <mergeCell ref="OHM47:OHS47"/>
    <mergeCell ref="OFB47:OFH47"/>
    <mergeCell ref="OFI47:OFO47"/>
    <mergeCell ref="OFP47:OFV47"/>
    <mergeCell ref="OFW47:OGC47"/>
    <mergeCell ref="OGD47:OGJ47"/>
    <mergeCell ref="ODS47:ODY47"/>
    <mergeCell ref="ODZ47:OEF47"/>
    <mergeCell ref="OEG47:OEM47"/>
    <mergeCell ref="OEN47:OET47"/>
    <mergeCell ref="OEU47:OFA47"/>
    <mergeCell ref="OCJ47:OCP47"/>
    <mergeCell ref="OCQ47:OCW47"/>
    <mergeCell ref="OCX47:ODD47"/>
    <mergeCell ref="ODE47:ODK47"/>
    <mergeCell ref="ODL47:ODR47"/>
    <mergeCell ref="OBA47:OBG47"/>
    <mergeCell ref="OBH47:OBN47"/>
    <mergeCell ref="OBO47:OBU47"/>
    <mergeCell ref="OBV47:OCB47"/>
    <mergeCell ref="OCC47:OCI47"/>
    <mergeCell ref="NZR47:NZX47"/>
    <mergeCell ref="NZY47:OAE47"/>
    <mergeCell ref="OAF47:OAL47"/>
    <mergeCell ref="OAM47:OAS47"/>
    <mergeCell ref="OAT47:OAZ47"/>
    <mergeCell ref="NYI47:NYO47"/>
    <mergeCell ref="NYP47:NYV47"/>
    <mergeCell ref="NYW47:NZC47"/>
    <mergeCell ref="NZD47:NZJ47"/>
    <mergeCell ref="NZK47:NZQ47"/>
    <mergeCell ref="NWZ47:NXF47"/>
    <mergeCell ref="NXG47:NXM47"/>
    <mergeCell ref="NXN47:NXT47"/>
    <mergeCell ref="NXU47:NYA47"/>
    <mergeCell ref="NYB47:NYH47"/>
    <mergeCell ref="NVQ47:NVW47"/>
    <mergeCell ref="NVX47:NWD47"/>
    <mergeCell ref="NWE47:NWK47"/>
    <mergeCell ref="NWL47:NWR47"/>
    <mergeCell ref="NWS47:NWY47"/>
    <mergeCell ref="NUH47:NUN47"/>
    <mergeCell ref="NUO47:NUU47"/>
    <mergeCell ref="NUV47:NVB47"/>
    <mergeCell ref="NVC47:NVI47"/>
    <mergeCell ref="NVJ47:NVP47"/>
    <mergeCell ref="NSY47:NTE47"/>
    <mergeCell ref="NTF47:NTL47"/>
    <mergeCell ref="NTM47:NTS47"/>
    <mergeCell ref="NTT47:NTZ47"/>
    <mergeCell ref="NUA47:NUG47"/>
    <mergeCell ref="NRP47:NRV47"/>
    <mergeCell ref="NRW47:NSC47"/>
    <mergeCell ref="NSD47:NSJ47"/>
    <mergeCell ref="NSK47:NSQ47"/>
    <mergeCell ref="NSR47:NSX47"/>
    <mergeCell ref="NQG47:NQM47"/>
    <mergeCell ref="NQN47:NQT47"/>
    <mergeCell ref="NQU47:NRA47"/>
    <mergeCell ref="NRB47:NRH47"/>
    <mergeCell ref="NRI47:NRO47"/>
    <mergeCell ref="NOX47:NPD47"/>
    <mergeCell ref="NPE47:NPK47"/>
    <mergeCell ref="NPL47:NPR47"/>
    <mergeCell ref="NPS47:NPY47"/>
    <mergeCell ref="NPZ47:NQF47"/>
    <mergeCell ref="NNO47:NNU47"/>
    <mergeCell ref="NNV47:NOB47"/>
    <mergeCell ref="NOC47:NOI47"/>
    <mergeCell ref="NOJ47:NOP47"/>
    <mergeCell ref="NOQ47:NOW47"/>
    <mergeCell ref="NMF47:NML47"/>
    <mergeCell ref="NMM47:NMS47"/>
    <mergeCell ref="NMT47:NMZ47"/>
    <mergeCell ref="NNA47:NNG47"/>
    <mergeCell ref="NNH47:NNN47"/>
    <mergeCell ref="NKW47:NLC47"/>
    <mergeCell ref="NLD47:NLJ47"/>
    <mergeCell ref="NLK47:NLQ47"/>
    <mergeCell ref="NLR47:NLX47"/>
    <mergeCell ref="NLY47:NME47"/>
    <mergeCell ref="NJN47:NJT47"/>
    <mergeCell ref="NJU47:NKA47"/>
    <mergeCell ref="NKB47:NKH47"/>
    <mergeCell ref="NKI47:NKO47"/>
    <mergeCell ref="NKP47:NKV47"/>
    <mergeCell ref="NIE47:NIK47"/>
    <mergeCell ref="NIL47:NIR47"/>
    <mergeCell ref="NIS47:NIY47"/>
    <mergeCell ref="NIZ47:NJF47"/>
    <mergeCell ref="NJG47:NJM47"/>
    <mergeCell ref="NGV47:NHB47"/>
    <mergeCell ref="NHC47:NHI47"/>
    <mergeCell ref="NHJ47:NHP47"/>
    <mergeCell ref="NHQ47:NHW47"/>
    <mergeCell ref="NHX47:NID47"/>
    <mergeCell ref="NFM47:NFS47"/>
    <mergeCell ref="NFT47:NFZ47"/>
    <mergeCell ref="NGA47:NGG47"/>
    <mergeCell ref="NGH47:NGN47"/>
    <mergeCell ref="NGO47:NGU47"/>
    <mergeCell ref="NED47:NEJ47"/>
    <mergeCell ref="NEK47:NEQ47"/>
    <mergeCell ref="NER47:NEX47"/>
    <mergeCell ref="NEY47:NFE47"/>
    <mergeCell ref="NFF47:NFL47"/>
    <mergeCell ref="NCU47:NDA47"/>
    <mergeCell ref="NDB47:NDH47"/>
    <mergeCell ref="NDI47:NDO47"/>
    <mergeCell ref="NDP47:NDV47"/>
    <mergeCell ref="NDW47:NEC47"/>
    <mergeCell ref="NBL47:NBR47"/>
    <mergeCell ref="NBS47:NBY47"/>
    <mergeCell ref="NBZ47:NCF47"/>
    <mergeCell ref="NCG47:NCM47"/>
    <mergeCell ref="NCN47:NCT47"/>
    <mergeCell ref="NAC47:NAI47"/>
    <mergeCell ref="NAJ47:NAP47"/>
    <mergeCell ref="NAQ47:NAW47"/>
    <mergeCell ref="NAX47:NBD47"/>
    <mergeCell ref="NBE47:NBK47"/>
    <mergeCell ref="MYT47:MYZ47"/>
    <mergeCell ref="MZA47:MZG47"/>
    <mergeCell ref="MZH47:MZN47"/>
    <mergeCell ref="MZO47:MZU47"/>
    <mergeCell ref="MZV47:NAB47"/>
    <mergeCell ref="MXK47:MXQ47"/>
    <mergeCell ref="MXR47:MXX47"/>
    <mergeCell ref="MXY47:MYE47"/>
    <mergeCell ref="MYF47:MYL47"/>
    <mergeCell ref="MYM47:MYS47"/>
    <mergeCell ref="MWB47:MWH47"/>
    <mergeCell ref="MWI47:MWO47"/>
    <mergeCell ref="MWP47:MWV47"/>
    <mergeCell ref="MWW47:MXC47"/>
    <mergeCell ref="MXD47:MXJ47"/>
    <mergeCell ref="MUS47:MUY47"/>
    <mergeCell ref="MUZ47:MVF47"/>
    <mergeCell ref="MVG47:MVM47"/>
    <mergeCell ref="MVN47:MVT47"/>
    <mergeCell ref="MVU47:MWA47"/>
    <mergeCell ref="MTJ47:MTP47"/>
    <mergeCell ref="MTQ47:MTW47"/>
    <mergeCell ref="MTX47:MUD47"/>
    <mergeCell ref="MUE47:MUK47"/>
    <mergeCell ref="MUL47:MUR47"/>
    <mergeCell ref="MSA47:MSG47"/>
    <mergeCell ref="MSH47:MSN47"/>
    <mergeCell ref="MSO47:MSU47"/>
    <mergeCell ref="MSV47:MTB47"/>
    <mergeCell ref="MTC47:MTI47"/>
    <mergeCell ref="MQR47:MQX47"/>
    <mergeCell ref="MQY47:MRE47"/>
    <mergeCell ref="MRF47:MRL47"/>
    <mergeCell ref="MRM47:MRS47"/>
    <mergeCell ref="MRT47:MRZ47"/>
    <mergeCell ref="MPI47:MPO47"/>
    <mergeCell ref="MPP47:MPV47"/>
    <mergeCell ref="MPW47:MQC47"/>
    <mergeCell ref="MQD47:MQJ47"/>
    <mergeCell ref="MQK47:MQQ47"/>
    <mergeCell ref="MNZ47:MOF47"/>
    <mergeCell ref="MOG47:MOM47"/>
    <mergeCell ref="MON47:MOT47"/>
    <mergeCell ref="MOU47:MPA47"/>
    <mergeCell ref="MPB47:MPH47"/>
    <mergeCell ref="MMQ47:MMW47"/>
    <mergeCell ref="MMX47:MND47"/>
    <mergeCell ref="MNE47:MNK47"/>
    <mergeCell ref="MNL47:MNR47"/>
    <mergeCell ref="MNS47:MNY47"/>
    <mergeCell ref="MLH47:MLN47"/>
    <mergeCell ref="MLO47:MLU47"/>
    <mergeCell ref="MLV47:MMB47"/>
    <mergeCell ref="MMC47:MMI47"/>
    <mergeCell ref="MMJ47:MMP47"/>
    <mergeCell ref="MJY47:MKE47"/>
    <mergeCell ref="MKF47:MKL47"/>
    <mergeCell ref="MKM47:MKS47"/>
    <mergeCell ref="MKT47:MKZ47"/>
    <mergeCell ref="MLA47:MLG47"/>
    <mergeCell ref="MIP47:MIV47"/>
    <mergeCell ref="MIW47:MJC47"/>
    <mergeCell ref="MJD47:MJJ47"/>
    <mergeCell ref="MJK47:MJQ47"/>
    <mergeCell ref="MJR47:MJX47"/>
    <mergeCell ref="MHG47:MHM47"/>
    <mergeCell ref="MHN47:MHT47"/>
    <mergeCell ref="MHU47:MIA47"/>
    <mergeCell ref="MIB47:MIH47"/>
    <mergeCell ref="MII47:MIO47"/>
    <mergeCell ref="MFX47:MGD47"/>
    <mergeCell ref="MGE47:MGK47"/>
    <mergeCell ref="MGL47:MGR47"/>
    <mergeCell ref="MGS47:MGY47"/>
    <mergeCell ref="MGZ47:MHF47"/>
    <mergeCell ref="MEO47:MEU47"/>
    <mergeCell ref="MEV47:MFB47"/>
    <mergeCell ref="MFC47:MFI47"/>
    <mergeCell ref="MFJ47:MFP47"/>
    <mergeCell ref="MFQ47:MFW47"/>
    <mergeCell ref="MDF47:MDL47"/>
    <mergeCell ref="MDM47:MDS47"/>
    <mergeCell ref="MDT47:MDZ47"/>
    <mergeCell ref="MEA47:MEG47"/>
    <mergeCell ref="MEH47:MEN47"/>
    <mergeCell ref="MBW47:MCC47"/>
    <mergeCell ref="MCD47:MCJ47"/>
    <mergeCell ref="MCK47:MCQ47"/>
    <mergeCell ref="MCR47:MCX47"/>
    <mergeCell ref="MCY47:MDE47"/>
    <mergeCell ref="MAN47:MAT47"/>
    <mergeCell ref="MAU47:MBA47"/>
    <mergeCell ref="MBB47:MBH47"/>
    <mergeCell ref="MBI47:MBO47"/>
    <mergeCell ref="MBP47:MBV47"/>
    <mergeCell ref="LZE47:LZK47"/>
    <mergeCell ref="LZL47:LZR47"/>
    <mergeCell ref="LZS47:LZY47"/>
    <mergeCell ref="LZZ47:MAF47"/>
    <mergeCell ref="MAG47:MAM47"/>
    <mergeCell ref="LXV47:LYB47"/>
    <mergeCell ref="LYC47:LYI47"/>
    <mergeCell ref="LYJ47:LYP47"/>
    <mergeCell ref="LYQ47:LYW47"/>
    <mergeCell ref="LYX47:LZD47"/>
    <mergeCell ref="LWM47:LWS47"/>
    <mergeCell ref="LWT47:LWZ47"/>
    <mergeCell ref="LXA47:LXG47"/>
    <mergeCell ref="LXH47:LXN47"/>
    <mergeCell ref="LXO47:LXU47"/>
    <mergeCell ref="LVD47:LVJ47"/>
    <mergeCell ref="LVK47:LVQ47"/>
    <mergeCell ref="LVR47:LVX47"/>
    <mergeCell ref="LVY47:LWE47"/>
    <mergeCell ref="LWF47:LWL47"/>
    <mergeCell ref="LTU47:LUA47"/>
    <mergeCell ref="LUB47:LUH47"/>
    <mergeCell ref="LUI47:LUO47"/>
    <mergeCell ref="LUP47:LUV47"/>
    <mergeCell ref="LUW47:LVC47"/>
    <mergeCell ref="LSL47:LSR47"/>
    <mergeCell ref="LSS47:LSY47"/>
    <mergeCell ref="LSZ47:LTF47"/>
    <mergeCell ref="LTG47:LTM47"/>
    <mergeCell ref="LTN47:LTT47"/>
    <mergeCell ref="LRC47:LRI47"/>
    <mergeCell ref="LRJ47:LRP47"/>
    <mergeCell ref="LRQ47:LRW47"/>
    <mergeCell ref="LRX47:LSD47"/>
    <mergeCell ref="LSE47:LSK47"/>
    <mergeCell ref="LPT47:LPZ47"/>
    <mergeCell ref="LQA47:LQG47"/>
    <mergeCell ref="LQH47:LQN47"/>
    <mergeCell ref="LQO47:LQU47"/>
    <mergeCell ref="LQV47:LRB47"/>
    <mergeCell ref="LOK47:LOQ47"/>
    <mergeCell ref="LOR47:LOX47"/>
    <mergeCell ref="LOY47:LPE47"/>
    <mergeCell ref="LPF47:LPL47"/>
    <mergeCell ref="LPM47:LPS47"/>
    <mergeCell ref="LNB47:LNH47"/>
    <mergeCell ref="LNI47:LNO47"/>
    <mergeCell ref="LNP47:LNV47"/>
    <mergeCell ref="LNW47:LOC47"/>
    <mergeCell ref="LOD47:LOJ47"/>
    <mergeCell ref="LLS47:LLY47"/>
    <mergeCell ref="LLZ47:LMF47"/>
    <mergeCell ref="LMG47:LMM47"/>
    <mergeCell ref="LMN47:LMT47"/>
    <mergeCell ref="LMU47:LNA47"/>
    <mergeCell ref="LKJ47:LKP47"/>
    <mergeCell ref="LKQ47:LKW47"/>
    <mergeCell ref="LKX47:LLD47"/>
    <mergeCell ref="LLE47:LLK47"/>
    <mergeCell ref="LLL47:LLR47"/>
    <mergeCell ref="LJA47:LJG47"/>
    <mergeCell ref="LJH47:LJN47"/>
    <mergeCell ref="LJO47:LJU47"/>
    <mergeCell ref="LJV47:LKB47"/>
    <mergeCell ref="LKC47:LKI47"/>
    <mergeCell ref="LHR47:LHX47"/>
    <mergeCell ref="LHY47:LIE47"/>
    <mergeCell ref="LIF47:LIL47"/>
    <mergeCell ref="LIM47:LIS47"/>
    <mergeCell ref="LIT47:LIZ47"/>
    <mergeCell ref="LGI47:LGO47"/>
    <mergeCell ref="LGP47:LGV47"/>
    <mergeCell ref="LGW47:LHC47"/>
    <mergeCell ref="LHD47:LHJ47"/>
    <mergeCell ref="LHK47:LHQ47"/>
    <mergeCell ref="LEZ47:LFF47"/>
    <mergeCell ref="LFG47:LFM47"/>
    <mergeCell ref="LFN47:LFT47"/>
    <mergeCell ref="LFU47:LGA47"/>
    <mergeCell ref="LGB47:LGH47"/>
    <mergeCell ref="LDQ47:LDW47"/>
    <mergeCell ref="LDX47:LED47"/>
    <mergeCell ref="LEE47:LEK47"/>
    <mergeCell ref="LEL47:LER47"/>
    <mergeCell ref="LES47:LEY47"/>
    <mergeCell ref="LCH47:LCN47"/>
    <mergeCell ref="LCO47:LCU47"/>
    <mergeCell ref="LCV47:LDB47"/>
    <mergeCell ref="LDC47:LDI47"/>
    <mergeCell ref="LDJ47:LDP47"/>
    <mergeCell ref="LAY47:LBE47"/>
    <mergeCell ref="LBF47:LBL47"/>
    <mergeCell ref="LBM47:LBS47"/>
    <mergeCell ref="LBT47:LBZ47"/>
    <mergeCell ref="LCA47:LCG47"/>
    <mergeCell ref="KZP47:KZV47"/>
    <mergeCell ref="KZW47:LAC47"/>
    <mergeCell ref="LAD47:LAJ47"/>
    <mergeCell ref="LAK47:LAQ47"/>
    <mergeCell ref="LAR47:LAX47"/>
    <mergeCell ref="KYG47:KYM47"/>
    <mergeCell ref="KYN47:KYT47"/>
    <mergeCell ref="KYU47:KZA47"/>
    <mergeCell ref="KZB47:KZH47"/>
    <mergeCell ref="KZI47:KZO47"/>
    <mergeCell ref="KWX47:KXD47"/>
    <mergeCell ref="KXE47:KXK47"/>
    <mergeCell ref="KXL47:KXR47"/>
    <mergeCell ref="KXS47:KXY47"/>
    <mergeCell ref="KXZ47:KYF47"/>
    <mergeCell ref="KVO47:KVU47"/>
    <mergeCell ref="KVV47:KWB47"/>
    <mergeCell ref="KWC47:KWI47"/>
    <mergeCell ref="KWJ47:KWP47"/>
    <mergeCell ref="KWQ47:KWW47"/>
    <mergeCell ref="KUF47:KUL47"/>
    <mergeCell ref="KUM47:KUS47"/>
    <mergeCell ref="KUT47:KUZ47"/>
    <mergeCell ref="KVA47:KVG47"/>
    <mergeCell ref="KVH47:KVN47"/>
    <mergeCell ref="KSW47:KTC47"/>
    <mergeCell ref="KTD47:KTJ47"/>
    <mergeCell ref="KTK47:KTQ47"/>
    <mergeCell ref="KTR47:KTX47"/>
    <mergeCell ref="KTY47:KUE47"/>
    <mergeCell ref="KRN47:KRT47"/>
    <mergeCell ref="KRU47:KSA47"/>
    <mergeCell ref="KSB47:KSH47"/>
    <mergeCell ref="KSI47:KSO47"/>
    <mergeCell ref="KSP47:KSV47"/>
    <mergeCell ref="KQE47:KQK47"/>
    <mergeCell ref="KQL47:KQR47"/>
    <mergeCell ref="KQS47:KQY47"/>
    <mergeCell ref="KQZ47:KRF47"/>
    <mergeCell ref="KRG47:KRM47"/>
    <mergeCell ref="KOV47:KPB47"/>
    <mergeCell ref="KPC47:KPI47"/>
    <mergeCell ref="KPJ47:KPP47"/>
    <mergeCell ref="KPQ47:KPW47"/>
    <mergeCell ref="KPX47:KQD47"/>
    <mergeCell ref="KNM47:KNS47"/>
    <mergeCell ref="KNT47:KNZ47"/>
    <mergeCell ref="KOA47:KOG47"/>
    <mergeCell ref="KOH47:KON47"/>
    <mergeCell ref="KOO47:KOU47"/>
    <mergeCell ref="KMD47:KMJ47"/>
    <mergeCell ref="KMK47:KMQ47"/>
    <mergeCell ref="KMR47:KMX47"/>
    <mergeCell ref="KMY47:KNE47"/>
    <mergeCell ref="KNF47:KNL47"/>
    <mergeCell ref="KKU47:KLA47"/>
    <mergeCell ref="KLB47:KLH47"/>
    <mergeCell ref="KLI47:KLO47"/>
    <mergeCell ref="KLP47:KLV47"/>
    <mergeCell ref="KLW47:KMC47"/>
    <mergeCell ref="KJL47:KJR47"/>
    <mergeCell ref="KJS47:KJY47"/>
    <mergeCell ref="KJZ47:KKF47"/>
    <mergeCell ref="KKG47:KKM47"/>
    <mergeCell ref="KKN47:KKT47"/>
    <mergeCell ref="KIC47:KII47"/>
    <mergeCell ref="KIJ47:KIP47"/>
    <mergeCell ref="KIQ47:KIW47"/>
    <mergeCell ref="KIX47:KJD47"/>
    <mergeCell ref="KJE47:KJK47"/>
    <mergeCell ref="KGT47:KGZ47"/>
    <mergeCell ref="KHA47:KHG47"/>
    <mergeCell ref="KHH47:KHN47"/>
    <mergeCell ref="KHO47:KHU47"/>
    <mergeCell ref="KHV47:KIB47"/>
    <mergeCell ref="KFK47:KFQ47"/>
    <mergeCell ref="KFR47:KFX47"/>
    <mergeCell ref="KFY47:KGE47"/>
    <mergeCell ref="KGF47:KGL47"/>
    <mergeCell ref="KGM47:KGS47"/>
    <mergeCell ref="KEB47:KEH47"/>
    <mergeCell ref="KEI47:KEO47"/>
    <mergeCell ref="KEP47:KEV47"/>
    <mergeCell ref="KEW47:KFC47"/>
    <mergeCell ref="KFD47:KFJ47"/>
    <mergeCell ref="KCS47:KCY47"/>
    <mergeCell ref="KCZ47:KDF47"/>
    <mergeCell ref="KDG47:KDM47"/>
    <mergeCell ref="KDN47:KDT47"/>
    <mergeCell ref="KDU47:KEA47"/>
    <mergeCell ref="KBJ47:KBP47"/>
    <mergeCell ref="KBQ47:KBW47"/>
    <mergeCell ref="KBX47:KCD47"/>
    <mergeCell ref="KCE47:KCK47"/>
    <mergeCell ref="KCL47:KCR47"/>
    <mergeCell ref="KAA47:KAG47"/>
    <mergeCell ref="KAH47:KAN47"/>
    <mergeCell ref="KAO47:KAU47"/>
    <mergeCell ref="KAV47:KBB47"/>
    <mergeCell ref="KBC47:KBI47"/>
    <mergeCell ref="JYR47:JYX47"/>
    <mergeCell ref="JYY47:JZE47"/>
    <mergeCell ref="JZF47:JZL47"/>
    <mergeCell ref="JZM47:JZS47"/>
    <mergeCell ref="JZT47:JZZ47"/>
    <mergeCell ref="JXI47:JXO47"/>
    <mergeCell ref="JXP47:JXV47"/>
    <mergeCell ref="JXW47:JYC47"/>
    <mergeCell ref="JYD47:JYJ47"/>
    <mergeCell ref="JYK47:JYQ47"/>
    <mergeCell ref="JVZ47:JWF47"/>
    <mergeCell ref="JWG47:JWM47"/>
    <mergeCell ref="JWN47:JWT47"/>
    <mergeCell ref="JWU47:JXA47"/>
    <mergeCell ref="JXB47:JXH47"/>
    <mergeCell ref="JUQ47:JUW47"/>
    <mergeCell ref="JUX47:JVD47"/>
    <mergeCell ref="JVE47:JVK47"/>
    <mergeCell ref="JVL47:JVR47"/>
    <mergeCell ref="JVS47:JVY47"/>
    <mergeCell ref="JTH47:JTN47"/>
    <mergeCell ref="JTO47:JTU47"/>
    <mergeCell ref="JTV47:JUB47"/>
    <mergeCell ref="JUC47:JUI47"/>
    <mergeCell ref="JUJ47:JUP47"/>
    <mergeCell ref="JRY47:JSE47"/>
    <mergeCell ref="JSF47:JSL47"/>
    <mergeCell ref="JSM47:JSS47"/>
    <mergeCell ref="JST47:JSZ47"/>
    <mergeCell ref="JTA47:JTG47"/>
    <mergeCell ref="JQP47:JQV47"/>
    <mergeCell ref="JQW47:JRC47"/>
    <mergeCell ref="JRD47:JRJ47"/>
    <mergeCell ref="JRK47:JRQ47"/>
    <mergeCell ref="JRR47:JRX47"/>
    <mergeCell ref="JPG47:JPM47"/>
    <mergeCell ref="JPN47:JPT47"/>
    <mergeCell ref="JPU47:JQA47"/>
    <mergeCell ref="JQB47:JQH47"/>
    <mergeCell ref="JQI47:JQO47"/>
    <mergeCell ref="JNX47:JOD47"/>
    <mergeCell ref="JOE47:JOK47"/>
    <mergeCell ref="JOL47:JOR47"/>
    <mergeCell ref="JOS47:JOY47"/>
    <mergeCell ref="JOZ47:JPF47"/>
    <mergeCell ref="JMO47:JMU47"/>
    <mergeCell ref="JMV47:JNB47"/>
    <mergeCell ref="JNC47:JNI47"/>
    <mergeCell ref="JNJ47:JNP47"/>
    <mergeCell ref="JNQ47:JNW47"/>
    <mergeCell ref="JLF47:JLL47"/>
    <mergeCell ref="JLM47:JLS47"/>
    <mergeCell ref="JLT47:JLZ47"/>
    <mergeCell ref="JMA47:JMG47"/>
    <mergeCell ref="JMH47:JMN47"/>
    <mergeCell ref="JJW47:JKC47"/>
    <mergeCell ref="JKD47:JKJ47"/>
    <mergeCell ref="JKK47:JKQ47"/>
    <mergeCell ref="JKR47:JKX47"/>
    <mergeCell ref="JKY47:JLE47"/>
    <mergeCell ref="JIN47:JIT47"/>
    <mergeCell ref="JIU47:JJA47"/>
    <mergeCell ref="JJB47:JJH47"/>
    <mergeCell ref="JJI47:JJO47"/>
    <mergeCell ref="JJP47:JJV47"/>
    <mergeCell ref="JHE47:JHK47"/>
    <mergeCell ref="JHL47:JHR47"/>
    <mergeCell ref="JHS47:JHY47"/>
    <mergeCell ref="JHZ47:JIF47"/>
    <mergeCell ref="JIG47:JIM47"/>
    <mergeCell ref="JFV47:JGB47"/>
    <mergeCell ref="JGC47:JGI47"/>
    <mergeCell ref="JGJ47:JGP47"/>
    <mergeCell ref="JGQ47:JGW47"/>
    <mergeCell ref="JGX47:JHD47"/>
    <mergeCell ref="JEM47:JES47"/>
    <mergeCell ref="JET47:JEZ47"/>
    <mergeCell ref="JFA47:JFG47"/>
    <mergeCell ref="JFH47:JFN47"/>
    <mergeCell ref="JFO47:JFU47"/>
    <mergeCell ref="JDD47:JDJ47"/>
    <mergeCell ref="JDK47:JDQ47"/>
    <mergeCell ref="JDR47:JDX47"/>
    <mergeCell ref="JDY47:JEE47"/>
    <mergeCell ref="JEF47:JEL47"/>
    <mergeCell ref="JBU47:JCA47"/>
    <mergeCell ref="JCB47:JCH47"/>
    <mergeCell ref="JCI47:JCO47"/>
    <mergeCell ref="JCP47:JCV47"/>
    <mergeCell ref="JCW47:JDC47"/>
    <mergeCell ref="JAL47:JAR47"/>
    <mergeCell ref="JAS47:JAY47"/>
    <mergeCell ref="JAZ47:JBF47"/>
    <mergeCell ref="JBG47:JBM47"/>
    <mergeCell ref="JBN47:JBT47"/>
    <mergeCell ref="IZC47:IZI47"/>
    <mergeCell ref="IZJ47:IZP47"/>
    <mergeCell ref="IZQ47:IZW47"/>
    <mergeCell ref="IZX47:JAD47"/>
    <mergeCell ref="JAE47:JAK47"/>
    <mergeCell ref="IXT47:IXZ47"/>
    <mergeCell ref="IYA47:IYG47"/>
    <mergeCell ref="IYH47:IYN47"/>
    <mergeCell ref="IYO47:IYU47"/>
    <mergeCell ref="IYV47:IZB47"/>
    <mergeCell ref="IWK47:IWQ47"/>
    <mergeCell ref="IWR47:IWX47"/>
    <mergeCell ref="IWY47:IXE47"/>
    <mergeCell ref="IXF47:IXL47"/>
    <mergeCell ref="IXM47:IXS47"/>
    <mergeCell ref="IVB47:IVH47"/>
    <mergeCell ref="IVI47:IVO47"/>
    <mergeCell ref="IVP47:IVV47"/>
    <mergeCell ref="IVW47:IWC47"/>
    <mergeCell ref="IWD47:IWJ47"/>
    <mergeCell ref="ITS47:ITY47"/>
    <mergeCell ref="ITZ47:IUF47"/>
    <mergeCell ref="IUG47:IUM47"/>
    <mergeCell ref="IUN47:IUT47"/>
    <mergeCell ref="IUU47:IVA47"/>
    <mergeCell ref="ISJ47:ISP47"/>
    <mergeCell ref="ISQ47:ISW47"/>
    <mergeCell ref="ISX47:ITD47"/>
    <mergeCell ref="ITE47:ITK47"/>
    <mergeCell ref="ITL47:ITR47"/>
    <mergeCell ref="IRA47:IRG47"/>
    <mergeCell ref="IRH47:IRN47"/>
    <mergeCell ref="IRO47:IRU47"/>
    <mergeCell ref="IRV47:ISB47"/>
    <mergeCell ref="ISC47:ISI47"/>
    <mergeCell ref="IPR47:IPX47"/>
    <mergeCell ref="IPY47:IQE47"/>
    <mergeCell ref="IQF47:IQL47"/>
    <mergeCell ref="IQM47:IQS47"/>
    <mergeCell ref="IQT47:IQZ47"/>
    <mergeCell ref="IOI47:IOO47"/>
    <mergeCell ref="IOP47:IOV47"/>
    <mergeCell ref="IOW47:IPC47"/>
    <mergeCell ref="IPD47:IPJ47"/>
    <mergeCell ref="IPK47:IPQ47"/>
    <mergeCell ref="IMZ47:INF47"/>
    <mergeCell ref="ING47:INM47"/>
    <mergeCell ref="INN47:INT47"/>
    <mergeCell ref="INU47:IOA47"/>
    <mergeCell ref="IOB47:IOH47"/>
    <mergeCell ref="ILQ47:ILW47"/>
    <mergeCell ref="ILX47:IMD47"/>
    <mergeCell ref="IME47:IMK47"/>
    <mergeCell ref="IML47:IMR47"/>
    <mergeCell ref="IMS47:IMY47"/>
    <mergeCell ref="IKH47:IKN47"/>
    <mergeCell ref="IKO47:IKU47"/>
    <mergeCell ref="IKV47:ILB47"/>
    <mergeCell ref="ILC47:ILI47"/>
    <mergeCell ref="ILJ47:ILP47"/>
    <mergeCell ref="IIY47:IJE47"/>
    <mergeCell ref="IJF47:IJL47"/>
    <mergeCell ref="IJM47:IJS47"/>
    <mergeCell ref="IJT47:IJZ47"/>
    <mergeCell ref="IKA47:IKG47"/>
    <mergeCell ref="IHP47:IHV47"/>
    <mergeCell ref="IHW47:IIC47"/>
    <mergeCell ref="IID47:IIJ47"/>
    <mergeCell ref="IIK47:IIQ47"/>
    <mergeCell ref="IIR47:IIX47"/>
    <mergeCell ref="IGG47:IGM47"/>
    <mergeCell ref="IGN47:IGT47"/>
    <mergeCell ref="IGU47:IHA47"/>
    <mergeCell ref="IHB47:IHH47"/>
    <mergeCell ref="IHI47:IHO47"/>
    <mergeCell ref="IEX47:IFD47"/>
    <mergeCell ref="IFE47:IFK47"/>
    <mergeCell ref="IFL47:IFR47"/>
    <mergeCell ref="IFS47:IFY47"/>
    <mergeCell ref="IFZ47:IGF47"/>
    <mergeCell ref="IDO47:IDU47"/>
    <mergeCell ref="IDV47:IEB47"/>
    <mergeCell ref="IEC47:IEI47"/>
    <mergeCell ref="IEJ47:IEP47"/>
    <mergeCell ref="IEQ47:IEW47"/>
    <mergeCell ref="ICF47:ICL47"/>
    <mergeCell ref="ICM47:ICS47"/>
    <mergeCell ref="ICT47:ICZ47"/>
    <mergeCell ref="IDA47:IDG47"/>
    <mergeCell ref="IDH47:IDN47"/>
    <mergeCell ref="IAW47:IBC47"/>
    <mergeCell ref="IBD47:IBJ47"/>
    <mergeCell ref="IBK47:IBQ47"/>
    <mergeCell ref="IBR47:IBX47"/>
    <mergeCell ref="IBY47:ICE47"/>
    <mergeCell ref="HZN47:HZT47"/>
    <mergeCell ref="HZU47:IAA47"/>
    <mergeCell ref="IAB47:IAH47"/>
    <mergeCell ref="IAI47:IAO47"/>
    <mergeCell ref="IAP47:IAV47"/>
    <mergeCell ref="HYE47:HYK47"/>
    <mergeCell ref="HYL47:HYR47"/>
    <mergeCell ref="HYS47:HYY47"/>
    <mergeCell ref="HYZ47:HZF47"/>
    <mergeCell ref="HZG47:HZM47"/>
    <mergeCell ref="HWV47:HXB47"/>
    <mergeCell ref="HXC47:HXI47"/>
    <mergeCell ref="HXJ47:HXP47"/>
    <mergeCell ref="HXQ47:HXW47"/>
    <mergeCell ref="HXX47:HYD47"/>
    <mergeCell ref="HVM47:HVS47"/>
    <mergeCell ref="HVT47:HVZ47"/>
    <mergeCell ref="HWA47:HWG47"/>
    <mergeCell ref="HWH47:HWN47"/>
    <mergeCell ref="HWO47:HWU47"/>
    <mergeCell ref="HUD47:HUJ47"/>
    <mergeCell ref="HUK47:HUQ47"/>
    <mergeCell ref="HUR47:HUX47"/>
    <mergeCell ref="HUY47:HVE47"/>
    <mergeCell ref="HVF47:HVL47"/>
    <mergeCell ref="HSU47:HTA47"/>
    <mergeCell ref="HTB47:HTH47"/>
    <mergeCell ref="HTI47:HTO47"/>
    <mergeCell ref="HTP47:HTV47"/>
    <mergeCell ref="HTW47:HUC47"/>
    <mergeCell ref="HRL47:HRR47"/>
    <mergeCell ref="HRS47:HRY47"/>
    <mergeCell ref="HRZ47:HSF47"/>
    <mergeCell ref="HSG47:HSM47"/>
    <mergeCell ref="HSN47:HST47"/>
    <mergeCell ref="HQC47:HQI47"/>
    <mergeCell ref="HQJ47:HQP47"/>
    <mergeCell ref="HQQ47:HQW47"/>
    <mergeCell ref="HQX47:HRD47"/>
    <mergeCell ref="HRE47:HRK47"/>
    <mergeCell ref="HOT47:HOZ47"/>
    <mergeCell ref="HPA47:HPG47"/>
    <mergeCell ref="HPH47:HPN47"/>
    <mergeCell ref="HPO47:HPU47"/>
    <mergeCell ref="HPV47:HQB47"/>
    <mergeCell ref="HNK47:HNQ47"/>
    <mergeCell ref="HNR47:HNX47"/>
    <mergeCell ref="HNY47:HOE47"/>
    <mergeCell ref="HOF47:HOL47"/>
    <mergeCell ref="HOM47:HOS47"/>
    <mergeCell ref="HMB47:HMH47"/>
    <mergeCell ref="HMI47:HMO47"/>
    <mergeCell ref="HMP47:HMV47"/>
    <mergeCell ref="HMW47:HNC47"/>
    <mergeCell ref="HND47:HNJ47"/>
    <mergeCell ref="HKS47:HKY47"/>
    <mergeCell ref="HKZ47:HLF47"/>
    <mergeCell ref="HLG47:HLM47"/>
    <mergeCell ref="HLN47:HLT47"/>
    <mergeCell ref="HLU47:HMA47"/>
    <mergeCell ref="HJJ47:HJP47"/>
    <mergeCell ref="HJQ47:HJW47"/>
    <mergeCell ref="HJX47:HKD47"/>
    <mergeCell ref="HKE47:HKK47"/>
    <mergeCell ref="HKL47:HKR47"/>
    <mergeCell ref="HIA47:HIG47"/>
    <mergeCell ref="HIH47:HIN47"/>
    <mergeCell ref="HIO47:HIU47"/>
    <mergeCell ref="HIV47:HJB47"/>
    <mergeCell ref="HJC47:HJI47"/>
    <mergeCell ref="HGR47:HGX47"/>
    <mergeCell ref="HGY47:HHE47"/>
    <mergeCell ref="HHF47:HHL47"/>
    <mergeCell ref="HHM47:HHS47"/>
    <mergeCell ref="HHT47:HHZ47"/>
    <mergeCell ref="HFI47:HFO47"/>
    <mergeCell ref="HFP47:HFV47"/>
    <mergeCell ref="HFW47:HGC47"/>
    <mergeCell ref="HGD47:HGJ47"/>
    <mergeCell ref="HGK47:HGQ47"/>
    <mergeCell ref="HDZ47:HEF47"/>
    <mergeCell ref="HEG47:HEM47"/>
    <mergeCell ref="HEN47:HET47"/>
    <mergeCell ref="HEU47:HFA47"/>
    <mergeCell ref="HFB47:HFH47"/>
    <mergeCell ref="HCQ47:HCW47"/>
    <mergeCell ref="HCX47:HDD47"/>
    <mergeCell ref="HDE47:HDK47"/>
    <mergeCell ref="HDL47:HDR47"/>
    <mergeCell ref="HDS47:HDY47"/>
    <mergeCell ref="HBH47:HBN47"/>
    <mergeCell ref="HBO47:HBU47"/>
    <mergeCell ref="HBV47:HCB47"/>
    <mergeCell ref="HCC47:HCI47"/>
    <mergeCell ref="HCJ47:HCP47"/>
    <mergeCell ref="GZY47:HAE47"/>
    <mergeCell ref="HAF47:HAL47"/>
    <mergeCell ref="HAM47:HAS47"/>
    <mergeCell ref="HAT47:HAZ47"/>
    <mergeCell ref="HBA47:HBG47"/>
    <mergeCell ref="GYP47:GYV47"/>
    <mergeCell ref="GYW47:GZC47"/>
    <mergeCell ref="GZD47:GZJ47"/>
    <mergeCell ref="GZK47:GZQ47"/>
    <mergeCell ref="GZR47:GZX47"/>
    <mergeCell ref="GXG47:GXM47"/>
    <mergeCell ref="GXN47:GXT47"/>
    <mergeCell ref="GXU47:GYA47"/>
    <mergeCell ref="GYB47:GYH47"/>
    <mergeCell ref="GYI47:GYO47"/>
    <mergeCell ref="GVX47:GWD47"/>
    <mergeCell ref="GWE47:GWK47"/>
    <mergeCell ref="GWL47:GWR47"/>
    <mergeCell ref="GWS47:GWY47"/>
    <mergeCell ref="GWZ47:GXF47"/>
    <mergeCell ref="GUO47:GUU47"/>
    <mergeCell ref="GUV47:GVB47"/>
    <mergeCell ref="GVC47:GVI47"/>
    <mergeCell ref="GVJ47:GVP47"/>
    <mergeCell ref="GVQ47:GVW47"/>
    <mergeCell ref="GTF47:GTL47"/>
    <mergeCell ref="GTM47:GTS47"/>
    <mergeCell ref="GTT47:GTZ47"/>
    <mergeCell ref="GUA47:GUG47"/>
    <mergeCell ref="GUH47:GUN47"/>
    <mergeCell ref="GRW47:GSC47"/>
    <mergeCell ref="GSD47:GSJ47"/>
    <mergeCell ref="GSK47:GSQ47"/>
    <mergeCell ref="GSR47:GSX47"/>
    <mergeCell ref="GSY47:GTE47"/>
    <mergeCell ref="GQN47:GQT47"/>
    <mergeCell ref="GQU47:GRA47"/>
    <mergeCell ref="GRB47:GRH47"/>
    <mergeCell ref="GRI47:GRO47"/>
    <mergeCell ref="GRP47:GRV47"/>
    <mergeCell ref="GPE47:GPK47"/>
    <mergeCell ref="GPL47:GPR47"/>
    <mergeCell ref="GPS47:GPY47"/>
    <mergeCell ref="GPZ47:GQF47"/>
    <mergeCell ref="GQG47:GQM47"/>
    <mergeCell ref="GNV47:GOB47"/>
    <mergeCell ref="GOC47:GOI47"/>
    <mergeCell ref="GOJ47:GOP47"/>
    <mergeCell ref="GOQ47:GOW47"/>
    <mergeCell ref="GOX47:GPD47"/>
    <mergeCell ref="GMM47:GMS47"/>
    <mergeCell ref="GMT47:GMZ47"/>
    <mergeCell ref="GNA47:GNG47"/>
    <mergeCell ref="GNH47:GNN47"/>
    <mergeCell ref="GNO47:GNU47"/>
    <mergeCell ref="GLD47:GLJ47"/>
    <mergeCell ref="GLK47:GLQ47"/>
    <mergeCell ref="GLR47:GLX47"/>
    <mergeCell ref="GLY47:GME47"/>
    <mergeCell ref="GMF47:GML47"/>
    <mergeCell ref="GJU47:GKA47"/>
    <mergeCell ref="GKB47:GKH47"/>
    <mergeCell ref="GKI47:GKO47"/>
    <mergeCell ref="GKP47:GKV47"/>
    <mergeCell ref="GKW47:GLC47"/>
    <mergeCell ref="GIL47:GIR47"/>
    <mergeCell ref="GIS47:GIY47"/>
    <mergeCell ref="GIZ47:GJF47"/>
    <mergeCell ref="GJG47:GJM47"/>
    <mergeCell ref="GJN47:GJT47"/>
    <mergeCell ref="GHC47:GHI47"/>
    <mergeCell ref="GHJ47:GHP47"/>
    <mergeCell ref="GHQ47:GHW47"/>
    <mergeCell ref="GHX47:GID47"/>
    <mergeCell ref="GIE47:GIK47"/>
    <mergeCell ref="GFT47:GFZ47"/>
    <mergeCell ref="GGA47:GGG47"/>
    <mergeCell ref="GGH47:GGN47"/>
    <mergeCell ref="GGO47:GGU47"/>
    <mergeCell ref="GGV47:GHB47"/>
    <mergeCell ref="GEK47:GEQ47"/>
    <mergeCell ref="GER47:GEX47"/>
    <mergeCell ref="GEY47:GFE47"/>
    <mergeCell ref="GFF47:GFL47"/>
    <mergeCell ref="GFM47:GFS47"/>
    <mergeCell ref="GDB47:GDH47"/>
    <mergeCell ref="GDI47:GDO47"/>
    <mergeCell ref="GDP47:GDV47"/>
    <mergeCell ref="GDW47:GEC47"/>
    <mergeCell ref="GED47:GEJ47"/>
    <mergeCell ref="GBS47:GBY47"/>
    <mergeCell ref="GBZ47:GCF47"/>
    <mergeCell ref="GCG47:GCM47"/>
    <mergeCell ref="GCN47:GCT47"/>
    <mergeCell ref="GCU47:GDA47"/>
    <mergeCell ref="GAJ47:GAP47"/>
    <mergeCell ref="GAQ47:GAW47"/>
    <mergeCell ref="GAX47:GBD47"/>
    <mergeCell ref="GBE47:GBK47"/>
    <mergeCell ref="GBL47:GBR47"/>
    <mergeCell ref="FZA47:FZG47"/>
    <mergeCell ref="FZH47:FZN47"/>
    <mergeCell ref="FZO47:FZU47"/>
    <mergeCell ref="FZV47:GAB47"/>
    <mergeCell ref="GAC47:GAI47"/>
    <mergeCell ref="FXR47:FXX47"/>
    <mergeCell ref="FXY47:FYE47"/>
    <mergeCell ref="FYF47:FYL47"/>
    <mergeCell ref="FYM47:FYS47"/>
    <mergeCell ref="FYT47:FYZ47"/>
    <mergeCell ref="FWI47:FWO47"/>
    <mergeCell ref="FWP47:FWV47"/>
    <mergeCell ref="FWW47:FXC47"/>
    <mergeCell ref="FXD47:FXJ47"/>
    <mergeCell ref="FXK47:FXQ47"/>
    <mergeCell ref="FUZ47:FVF47"/>
    <mergeCell ref="FVG47:FVM47"/>
    <mergeCell ref="FVN47:FVT47"/>
    <mergeCell ref="FVU47:FWA47"/>
    <mergeCell ref="FWB47:FWH47"/>
    <mergeCell ref="FTQ47:FTW47"/>
    <mergeCell ref="FTX47:FUD47"/>
    <mergeCell ref="FUE47:FUK47"/>
    <mergeCell ref="FUL47:FUR47"/>
    <mergeCell ref="FUS47:FUY47"/>
    <mergeCell ref="FSH47:FSN47"/>
    <mergeCell ref="FSO47:FSU47"/>
    <mergeCell ref="FSV47:FTB47"/>
    <mergeCell ref="FTC47:FTI47"/>
    <mergeCell ref="FTJ47:FTP47"/>
    <mergeCell ref="FQY47:FRE47"/>
    <mergeCell ref="FRF47:FRL47"/>
    <mergeCell ref="FRM47:FRS47"/>
    <mergeCell ref="FRT47:FRZ47"/>
    <mergeCell ref="FSA47:FSG47"/>
    <mergeCell ref="FPP47:FPV47"/>
    <mergeCell ref="FPW47:FQC47"/>
    <mergeCell ref="FQD47:FQJ47"/>
    <mergeCell ref="FQK47:FQQ47"/>
    <mergeCell ref="FQR47:FQX47"/>
    <mergeCell ref="FOG47:FOM47"/>
    <mergeCell ref="FON47:FOT47"/>
    <mergeCell ref="FOU47:FPA47"/>
    <mergeCell ref="FPB47:FPH47"/>
    <mergeCell ref="FPI47:FPO47"/>
    <mergeCell ref="FMX47:FND47"/>
    <mergeCell ref="FNE47:FNK47"/>
    <mergeCell ref="FNL47:FNR47"/>
    <mergeCell ref="FNS47:FNY47"/>
    <mergeCell ref="FNZ47:FOF47"/>
    <mergeCell ref="FLO47:FLU47"/>
    <mergeCell ref="FLV47:FMB47"/>
    <mergeCell ref="FMC47:FMI47"/>
    <mergeCell ref="FMJ47:FMP47"/>
    <mergeCell ref="FMQ47:FMW47"/>
    <mergeCell ref="FKF47:FKL47"/>
    <mergeCell ref="FKM47:FKS47"/>
    <mergeCell ref="FKT47:FKZ47"/>
    <mergeCell ref="FLA47:FLG47"/>
    <mergeCell ref="FLH47:FLN47"/>
    <mergeCell ref="FIW47:FJC47"/>
    <mergeCell ref="FJD47:FJJ47"/>
    <mergeCell ref="FJK47:FJQ47"/>
    <mergeCell ref="FJR47:FJX47"/>
    <mergeCell ref="FJY47:FKE47"/>
    <mergeCell ref="FHN47:FHT47"/>
    <mergeCell ref="FHU47:FIA47"/>
    <mergeCell ref="FIB47:FIH47"/>
    <mergeCell ref="FII47:FIO47"/>
    <mergeCell ref="FIP47:FIV47"/>
    <mergeCell ref="FGE47:FGK47"/>
    <mergeCell ref="FGL47:FGR47"/>
    <mergeCell ref="FGS47:FGY47"/>
    <mergeCell ref="FGZ47:FHF47"/>
    <mergeCell ref="FHG47:FHM47"/>
    <mergeCell ref="FEV47:FFB47"/>
    <mergeCell ref="FFC47:FFI47"/>
    <mergeCell ref="FFJ47:FFP47"/>
    <mergeCell ref="FFQ47:FFW47"/>
    <mergeCell ref="FFX47:FGD47"/>
    <mergeCell ref="FDM47:FDS47"/>
    <mergeCell ref="FDT47:FDZ47"/>
    <mergeCell ref="FEA47:FEG47"/>
    <mergeCell ref="FEH47:FEN47"/>
    <mergeCell ref="FEO47:FEU47"/>
    <mergeCell ref="FCD47:FCJ47"/>
    <mergeCell ref="FCK47:FCQ47"/>
    <mergeCell ref="FCR47:FCX47"/>
    <mergeCell ref="FCY47:FDE47"/>
    <mergeCell ref="FDF47:FDL47"/>
    <mergeCell ref="FAU47:FBA47"/>
    <mergeCell ref="FBB47:FBH47"/>
    <mergeCell ref="FBI47:FBO47"/>
    <mergeCell ref="FBP47:FBV47"/>
    <mergeCell ref="FBW47:FCC47"/>
    <mergeCell ref="EZL47:EZR47"/>
    <mergeCell ref="EZS47:EZY47"/>
    <mergeCell ref="EZZ47:FAF47"/>
    <mergeCell ref="FAG47:FAM47"/>
    <mergeCell ref="FAN47:FAT47"/>
    <mergeCell ref="EYC47:EYI47"/>
    <mergeCell ref="EYJ47:EYP47"/>
    <mergeCell ref="EYQ47:EYW47"/>
    <mergeCell ref="EYX47:EZD47"/>
    <mergeCell ref="EZE47:EZK47"/>
    <mergeCell ref="EWT47:EWZ47"/>
    <mergeCell ref="EXA47:EXG47"/>
    <mergeCell ref="EXH47:EXN47"/>
    <mergeCell ref="EXO47:EXU47"/>
    <mergeCell ref="EXV47:EYB47"/>
    <mergeCell ref="EVK47:EVQ47"/>
    <mergeCell ref="EVR47:EVX47"/>
    <mergeCell ref="EVY47:EWE47"/>
    <mergeCell ref="EWF47:EWL47"/>
    <mergeCell ref="EWM47:EWS47"/>
    <mergeCell ref="EUB47:EUH47"/>
    <mergeCell ref="EUI47:EUO47"/>
    <mergeCell ref="EUP47:EUV47"/>
    <mergeCell ref="EUW47:EVC47"/>
    <mergeCell ref="EVD47:EVJ47"/>
    <mergeCell ref="ESS47:ESY47"/>
    <mergeCell ref="ESZ47:ETF47"/>
    <mergeCell ref="ETG47:ETM47"/>
    <mergeCell ref="ETN47:ETT47"/>
    <mergeCell ref="ETU47:EUA47"/>
    <mergeCell ref="ERJ47:ERP47"/>
    <mergeCell ref="ERQ47:ERW47"/>
    <mergeCell ref="ERX47:ESD47"/>
    <mergeCell ref="ESE47:ESK47"/>
    <mergeCell ref="ESL47:ESR47"/>
    <mergeCell ref="EQA47:EQG47"/>
    <mergeCell ref="EQH47:EQN47"/>
    <mergeCell ref="EQO47:EQU47"/>
    <mergeCell ref="EQV47:ERB47"/>
    <mergeCell ref="ERC47:ERI47"/>
    <mergeCell ref="EOR47:EOX47"/>
    <mergeCell ref="EOY47:EPE47"/>
    <mergeCell ref="EPF47:EPL47"/>
    <mergeCell ref="EPM47:EPS47"/>
    <mergeCell ref="EPT47:EPZ47"/>
    <mergeCell ref="ENI47:ENO47"/>
    <mergeCell ref="ENP47:ENV47"/>
    <mergeCell ref="ENW47:EOC47"/>
    <mergeCell ref="EOD47:EOJ47"/>
    <mergeCell ref="EOK47:EOQ47"/>
    <mergeCell ref="ELZ47:EMF47"/>
    <mergeCell ref="EMG47:EMM47"/>
    <mergeCell ref="EMN47:EMT47"/>
    <mergeCell ref="EMU47:ENA47"/>
    <mergeCell ref="ENB47:ENH47"/>
    <mergeCell ref="EKQ47:EKW47"/>
    <mergeCell ref="EKX47:ELD47"/>
    <mergeCell ref="ELE47:ELK47"/>
    <mergeCell ref="ELL47:ELR47"/>
    <mergeCell ref="ELS47:ELY47"/>
    <mergeCell ref="EJH47:EJN47"/>
    <mergeCell ref="EJO47:EJU47"/>
    <mergeCell ref="EJV47:EKB47"/>
    <mergeCell ref="EKC47:EKI47"/>
    <mergeCell ref="EKJ47:EKP47"/>
    <mergeCell ref="EHY47:EIE47"/>
    <mergeCell ref="EIF47:EIL47"/>
    <mergeCell ref="EIM47:EIS47"/>
    <mergeCell ref="EIT47:EIZ47"/>
    <mergeCell ref="EJA47:EJG47"/>
    <mergeCell ref="EGP47:EGV47"/>
    <mergeCell ref="EGW47:EHC47"/>
    <mergeCell ref="EHD47:EHJ47"/>
    <mergeCell ref="EHK47:EHQ47"/>
    <mergeCell ref="EHR47:EHX47"/>
    <mergeCell ref="EFG47:EFM47"/>
    <mergeCell ref="EFN47:EFT47"/>
    <mergeCell ref="EFU47:EGA47"/>
    <mergeCell ref="EGB47:EGH47"/>
    <mergeCell ref="EGI47:EGO47"/>
    <mergeCell ref="EDX47:EED47"/>
    <mergeCell ref="EEE47:EEK47"/>
    <mergeCell ref="EEL47:EER47"/>
    <mergeCell ref="EES47:EEY47"/>
    <mergeCell ref="EEZ47:EFF47"/>
    <mergeCell ref="ECO47:ECU47"/>
    <mergeCell ref="ECV47:EDB47"/>
    <mergeCell ref="EDC47:EDI47"/>
    <mergeCell ref="EDJ47:EDP47"/>
    <mergeCell ref="EDQ47:EDW47"/>
    <mergeCell ref="EBF47:EBL47"/>
    <mergeCell ref="EBM47:EBS47"/>
    <mergeCell ref="EBT47:EBZ47"/>
    <mergeCell ref="ECA47:ECG47"/>
    <mergeCell ref="ECH47:ECN47"/>
    <mergeCell ref="DZW47:EAC47"/>
    <mergeCell ref="EAD47:EAJ47"/>
    <mergeCell ref="EAK47:EAQ47"/>
    <mergeCell ref="EAR47:EAX47"/>
    <mergeCell ref="EAY47:EBE47"/>
    <mergeCell ref="DYN47:DYT47"/>
    <mergeCell ref="DYU47:DZA47"/>
    <mergeCell ref="DZB47:DZH47"/>
    <mergeCell ref="DZI47:DZO47"/>
    <mergeCell ref="DZP47:DZV47"/>
    <mergeCell ref="DXE47:DXK47"/>
    <mergeCell ref="DXL47:DXR47"/>
    <mergeCell ref="DXS47:DXY47"/>
    <mergeCell ref="DXZ47:DYF47"/>
    <mergeCell ref="DYG47:DYM47"/>
    <mergeCell ref="DVV47:DWB47"/>
    <mergeCell ref="DWC47:DWI47"/>
    <mergeCell ref="DWJ47:DWP47"/>
    <mergeCell ref="DWQ47:DWW47"/>
    <mergeCell ref="DWX47:DXD47"/>
    <mergeCell ref="DUM47:DUS47"/>
    <mergeCell ref="DUT47:DUZ47"/>
    <mergeCell ref="DVA47:DVG47"/>
    <mergeCell ref="DVH47:DVN47"/>
    <mergeCell ref="DVO47:DVU47"/>
    <mergeCell ref="DTD47:DTJ47"/>
    <mergeCell ref="DTK47:DTQ47"/>
    <mergeCell ref="DTR47:DTX47"/>
    <mergeCell ref="DTY47:DUE47"/>
    <mergeCell ref="DUF47:DUL47"/>
    <mergeCell ref="DRU47:DSA47"/>
    <mergeCell ref="DSB47:DSH47"/>
    <mergeCell ref="DSI47:DSO47"/>
    <mergeCell ref="DSP47:DSV47"/>
    <mergeCell ref="DSW47:DTC47"/>
    <mergeCell ref="DQL47:DQR47"/>
    <mergeCell ref="DQS47:DQY47"/>
    <mergeCell ref="DQZ47:DRF47"/>
    <mergeCell ref="DRG47:DRM47"/>
    <mergeCell ref="DRN47:DRT47"/>
    <mergeCell ref="DPC47:DPI47"/>
    <mergeCell ref="DPJ47:DPP47"/>
    <mergeCell ref="DPQ47:DPW47"/>
    <mergeCell ref="DPX47:DQD47"/>
    <mergeCell ref="DQE47:DQK47"/>
    <mergeCell ref="DNT47:DNZ47"/>
    <mergeCell ref="DOA47:DOG47"/>
    <mergeCell ref="DOH47:DON47"/>
    <mergeCell ref="DOO47:DOU47"/>
    <mergeCell ref="DOV47:DPB47"/>
    <mergeCell ref="DMK47:DMQ47"/>
    <mergeCell ref="DMR47:DMX47"/>
    <mergeCell ref="DMY47:DNE47"/>
    <mergeCell ref="DNF47:DNL47"/>
    <mergeCell ref="DNM47:DNS47"/>
    <mergeCell ref="DLB47:DLH47"/>
    <mergeCell ref="DLI47:DLO47"/>
    <mergeCell ref="DLP47:DLV47"/>
    <mergeCell ref="DLW47:DMC47"/>
    <mergeCell ref="DMD47:DMJ47"/>
    <mergeCell ref="DJS47:DJY47"/>
    <mergeCell ref="DJZ47:DKF47"/>
    <mergeCell ref="DKG47:DKM47"/>
    <mergeCell ref="DKN47:DKT47"/>
    <mergeCell ref="DKU47:DLA47"/>
    <mergeCell ref="DIJ47:DIP47"/>
    <mergeCell ref="DIQ47:DIW47"/>
    <mergeCell ref="DIX47:DJD47"/>
    <mergeCell ref="DJE47:DJK47"/>
    <mergeCell ref="DJL47:DJR47"/>
    <mergeCell ref="DHA47:DHG47"/>
    <mergeCell ref="DHH47:DHN47"/>
    <mergeCell ref="DHO47:DHU47"/>
    <mergeCell ref="DHV47:DIB47"/>
    <mergeCell ref="DIC47:DII47"/>
    <mergeCell ref="DFR47:DFX47"/>
    <mergeCell ref="DFY47:DGE47"/>
    <mergeCell ref="DGF47:DGL47"/>
    <mergeCell ref="DGM47:DGS47"/>
    <mergeCell ref="DGT47:DGZ47"/>
    <mergeCell ref="DEI47:DEO47"/>
    <mergeCell ref="DEP47:DEV47"/>
    <mergeCell ref="DEW47:DFC47"/>
    <mergeCell ref="DFD47:DFJ47"/>
    <mergeCell ref="DFK47:DFQ47"/>
    <mergeCell ref="DCZ47:DDF47"/>
    <mergeCell ref="DDG47:DDM47"/>
    <mergeCell ref="DDN47:DDT47"/>
    <mergeCell ref="DDU47:DEA47"/>
    <mergeCell ref="DEB47:DEH47"/>
    <mergeCell ref="DBQ47:DBW47"/>
    <mergeCell ref="DBX47:DCD47"/>
    <mergeCell ref="DCE47:DCK47"/>
    <mergeCell ref="DCL47:DCR47"/>
    <mergeCell ref="DCS47:DCY47"/>
    <mergeCell ref="DAH47:DAN47"/>
    <mergeCell ref="DAO47:DAU47"/>
    <mergeCell ref="DAV47:DBB47"/>
    <mergeCell ref="DBC47:DBI47"/>
    <mergeCell ref="DBJ47:DBP47"/>
    <mergeCell ref="CYY47:CZE47"/>
    <mergeCell ref="CZF47:CZL47"/>
    <mergeCell ref="CZM47:CZS47"/>
    <mergeCell ref="CZT47:CZZ47"/>
    <mergeCell ref="DAA47:DAG47"/>
    <mergeCell ref="CXP47:CXV47"/>
    <mergeCell ref="CXW47:CYC47"/>
    <mergeCell ref="CYD47:CYJ47"/>
    <mergeCell ref="CYK47:CYQ47"/>
    <mergeCell ref="CYR47:CYX47"/>
    <mergeCell ref="CWG47:CWM47"/>
    <mergeCell ref="CWN47:CWT47"/>
    <mergeCell ref="CWU47:CXA47"/>
    <mergeCell ref="CXB47:CXH47"/>
    <mergeCell ref="CXI47:CXO47"/>
    <mergeCell ref="CUX47:CVD47"/>
    <mergeCell ref="CVE47:CVK47"/>
    <mergeCell ref="CVL47:CVR47"/>
    <mergeCell ref="CVS47:CVY47"/>
    <mergeCell ref="CVZ47:CWF47"/>
    <mergeCell ref="CTO47:CTU47"/>
    <mergeCell ref="CTV47:CUB47"/>
    <mergeCell ref="CUC47:CUI47"/>
    <mergeCell ref="CUJ47:CUP47"/>
    <mergeCell ref="CUQ47:CUW47"/>
    <mergeCell ref="CSF47:CSL47"/>
    <mergeCell ref="CSM47:CSS47"/>
    <mergeCell ref="CST47:CSZ47"/>
    <mergeCell ref="CTA47:CTG47"/>
    <mergeCell ref="CTH47:CTN47"/>
    <mergeCell ref="CQW47:CRC47"/>
    <mergeCell ref="CRD47:CRJ47"/>
    <mergeCell ref="CRK47:CRQ47"/>
    <mergeCell ref="CRR47:CRX47"/>
    <mergeCell ref="CRY47:CSE47"/>
    <mergeCell ref="CPN47:CPT47"/>
    <mergeCell ref="CPU47:CQA47"/>
    <mergeCell ref="CQB47:CQH47"/>
    <mergeCell ref="CQI47:CQO47"/>
    <mergeCell ref="CQP47:CQV47"/>
    <mergeCell ref="COE47:COK47"/>
    <mergeCell ref="COL47:COR47"/>
    <mergeCell ref="COS47:COY47"/>
    <mergeCell ref="COZ47:CPF47"/>
    <mergeCell ref="CPG47:CPM47"/>
    <mergeCell ref="CMV47:CNB47"/>
    <mergeCell ref="CNC47:CNI47"/>
    <mergeCell ref="CNJ47:CNP47"/>
    <mergeCell ref="CNQ47:CNW47"/>
    <mergeCell ref="CNX47:COD47"/>
    <mergeCell ref="CLM47:CLS47"/>
    <mergeCell ref="CLT47:CLZ47"/>
    <mergeCell ref="CMA47:CMG47"/>
    <mergeCell ref="CMH47:CMN47"/>
    <mergeCell ref="CMO47:CMU47"/>
    <mergeCell ref="CKD47:CKJ47"/>
    <mergeCell ref="CKK47:CKQ47"/>
    <mergeCell ref="CKR47:CKX47"/>
    <mergeCell ref="CKY47:CLE47"/>
    <mergeCell ref="CLF47:CLL47"/>
    <mergeCell ref="CIU47:CJA47"/>
    <mergeCell ref="CJB47:CJH47"/>
    <mergeCell ref="CJI47:CJO47"/>
    <mergeCell ref="CJP47:CJV47"/>
    <mergeCell ref="CJW47:CKC47"/>
    <mergeCell ref="CHL47:CHR47"/>
    <mergeCell ref="CHS47:CHY47"/>
    <mergeCell ref="CHZ47:CIF47"/>
    <mergeCell ref="CIG47:CIM47"/>
    <mergeCell ref="CIN47:CIT47"/>
    <mergeCell ref="CGC47:CGI47"/>
    <mergeCell ref="CGJ47:CGP47"/>
    <mergeCell ref="CGQ47:CGW47"/>
    <mergeCell ref="CGX47:CHD47"/>
    <mergeCell ref="CHE47:CHK47"/>
    <mergeCell ref="CET47:CEZ47"/>
    <mergeCell ref="CFA47:CFG47"/>
    <mergeCell ref="CFH47:CFN47"/>
    <mergeCell ref="CFO47:CFU47"/>
    <mergeCell ref="CFV47:CGB47"/>
    <mergeCell ref="CDK47:CDQ47"/>
    <mergeCell ref="CDR47:CDX47"/>
    <mergeCell ref="CDY47:CEE47"/>
    <mergeCell ref="CEF47:CEL47"/>
    <mergeCell ref="CEM47:CES47"/>
    <mergeCell ref="CCB47:CCH47"/>
    <mergeCell ref="CCI47:CCO47"/>
    <mergeCell ref="CCP47:CCV47"/>
    <mergeCell ref="CCW47:CDC47"/>
    <mergeCell ref="CDD47:CDJ47"/>
    <mergeCell ref="CAS47:CAY47"/>
    <mergeCell ref="CAZ47:CBF47"/>
    <mergeCell ref="CBG47:CBM47"/>
    <mergeCell ref="CBN47:CBT47"/>
    <mergeCell ref="CBU47:CCA47"/>
    <mergeCell ref="BZJ47:BZP47"/>
    <mergeCell ref="BZQ47:BZW47"/>
    <mergeCell ref="BZX47:CAD47"/>
    <mergeCell ref="CAE47:CAK47"/>
    <mergeCell ref="CAL47:CAR47"/>
    <mergeCell ref="BYA47:BYG47"/>
    <mergeCell ref="BYH47:BYN47"/>
    <mergeCell ref="BYO47:BYU47"/>
    <mergeCell ref="BYV47:BZB47"/>
    <mergeCell ref="BZC47:BZI47"/>
    <mergeCell ref="BWR47:BWX47"/>
    <mergeCell ref="BWY47:BXE47"/>
    <mergeCell ref="BXF47:BXL47"/>
    <mergeCell ref="BXM47:BXS47"/>
    <mergeCell ref="BXT47:BXZ47"/>
    <mergeCell ref="BVI47:BVO47"/>
    <mergeCell ref="BVP47:BVV47"/>
    <mergeCell ref="BVW47:BWC47"/>
    <mergeCell ref="BWD47:BWJ47"/>
    <mergeCell ref="BWK47:BWQ47"/>
    <mergeCell ref="BTZ47:BUF47"/>
    <mergeCell ref="BUG47:BUM47"/>
    <mergeCell ref="BUN47:BUT47"/>
    <mergeCell ref="BUU47:BVA47"/>
    <mergeCell ref="BVB47:BVH47"/>
    <mergeCell ref="BSQ47:BSW47"/>
    <mergeCell ref="BSX47:BTD47"/>
    <mergeCell ref="BTE47:BTK47"/>
    <mergeCell ref="BTL47:BTR47"/>
    <mergeCell ref="BTS47:BTY47"/>
    <mergeCell ref="BRH47:BRN47"/>
    <mergeCell ref="BRO47:BRU47"/>
    <mergeCell ref="BRV47:BSB47"/>
    <mergeCell ref="BSC47:BSI47"/>
    <mergeCell ref="BSJ47:BSP47"/>
    <mergeCell ref="BPY47:BQE47"/>
    <mergeCell ref="BQF47:BQL47"/>
    <mergeCell ref="BQM47:BQS47"/>
    <mergeCell ref="BQT47:BQZ47"/>
    <mergeCell ref="BRA47:BRG47"/>
    <mergeCell ref="BOP47:BOV47"/>
    <mergeCell ref="BOW47:BPC47"/>
    <mergeCell ref="BPD47:BPJ47"/>
    <mergeCell ref="BPK47:BPQ47"/>
    <mergeCell ref="BPR47:BPX47"/>
    <mergeCell ref="BNG47:BNM47"/>
    <mergeCell ref="BNN47:BNT47"/>
    <mergeCell ref="BNU47:BOA47"/>
    <mergeCell ref="BOB47:BOH47"/>
    <mergeCell ref="BOI47:BOO47"/>
    <mergeCell ref="BLX47:BMD47"/>
    <mergeCell ref="BME47:BMK47"/>
    <mergeCell ref="BML47:BMR47"/>
    <mergeCell ref="BMS47:BMY47"/>
    <mergeCell ref="BMZ47:BNF47"/>
    <mergeCell ref="BKO47:BKU47"/>
    <mergeCell ref="BKV47:BLB47"/>
    <mergeCell ref="BLC47:BLI47"/>
    <mergeCell ref="BLJ47:BLP47"/>
    <mergeCell ref="BLQ47:BLW47"/>
    <mergeCell ref="BJF47:BJL47"/>
    <mergeCell ref="BJM47:BJS47"/>
    <mergeCell ref="BJT47:BJZ47"/>
    <mergeCell ref="BKA47:BKG47"/>
    <mergeCell ref="BKH47:BKN47"/>
    <mergeCell ref="BHW47:BIC47"/>
    <mergeCell ref="BID47:BIJ47"/>
    <mergeCell ref="BIK47:BIQ47"/>
    <mergeCell ref="BIR47:BIX47"/>
    <mergeCell ref="BIY47:BJE47"/>
    <mergeCell ref="BGN47:BGT47"/>
    <mergeCell ref="BGU47:BHA47"/>
    <mergeCell ref="BHB47:BHH47"/>
    <mergeCell ref="BHI47:BHO47"/>
    <mergeCell ref="BHP47:BHV47"/>
    <mergeCell ref="BFE47:BFK47"/>
    <mergeCell ref="BFL47:BFR47"/>
    <mergeCell ref="BFS47:BFY47"/>
    <mergeCell ref="BFZ47:BGF47"/>
    <mergeCell ref="BGG47:BGM47"/>
    <mergeCell ref="BDV47:BEB47"/>
    <mergeCell ref="BEC47:BEI47"/>
    <mergeCell ref="BEJ47:BEP47"/>
    <mergeCell ref="BEQ47:BEW47"/>
    <mergeCell ref="BEX47:BFD47"/>
    <mergeCell ref="BCM47:BCS47"/>
    <mergeCell ref="BCT47:BCZ47"/>
    <mergeCell ref="BDA47:BDG47"/>
    <mergeCell ref="BDH47:BDN47"/>
    <mergeCell ref="BDO47:BDU47"/>
    <mergeCell ref="BBD47:BBJ47"/>
    <mergeCell ref="BBK47:BBQ47"/>
    <mergeCell ref="BBR47:BBX47"/>
    <mergeCell ref="BBY47:BCE47"/>
    <mergeCell ref="BCF47:BCL47"/>
    <mergeCell ref="AZU47:BAA47"/>
    <mergeCell ref="BAB47:BAH47"/>
    <mergeCell ref="BAI47:BAO47"/>
    <mergeCell ref="BAP47:BAV47"/>
    <mergeCell ref="BAW47:BBC47"/>
    <mergeCell ref="AYL47:AYR47"/>
    <mergeCell ref="AYS47:AYY47"/>
    <mergeCell ref="AYZ47:AZF47"/>
    <mergeCell ref="AZG47:AZM47"/>
    <mergeCell ref="AZN47:AZT47"/>
    <mergeCell ref="AXC47:AXI47"/>
    <mergeCell ref="AXJ47:AXP47"/>
    <mergeCell ref="AXQ47:AXW47"/>
    <mergeCell ref="AXX47:AYD47"/>
    <mergeCell ref="AYE47:AYK47"/>
    <mergeCell ref="AVT47:AVZ47"/>
    <mergeCell ref="AWA47:AWG47"/>
    <mergeCell ref="AWH47:AWN47"/>
    <mergeCell ref="AWO47:AWU47"/>
    <mergeCell ref="AWV47:AXB47"/>
    <mergeCell ref="AUK47:AUQ47"/>
    <mergeCell ref="AUR47:AUX47"/>
    <mergeCell ref="AUY47:AVE47"/>
    <mergeCell ref="AVF47:AVL47"/>
    <mergeCell ref="AVM47:AVS47"/>
    <mergeCell ref="ATB47:ATH47"/>
    <mergeCell ref="ATI47:ATO47"/>
    <mergeCell ref="ATP47:ATV47"/>
    <mergeCell ref="ATW47:AUC47"/>
    <mergeCell ref="AUD47:AUJ47"/>
    <mergeCell ref="ARS47:ARY47"/>
    <mergeCell ref="ARZ47:ASF47"/>
    <mergeCell ref="ASG47:ASM47"/>
    <mergeCell ref="ASN47:AST47"/>
    <mergeCell ref="ASU47:ATA47"/>
    <mergeCell ref="AQJ47:AQP47"/>
    <mergeCell ref="AQQ47:AQW47"/>
    <mergeCell ref="AQX47:ARD47"/>
    <mergeCell ref="ARE47:ARK47"/>
    <mergeCell ref="ARL47:ARR47"/>
    <mergeCell ref="APA47:APG47"/>
    <mergeCell ref="APH47:APN47"/>
    <mergeCell ref="APO47:APU47"/>
    <mergeCell ref="APV47:AQB47"/>
    <mergeCell ref="AQC47:AQI47"/>
    <mergeCell ref="ANR47:ANX47"/>
    <mergeCell ref="ANY47:AOE47"/>
    <mergeCell ref="AOF47:AOL47"/>
    <mergeCell ref="AOM47:AOS47"/>
    <mergeCell ref="AOT47:AOZ47"/>
    <mergeCell ref="AMI47:AMO47"/>
    <mergeCell ref="AMP47:AMV47"/>
    <mergeCell ref="AMW47:ANC47"/>
    <mergeCell ref="AND47:ANJ47"/>
    <mergeCell ref="ANK47:ANQ47"/>
    <mergeCell ref="AKZ47:ALF47"/>
    <mergeCell ref="ALG47:ALM47"/>
    <mergeCell ref="ALN47:ALT47"/>
    <mergeCell ref="ALU47:AMA47"/>
    <mergeCell ref="AMB47:AMH47"/>
    <mergeCell ref="AJQ47:AJW47"/>
    <mergeCell ref="AJX47:AKD47"/>
    <mergeCell ref="AKE47:AKK47"/>
    <mergeCell ref="AKL47:AKR47"/>
    <mergeCell ref="AKS47:AKY47"/>
    <mergeCell ref="AIH47:AIN47"/>
    <mergeCell ref="AIO47:AIU47"/>
    <mergeCell ref="AIV47:AJB47"/>
    <mergeCell ref="AJC47:AJI47"/>
    <mergeCell ref="AJJ47:AJP47"/>
    <mergeCell ref="AGY47:AHE47"/>
    <mergeCell ref="AHF47:AHL47"/>
    <mergeCell ref="AHM47:AHS47"/>
    <mergeCell ref="AHT47:AHZ47"/>
    <mergeCell ref="AIA47:AIG47"/>
    <mergeCell ref="AFP47:AFV47"/>
    <mergeCell ref="AFW47:AGC47"/>
    <mergeCell ref="AGD47:AGJ47"/>
    <mergeCell ref="AGK47:AGQ47"/>
    <mergeCell ref="AGR47:AGX47"/>
    <mergeCell ref="AEG47:AEM47"/>
    <mergeCell ref="AEN47:AET47"/>
    <mergeCell ref="AEU47:AFA47"/>
    <mergeCell ref="AFB47:AFH47"/>
    <mergeCell ref="AFI47:AFO47"/>
    <mergeCell ref="ACX47:ADD47"/>
    <mergeCell ref="ADE47:ADK47"/>
    <mergeCell ref="ADL47:ADR47"/>
    <mergeCell ref="ADS47:ADY47"/>
    <mergeCell ref="ADZ47:AEF47"/>
    <mergeCell ref="ABO47:ABU47"/>
    <mergeCell ref="ABV47:ACB47"/>
    <mergeCell ref="ACC47:ACI47"/>
    <mergeCell ref="ACJ47:ACP47"/>
    <mergeCell ref="ACQ47:ACW47"/>
    <mergeCell ref="AAF47:AAL47"/>
    <mergeCell ref="AAM47:AAS47"/>
    <mergeCell ref="AAT47:AAZ47"/>
    <mergeCell ref="ABA47:ABG47"/>
    <mergeCell ref="ABH47:ABN47"/>
    <mergeCell ref="YW47:ZC47"/>
    <mergeCell ref="ZD47:ZJ47"/>
    <mergeCell ref="ZK47:ZQ47"/>
    <mergeCell ref="ZR47:ZX47"/>
    <mergeCell ref="ZY47:AAE47"/>
    <mergeCell ref="XN47:XT47"/>
    <mergeCell ref="XU47:YA47"/>
    <mergeCell ref="YB47:YH47"/>
    <mergeCell ref="YI47:YO47"/>
    <mergeCell ref="YP47:YV47"/>
    <mergeCell ref="WE47:WK47"/>
    <mergeCell ref="WL47:WR47"/>
    <mergeCell ref="WS47:WY47"/>
    <mergeCell ref="WZ47:XF47"/>
    <mergeCell ref="XG47:XM47"/>
    <mergeCell ref="UV47:VB47"/>
    <mergeCell ref="VC47:VI47"/>
    <mergeCell ref="VJ47:VP47"/>
    <mergeCell ref="VQ47:VW47"/>
    <mergeCell ref="VX47:WD47"/>
    <mergeCell ref="TM47:TS47"/>
    <mergeCell ref="TT47:TZ47"/>
    <mergeCell ref="UA47:UG47"/>
    <mergeCell ref="UH47:UN47"/>
    <mergeCell ref="UO47:UU47"/>
    <mergeCell ref="SD47:SJ47"/>
    <mergeCell ref="SK47:SQ47"/>
    <mergeCell ref="SR47:SX47"/>
    <mergeCell ref="SY47:TE47"/>
    <mergeCell ref="TF47:TL47"/>
    <mergeCell ref="QU47:RA47"/>
    <mergeCell ref="RB47:RH47"/>
    <mergeCell ref="RI47:RO47"/>
    <mergeCell ref="RP47:RV47"/>
    <mergeCell ref="RW47:SC47"/>
    <mergeCell ref="PL47:PR47"/>
    <mergeCell ref="PS47:PY47"/>
    <mergeCell ref="PZ47:QF47"/>
    <mergeCell ref="QG47:QM47"/>
    <mergeCell ref="QN47:QT47"/>
    <mergeCell ref="OJ47:OP47"/>
    <mergeCell ref="OQ47:OW47"/>
    <mergeCell ref="OX47:PD47"/>
    <mergeCell ref="PE47:PK47"/>
    <mergeCell ref="MT47:MZ47"/>
    <mergeCell ref="NA47:NG47"/>
    <mergeCell ref="NH47:NN47"/>
    <mergeCell ref="NO47:NU47"/>
    <mergeCell ref="NV47:OB47"/>
    <mergeCell ref="LK47:LQ47"/>
    <mergeCell ref="LR47:LX47"/>
    <mergeCell ref="LY47:ME47"/>
    <mergeCell ref="MF47:ML47"/>
    <mergeCell ref="MM47:MS47"/>
    <mergeCell ref="KB47:KH47"/>
    <mergeCell ref="KI47:KO47"/>
    <mergeCell ref="KP47:KV47"/>
    <mergeCell ref="KW47:LC47"/>
    <mergeCell ref="LD47:LJ47"/>
    <mergeCell ref="JU47:KA47"/>
    <mergeCell ref="HJ47:HP47"/>
    <mergeCell ref="HQ47:HW47"/>
    <mergeCell ref="HX47:ID47"/>
    <mergeCell ref="IE47:IK47"/>
    <mergeCell ref="IL47:IR47"/>
    <mergeCell ref="GA47:GG47"/>
    <mergeCell ref="GH47:GN47"/>
    <mergeCell ref="GO47:GU47"/>
    <mergeCell ref="GV47:HB47"/>
    <mergeCell ref="HC47:HI47"/>
    <mergeCell ref="ER47:EX47"/>
    <mergeCell ref="EY47:FE47"/>
    <mergeCell ref="FF47:FL47"/>
    <mergeCell ref="FM47:FS47"/>
    <mergeCell ref="FT47:FZ47"/>
    <mergeCell ref="OC47:OI47"/>
    <mergeCell ref="CG47:CM47"/>
    <mergeCell ref="CN47:CT47"/>
    <mergeCell ref="CU47:DA47"/>
    <mergeCell ref="DB47:DH47"/>
    <mergeCell ref="AQ47:AW47"/>
    <mergeCell ref="AX47:BD47"/>
    <mergeCell ref="BE47:BK47"/>
    <mergeCell ref="BL47:BR47"/>
    <mergeCell ref="BS47:BY47"/>
    <mergeCell ref="O47:U47"/>
    <mergeCell ref="V47:AB47"/>
    <mergeCell ref="AC47:AI47"/>
    <mergeCell ref="AJ47:AP47"/>
    <mergeCell ref="IS47:IY47"/>
    <mergeCell ref="IZ47:JF47"/>
    <mergeCell ref="JG47:JM47"/>
    <mergeCell ref="JN47:JT47"/>
    <mergeCell ref="XDY36:XEE36"/>
    <mergeCell ref="XEF36:XEL36"/>
    <mergeCell ref="XEM36:XES36"/>
    <mergeCell ref="XET36:XEZ36"/>
    <mergeCell ref="XFA36:XFD36"/>
    <mergeCell ref="XCP36:XCV36"/>
    <mergeCell ref="XCW36:XDC36"/>
    <mergeCell ref="XDD36:XDJ36"/>
    <mergeCell ref="XDK36:XDQ36"/>
    <mergeCell ref="XDR36:XDX36"/>
    <mergeCell ref="XBG36:XBM36"/>
    <mergeCell ref="XBN36:XBT36"/>
    <mergeCell ref="XBU36:XCA36"/>
    <mergeCell ref="XCB36:XCH36"/>
    <mergeCell ref="XCI36:XCO36"/>
    <mergeCell ref="WZX36:XAD36"/>
    <mergeCell ref="XAE36:XAK36"/>
    <mergeCell ref="XAL36:XAR36"/>
    <mergeCell ref="XAS36:XAY36"/>
    <mergeCell ref="XAZ36:XBF36"/>
    <mergeCell ref="WYO36:WYU36"/>
    <mergeCell ref="WYV36:WZB36"/>
    <mergeCell ref="WZC36:WZI36"/>
    <mergeCell ref="WZJ36:WZP36"/>
    <mergeCell ref="WZQ36:WZW36"/>
    <mergeCell ref="WXF36:WXL36"/>
    <mergeCell ref="WXM36:WXS36"/>
    <mergeCell ref="WXT36:WXZ36"/>
    <mergeCell ref="WYA36:WYG36"/>
    <mergeCell ref="WYH36:WYN36"/>
    <mergeCell ref="WVW36:WWC36"/>
    <mergeCell ref="WWD36:WWJ36"/>
    <mergeCell ref="WWK36:WWQ36"/>
    <mergeCell ref="WWR36:WWX36"/>
    <mergeCell ref="WWY36:WXE36"/>
    <mergeCell ref="WUN36:WUT36"/>
    <mergeCell ref="WUU36:WVA36"/>
    <mergeCell ref="WVB36:WVH36"/>
    <mergeCell ref="WVI36:WVO36"/>
    <mergeCell ref="WVP36:WVV36"/>
    <mergeCell ref="WTE36:WTK36"/>
    <mergeCell ref="WTL36:WTR36"/>
    <mergeCell ref="WTS36:WTY36"/>
    <mergeCell ref="WTZ36:WUF36"/>
    <mergeCell ref="WUG36:WUM36"/>
    <mergeCell ref="WRV36:WSB36"/>
    <mergeCell ref="WSC36:WSI36"/>
    <mergeCell ref="WSJ36:WSP36"/>
    <mergeCell ref="WSQ36:WSW36"/>
    <mergeCell ref="WSX36:WTD36"/>
    <mergeCell ref="WQM36:WQS36"/>
    <mergeCell ref="WQT36:WQZ36"/>
    <mergeCell ref="WRA36:WRG36"/>
    <mergeCell ref="WRH36:WRN36"/>
    <mergeCell ref="WRO36:WRU36"/>
    <mergeCell ref="WPD36:WPJ36"/>
    <mergeCell ref="WPK36:WPQ36"/>
    <mergeCell ref="WPR36:WPX36"/>
    <mergeCell ref="WPY36:WQE36"/>
    <mergeCell ref="WQF36:WQL36"/>
    <mergeCell ref="WNU36:WOA36"/>
    <mergeCell ref="WOB36:WOH36"/>
    <mergeCell ref="WOI36:WOO36"/>
    <mergeCell ref="WOP36:WOV36"/>
    <mergeCell ref="WOW36:WPC36"/>
    <mergeCell ref="WML36:WMR36"/>
    <mergeCell ref="WMS36:WMY36"/>
    <mergeCell ref="WMZ36:WNF36"/>
    <mergeCell ref="WNG36:WNM36"/>
    <mergeCell ref="WNN36:WNT36"/>
    <mergeCell ref="WLC36:WLI36"/>
    <mergeCell ref="WLJ36:WLP36"/>
    <mergeCell ref="WLQ36:WLW36"/>
    <mergeCell ref="WLX36:WMD36"/>
    <mergeCell ref="WME36:WMK36"/>
    <mergeCell ref="WJT36:WJZ36"/>
    <mergeCell ref="WKA36:WKG36"/>
    <mergeCell ref="WKH36:WKN36"/>
    <mergeCell ref="WKO36:WKU36"/>
    <mergeCell ref="WKV36:WLB36"/>
    <mergeCell ref="WIK36:WIQ36"/>
    <mergeCell ref="WIR36:WIX36"/>
    <mergeCell ref="WIY36:WJE36"/>
    <mergeCell ref="WJF36:WJL36"/>
    <mergeCell ref="WJM36:WJS36"/>
    <mergeCell ref="WHB36:WHH36"/>
    <mergeCell ref="WHI36:WHO36"/>
    <mergeCell ref="WHP36:WHV36"/>
    <mergeCell ref="WHW36:WIC36"/>
    <mergeCell ref="WID36:WIJ36"/>
    <mergeCell ref="WFS36:WFY36"/>
    <mergeCell ref="WFZ36:WGF36"/>
    <mergeCell ref="WGG36:WGM36"/>
    <mergeCell ref="WGN36:WGT36"/>
    <mergeCell ref="WGU36:WHA36"/>
    <mergeCell ref="WEJ36:WEP36"/>
    <mergeCell ref="WEQ36:WEW36"/>
    <mergeCell ref="WEX36:WFD36"/>
    <mergeCell ref="WFE36:WFK36"/>
    <mergeCell ref="WFL36:WFR36"/>
    <mergeCell ref="WDA36:WDG36"/>
    <mergeCell ref="WDH36:WDN36"/>
    <mergeCell ref="WDO36:WDU36"/>
    <mergeCell ref="WDV36:WEB36"/>
    <mergeCell ref="WEC36:WEI36"/>
    <mergeCell ref="WBR36:WBX36"/>
    <mergeCell ref="WBY36:WCE36"/>
    <mergeCell ref="WCF36:WCL36"/>
    <mergeCell ref="WCM36:WCS36"/>
    <mergeCell ref="WCT36:WCZ36"/>
    <mergeCell ref="WAI36:WAO36"/>
    <mergeCell ref="WAP36:WAV36"/>
    <mergeCell ref="WAW36:WBC36"/>
    <mergeCell ref="WBD36:WBJ36"/>
    <mergeCell ref="WBK36:WBQ36"/>
    <mergeCell ref="VYZ36:VZF36"/>
    <mergeCell ref="VZG36:VZM36"/>
    <mergeCell ref="VZN36:VZT36"/>
    <mergeCell ref="VZU36:WAA36"/>
    <mergeCell ref="WAB36:WAH36"/>
    <mergeCell ref="VXQ36:VXW36"/>
    <mergeCell ref="VXX36:VYD36"/>
    <mergeCell ref="VYE36:VYK36"/>
    <mergeCell ref="VYL36:VYR36"/>
    <mergeCell ref="VYS36:VYY36"/>
    <mergeCell ref="VWH36:VWN36"/>
    <mergeCell ref="VWO36:VWU36"/>
    <mergeCell ref="VWV36:VXB36"/>
    <mergeCell ref="VXC36:VXI36"/>
    <mergeCell ref="VXJ36:VXP36"/>
    <mergeCell ref="VUY36:VVE36"/>
    <mergeCell ref="VVF36:VVL36"/>
    <mergeCell ref="VVM36:VVS36"/>
    <mergeCell ref="VVT36:VVZ36"/>
    <mergeCell ref="VWA36:VWG36"/>
    <mergeCell ref="VTP36:VTV36"/>
    <mergeCell ref="VTW36:VUC36"/>
    <mergeCell ref="VUD36:VUJ36"/>
    <mergeCell ref="VUK36:VUQ36"/>
    <mergeCell ref="VUR36:VUX36"/>
    <mergeCell ref="VSG36:VSM36"/>
    <mergeCell ref="VSN36:VST36"/>
    <mergeCell ref="VSU36:VTA36"/>
    <mergeCell ref="VTB36:VTH36"/>
    <mergeCell ref="VTI36:VTO36"/>
    <mergeCell ref="VQX36:VRD36"/>
    <mergeCell ref="VRE36:VRK36"/>
    <mergeCell ref="VRL36:VRR36"/>
    <mergeCell ref="VRS36:VRY36"/>
    <mergeCell ref="VRZ36:VSF36"/>
    <mergeCell ref="VPO36:VPU36"/>
    <mergeCell ref="VPV36:VQB36"/>
    <mergeCell ref="VQC36:VQI36"/>
    <mergeCell ref="VQJ36:VQP36"/>
    <mergeCell ref="VQQ36:VQW36"/>
    <mergeCell ref="VOF36:VOL36"/>
    <mergeCell ref="VOM36:VOS36"/>
    <mergeCell ref="VOT36:VOZ36"/>
    <mergeCell ref="VPA36:VPG36"/>
    <mergeCell ref="VPH36:VPN36"/>
    <mergeCell ref="VMW36:VNC36"/>
    <mergeCell ref="VND36:VNJ36"/>
    <mergeCell ref="VNK36:VNQ36"/>
    <mergeCell ref="VNR36:VNX36"/>
    <mergeCell ref="VNY36:VOE36"/>
    <mergeCell ref="VLN36:VLT36"/>
    <mergeCell ref="VLU36:VMA36"/>
    <mergeCell ref="VMB36:VMH36"/>
    <mergeCell ref="VMI36:VMO36"/>
    <mergeCell ref="VMP36:VMV36"/>
    <mergeCell ref="VKE36:VKK36"/>
    <mergeCell ref="VKL36:VKR36"/>
    <mergeCell ref="VKS36:VKY36"/>
    <mergeCell ref="VKZ36:VLF36"/>
    <mergeCell ref="VLG36:VLM36"/>
    <mergeCell ref="VIV36:VJB36"/>
    <mergeCell ref="VJC36:VJI36"/>
    <mergeCell ref="VJJ36:VJP36"/>
    <mergeCell ref="VJQ36:VJW36"/>
    <mergeCell ref="VJX36:VKD36"/>
    <mergeCell ref="VHM36:VHS36"/>
    <mergeCell ref="VHT36:VHZ36"/>
    <mergeCell ref="VIA36:VIG36"/>
    <mergeCell ref="VIH36:VIN36"/>
    <mergeCell ref="VIO36:VIU36"/>
    <mergeCell ref="VGD36:VGJ36"/>
    <mergeCell ref="VGK36:VGQ36"/>
    <mergeCell ref="VGR36:VGX36"/>
    <mergeCell ref="VGY36:VHE36"/>
    <mergeCell ref="VHF36:VHL36"/>
    <mergeCell ref="VEU36:VFA36"/>
    <mergeCell ref="VFB36:VFH36"/>
    <mergeCell ref="VFI36:VFO36"/>
    <mergeCell ref="VFP36:VFV36"/>
    <mergeCell ref="VFW36:VGC36"/>
    <mergeCell ref="VDL36:VDR36"/>
    <mergeCell ref="VDS36:VDY36"/>
    <mergeCell ref="VDZ36:VEF36"/>
    <mergeCell ref="VEG36:VEM36"/>
    <mergeCell ref="VEN36:VET36"/>
    <mergeCell ref="VCC36:VCI36"/>
    <mergeCell ref="VCJ36:VCP36"/>
    <mergeCell ref="VCQ36:VCW36"/>
    <mergeCell ref="VCX36:VDD36"/>
    <mergeCell ref="VDE36:VDK36"/>
    <mergeCell ref="VAT36:VAZ36"/>
    <mergeCell ref="VBA36:VBG36"/>
    <mergeCell ref="VBH36:VBN36"/>
    <mergeCell ref="VBO36:VBU36"/>
    <mergeCell ref="VBV36:VCB36"/>
    <mergeCell ref="UZK36:UZQ36"/>
    <mergeCell ref="UZR36:UZX36"/>
    <mergeCell ref="UZY36:VAE36"/>
    <mergeCell ref="VAF36:VAL36"/>
    <mergeCell ref="VAM36:VAS36"/>
    <mergeCell ref="UYB36:UYH36"/>
    <mergeCell ref="UYI36:UYO36"/>
    <mergeCell ref="UYP36:UYV36"/>
    <mergeCell ref="UYW36:UZC36"/>
    <mergeCell ref="UZD36:UZJ36"/>
    <mergeCell ref="UWS36:UWY36"/>
    <mergeCell ref="UWZ36:UXF36"/>
    <mergeCell ref="UXG36:UXM36"/>
    <mergeCell ref="UXN36:UXT36"/>
    <mergeCell ref="UXU36:UYA36"/>
    <mergeCell ref="UVJ36:UVP36"/>
    <mergeCell ref="UVQ36:UVW36"/>
    <mergeCell ref="UVX36:UWD36"/>
    <mergeCell ref="UWE36:UWK36"/>
    <mergeCell ref="UWL36:UWR36"/>
    <mergeCell ref="UUA36:UUG36"/>
    <mergeCell ref="UUH36:UUN36"/>
    <mergeCell ref="UUO36:UUU36"/>
    <mergeCell ref="UUV36:UVB36"/>
    <mergeCell ref="UVC36:UVI36"/>
    <mergeCell ref="USR36:USX36"/>
    <mergeCell ref="USY36:UTE36"/>
    <mergeCell ref="UTF36:UTL36"/>
    <mergeCell ref="UTM36:UTS36"/>
    <mergeCell ref="UTT36:UTZ36"/>
    <mergeCell ref="URI36:URO36"/>
    <mergeCell ref="URP36:URV36"/>
    <mergeCell ref="URW36:USC36"/>
    <mergeCell ref="USD36:USJ36"/>
    <mergeCell ref="USK36:USQ36"/>
    <mergeCell ref="UPZ36:UQF36"/>
    <mergeCell ref="UQG36:UQM36"/>
    <mergeCell ref="UQN36:UQT36"/>
    <mergeCell ref="UQU36:URA36"/>
    <mergeCell ref="URB36:URH36"/>
    <mergeCell ref="UOQ36:UOW36"/>
    <mergeCell ref="UOX36:UPD36"/>
    <mergeCell ref="UPE36:UPK36"/>
    <mergeCell ref="UPL36:UPR36"/>
    <mergeCell ref="UPS36:UPY36"/>
    <mergeCell ref="UNH36:UNN36"/>
    <mergeCell ref="UNO36:UNU36"/>
    <mergeCell ref="UNV36:UOB36"/>
    <mergeCell ref="UOC36:UOI36"/>
    <mergeCell ref="UOJ36:UOP36"/>
    <mergeCell ref="ULY36:UME36"/>
    <mergeCell ref="UMF36:UML36"/>
    <mergeCell ref="UMM36:UMS36"/>
    <mergeCell ref="UMT36:UMZ36"/>
    <mergeCell ref="UNA36:UNG36"/>
    <mergeCell ref="UKP36:UKV36"/>
    <mergeCell ref="UKW36:ULC36"/>
    <mergeCell ref="ULD36:ULJ36"/>
    <mergeCell ref="ULK36:ULQ36"/>
    <mergeCell ref="ULR36:ULX36"/>
    <mergeCell ref="UJG36:UJM36"/>
    <mergeCell ref="UJN36:UJT36"/>
    <mergeCell ref="UJU36:UKA36"/>
    <mergeCell ref="UKB36:UKH36"/>
    <mergeCell ref="UKI36:UKO36"/>
    <mergeCell ref="UHX36:UID36"/>
    <mergeCell ref="UIE36:UIK36"/>
    <mergeCell ref="UIL36:UIR36"/>
    <mergeCell ref="UIS36:UIY36"/>
    <mergeCell ref="UIZ36:UJF36"/>
    <mergeCell ref="UGO36:UGU36"/>
    <mergeCell ref="UGV36:UHB36"/>
    <mergeCell ref="UHC36:UHI36"/>
    <mergeCell ref="UHJ36:UHP36"/>
    <mergeCell ref="UHQ36:UHW36"/>
    <mergeCell ref="UFF36:UFL36"/>
    <mergeCell ref="UFM36:UFS36"/>
    <mergeCell ref="UFT36:UFZ36"/>
    <mergeCell ref="UGA36:UGG36"/>
    <mergeCell ref="UGH36:UGN36"/>
    <mergeCell ref="UDW36:UEC36"/>
    <mergeCell ref="UED36:UEJ36"/>
    <mergeCell ref="UEK36:UEQ36"/>
    <mergeCell ref="UER36:UEX36"/>
    <mergeCell ref="UEY36:UFE36"/>
    <mergeCell ref="UCN36:UCT36"/>
    <mergeCell ref="UCU36:UDA36"/>
    <mergeCell ref="UDB36:UDH36"/>
    <mergeCell ref="UDI36:UDO36"/>
    <mergeCell ref="UDP36:UDV36"/>
    <mergeCell ref="UBE36:UBK36"/>
    <mergeCell ref="UBL36:UBR36"/>
    <mergeCell ref="UBS36:UBY36"/>
    <mergeCell ref="UBZ36:UCF36"/>
    <mergeCell ref="UCG36:UCM36"/>
    <mergeCell ref="TZV36:UAB36"/>
    <mergeCell ref="UAC36:UAI36"/>
    <mergeCell ref="UAJ36:UAP36"/>
    <mergeCell ref="UAQ36:UAW36"/>
    <mergeCell ref="UAX36:UBD36"/>
    <mergeCell ref="TYM36:TYS36"/>
    <mergeCell ref="TYT36:TYZ36"/>
    <mergeCell ref="TZA36:TZG36"/>
    <mergeCell ref="TZH36:TZN36"/>
    <mergeCell ref="TZO36:TZU36"/>
    <mergeCell ref="TXD36:TXJ36"/>
    <mergeCell ref="TXK36:TXQ36"/>
    <mergeCell ref="TXR36:TXX36"/>
    <mergeCell ref="TXY36:TYE36"/>
    <mergeCell ref="TYF36:TYL36"/>
    <mergeCell ref="TVU36:TWA36"/>
    <mergeCell ref="TWB36:TWH36"/>
    <mergeCell ref="TWI36:TWO36"/>
    <mergeCell ref="TWP36:TWV36"/>
    <mergeCell ref="TWW36:TXC36"/>
    <mergeCell ref="TUL36:TUR36"/>
    <mergeCell ref="TUS36:TUY36"/>
    <mergeCell ref="TUZ36:TVF36"/>
    <mergeCell ref="TVG36:TVM36"/>
    <mergeCell ref="TVN36:TVT36"/>
    <mergeCell ref="TTC36:TTI36"/>
    <mergeCell ref="TTJ36:TTP36"/>
    <mergeCell ref="TTQ36:TTW36"/>
    <mergeCell ref="TTX36:TUD36"/>
    <mergeCell ref="TUE36:TUK36"/>
    <mergeCell ref="TRT36:TRZ36"/>
    <mergeCell ref="TSA36:TSG36"/>
    <mergeCell ref="TSH36:TSN36"/>
    <mergeCell ref="TSO36:TSU36"/>
    <mergeCell ref="TSV36:TTB36"/>
    <mergeCell ref="TQK36:TQQ36"/>
    <mergeCell ref="TQR36:TQX36"/>
    <mergeCell ref="TQY36:TRE36"/>
    <mergeCell ref="TRF36:TRL36"/>
    <mergeCell ref="TRM36:TRS36"/>
    <mergeCell ref="TPB36:TPH36"/>
    <mergeCell ref="TPI36:TPO36"/>
    <mergeCell ref="TPP36:TPV36"/>
    <mergeCell ref="TPW36:TQC36"/>
    <mergeCell ref="TQD36:TQJ36"/>
    <mergeCell ref="TNS36:TNY36"/>
    <mergeCell ref="TNZ36:TOF36"/>
    <mergeCell ref="TOG36:TOM36"/>
    <mergeCell ref="TON36:TOT36"/>
    <mergeCell ref="TOU36:TPA36"/>
    <mergeCell ref="TMJ36:TMP36"/>
    <mergeCell ref="TMQ36:TMW36"/>
    <mergeCell ref="TMX36:TND36"/>
    <mergeCell ref="TNE36:TNK36"/>
    <mergeCell ref="TNL36:TNR36"/>
    <mergeCell ref="TLA36:TLG36"/>
    <mergeCell ref="TLH36:TLN36"/>
    <mergeCell ref="TLO36:TLU36"/>
    <mergeCell ref="TLV36:TMB36"/>
    <mergeCell ref="TMC36:TMI36"/>
    <mergeCell ref="TJR36:TJX36"/>
    <mergeCell ref="TJY36:TKE36"/>
    <mergeCell ref="TKF36:TKL36"/>
    <mergeCell ref="TKM36:TKS36"/>
    <mergeCell ref="TKT36:TKZ36"/>
    <mergeCell ref="TII36:TIO36"/>
    <mergeCell ref="TIP36:TIV36"/>
    <mergeCell ref="TIW36:TJC36"/>
    <mergeCell ref="TJD36:TJJ36"/>
    <mergeCell ref="TJK36:TJQ36"/>
    <mergeCell ref="TGZ36:THF36"/>
    <mergeCell ref="THG36:THM36"/>
    <mergeCell ref="THN36:THT36"/>
    <mergeCell ref="THU36:TIA36"/>
    <mergeCell ref="TIB36:TIH36"/>
    <mergeCell ref="TFQ36:TFW36"/>
    <mergeCell ref="TFX36:TGD36"/>
    <mergeCell ref="TGE36:TGK36"/>
    <mergeCell ref="TGL36:TGR36"/>
    <mergeCell ref="TGS36:TGY36"/>
    <mergeCell ref="TEH36:TEN36"/>
    <mergeCell ref="TEO36:TEU36"/>
    <mergeCell ref="TEV36:TFB36"/>
    <mergeCell ref="TFC36:TFI36"/>
    <mergeCell ref="TFJ36:TFP36"/>
    <mergeCell ref="TCY36:TDE36"/>
    <mergeCell ref="TDF36:TDL36"/>
    <mergeCell ref="TDM36:TDS36"/>
    <mergeCell ref="TDT36:TDZ36"/>
    <mergeCell ref="TEA36:TEG36"/>
    <mergeCell ref="TBP36:TBV36"/>
    <mergeCell ref="TBW36:TCC36"/>
    <mergeCell ref="TCD36:TCJ36"/>
    <mergeCell ref="TCK36:TCQ36"/>
    <mergeCell ref="TCR36:TCX36"/>
    <mergeCell ref="TAG36:TAM36"/>
    <mergeCell ref="TAN36:TAT36"/>
    <mergeCell ref="TAU36:TBA36"/>
    <mergeCell ref="TBB36:TBH36"/>
    <mergeCell ref="TBI36:TBO36"/>
    <mergeCell ref="SYX36:SZD36"/>
    <mergeCell ref="SZE36:SZK36"/>
    <mergeCell ref="SZL36:SZR36"/>
    <mergeCell ref="SZS36:SZY36"/>
    <mergeCell ref="SZZ36:TAF36"/>
    <mergeCell ref="SXO36:SXU36"/>
    <mergeCell ref="SXV36:SYB36"/>
    <mergeCell ref="SYC36:SYI36"/>
    <mergeCell ref="SYJ36:SYP36"/>
    <mergeCell ref="SYQ36:SYW36"/>
    <mergeCell ref="SWF36:SWL36"/>
    <mergeCell ref="SWM36:SWS36"/>
    <mergeCell ref="SWT36:SWZ36"/>
    <mergeCell ref="SXA36:SXG36"/>
    <mergeCell ref="SXH36:SXN36"/>
    <mergeCell ref="SUW36:SVC36"/>
    <mergeCell ref="SVD36:SVJ36"/>
    <mergeCell ref="SVK36:SVQ36"/>
    <mergeCell ref="SVR36:SVX36"/>
    <mergeCell ref="SVY36:SWE36"/>
    <mergeCell ref="STN36:STT36"/>
    <mergeCell ref="STU36:SUA36"/>
    <mergeCell ref="SUB36:SUH36"/>
    <mergeCell ref="SUI36:SUO36"/>
    <mergeCell ref="SUP36:SUV36"/>
    <mergeCell ref="SSE36:SSK36"/>
    <mergeCell ref="SSL36:SSR36"/>
    <mergeCell ref="SSS36:SSY36"/>
    <mergeCell ref="SSZ36:STF36"/>
    <mergeCell ref="STG36:STM36"/>
    <mergeCell ref="SQV36:SRB36"/>
    <mergeCell ref="SRC36:SRI36"/>
    <mergeCell ref="SRJ36:SRP36"/>
    <mergeCell ref="SRQ36:SRW36"/>
    <mergeCell ref="SRX36:SSD36"/>
    <mergeCell ref="SPM36:SPS36"/>
    <mergeCell ref="SPT36:SPZ36"/>
    <mergeCell ref="SQA36:SQG36"/>
    <mergeCell ref="SQH36:SQN36"/>
    <mergeCell ref="SQO36:SQU36"/>
    <mergeCell ref="SOD36:SOJ36"/>
    <mergeCell ref="SOK36:SOQ36"/>
    <mergeCell ref="SOR36:SOX36"/>
    <mergeCell ref="SOY36:SPE36"/>
    <mergeCell ref="SPF36:SPL36"/>
    <mergeCell ref="SMU36:SNA36"/>
    <mergeCell ref="SNB36:SNH36"/>
    <mergeCell ref="SNI36:SNO36"/>
    <mergeCell ref="SNP36:SNV36"/>
    <mergeCell ref="SNW36:SOC36"/>
    <mergeCell ref="SLL36:SLR36"/>
    <mergeCell ref="SLS36:SLY36"/>
    <mergeCell ref="SLZ36:SMF36"/>
    <mergeCell ref="SMG36:SMM36"/>
    <mergeCell ref="SMN36:SMT36"/>
    <mergeCell ref="SKC36:SKI36"/>
    <mergeCell ref="SKJ36:SKP36"/>
    <mergeCell ref="SKQ36:SKW36"/>
    <mergeCell ref="SKX36:SLD36"/>
    <mergeCell ref="SLE36:SLK36"/>
    <mergeCell ref="SIT36:SIZ36"/>
    <mergeCell ref="SJA36:SJG36"/>
    <mergeCell ref="SJH36:SJN36"/>
    <mergeCell ref="SJO36:SJU36"/>
    <mergeCell ref="SJV36:SKB36"/>
    <mergeCell ref="SHK36:SHQ36"/>
    <mergeCell ref="SHR36:SHX36"/>
    <mergeCell ref="SHY36:SIE36"/>
    <mergeCell ref="SIF36:SIL36"/>
    <mergeCell ref="SIM36:SIS36"/>
    <mergeCell ref="SGB36:SGH36"/>
    <mergeCell ref="SGI36:SGO36"/>
    <mergeCell ref="SGP36:SGV36"/>
    <mergeCell ref="SGW36:SHC36"/>
    <mergeCell ref="SHD36:SHJ36"/>
    <mergeCell ref="SES36:SEY36"/>
    <mergeCell ref="SEZ36:SFF36"/>
    <mergeCell ref="SFG36:SFM36"/>
    <mergeCell ref="SFN36:SFT36"/>
    <mergeCell ref="SFU36:SGA36"/>
    <mergeCell ref="SDJ36:SDP36"/>
    <mergeCell ref="SDQ36:SDW36"/>
    <mergeCell ref="SDX36:SED36"/>
    <mergeCell ref="SEE36:SEK36"/>
    <mergeCell ref="SEL36:SER36"/>
    <mergeCell ref="SCA36:SCG36"/>
    <mergeCell ref="SCH36:SCN36"/>
    <mergeCell ref="SCO36:SCU36"/>
    <mergeCell ref="SCV36:SDB36"/>
    <mergeCell ref="SDC36:SDI36"/>
    <mergeCell ref="SAR36:SAX36"/>
    <mergeCell ref="SAY36:SBE36"/>
    <mergeCell ref="SBF36:SBL36"/>
    <mergeCell ref="SBM36:SBS36"/>
    <mergeCell ref="SBT36:SBZ36"/>
    <mergeCell ref="RZI36:RZO36"/>
    <mergeCell ref="RZP36:RZV36"/>
    <mergeCell ref="RZW36:SAC36"/>
    <mergeCell ref="SAD36:SAJ36"/>
    <mergeCell ref="SAK36:SAQ36"/>
    <mergeCell ref="RXZ36:RYF36"/>
    <mergeCell ref="RYG36:RYM36"/>
    <mergeCell ref="RYN36:RYT36"/>
    <mergeCell ref="RYU36:RZA36"/>
    <mergeCell ref="RZB36:RZH36"/>
    <mergeCell ref="RWQ36:RWW36"/>
    <mergeCell ref="RWX36:RXD36"/>
    <mergeCell ref="RXE36:RXK36"/>
    <mergeCell ref="RXL36:RXR36"/>
    <mergeCell ref="RXS36:RXY36"/>
    <mergeCell ref="RVH36:RVN36"/>
    <mergeCell ref="RVO36:RVU36"/>
    <mergeCell ref="RVV36:RWB36"/>
    <mergeCell ref="RWC36:RWI36"/>
    <mergeCell ref="RWJ36:RWP36"/>
    <mergeCell ref="RTY36:RUE36"/>
    <mergeCell ref="RUF36:RUL36"/>
    <mergeCell ref="RUM36:RUS36"/>
    <mergeCell ref="RUT36:RUZ36"/>
    <mergeCell ref="RVA36:RVG36"/>
    <mergeCell ref="RSP36:RSV36"/>
    <mergeCell ref="RSW36:RTC36"/>
    <mergeCell ref="RTD36:RTJ36"/>
    <mergeCell ref="RTK36:RTQ36"/>
    <mergeCell ref="RTR36:RTX36"/>
    <mergeCell ref="RRG36:RRM36"/>
    <mergeCell ref="RRN36:RRT36"/>
    <mergeCell ref="RRU36:RSA36"/>
    <mergeCell ref="RSB36:RSH36"/>
    <mergeCell ref="RSI36:RSO36"/>
    <mergeCell ref="RPX36:RQD36"/>
    <mergeCell ref="RQE36:RQK36"/>
    <mergeCell ref="RQL36:RQR36"/>
    <mergeCell ref="RQS36:RQY36"/>
    <mergeCell ref="RQZ36:RRF36"/>
    <mergeCell ref="ROO36:ROU36"/>
    <mergeCell ref="ROV36:RPB36"/>
    <mergeCell ref="RPC36:RPI36"/>
    <mergeCell ref="RPJ36:RPP36"/>
    <mergeCell ref="RPQ36:RPW36"/>
    <mergeCell ref="RNF36:RNL36"/>
    <mergeCell ref="RNM36:RNS36"/>
    <mergeCell ref="RNT36:RNZ36"/>
    <mergeCell ref="ROA36:ROG36"/>
    <mergeCell ref="ROH36:RON36"/>
    <mergeCell ref="RLW36:RMC36"/>
    <mergeCell ref="RMD36:RMJ36"/>
    <mergeCell ref="RMK36:RMQ36"/>
    <mergeCell ref="RMR36:RMX36"/>
    <mergeCell ref="RMY36:RNE36"/>
    <mergeCell ref="RKN36:RKT36"/>
    <mergeCell ref="RKU36:RLA36"/>
    <mergeCell ref="RLB36:RLH36"/>
    <mergeCell ref="RLI36:RLO36"/>
    <mergeCell ref="RLP36:RLV36"/>
    <mergeCell ref="RJE36:RJK36"/>
    <mergeCell ref="RJL36:RJR36"/>
    <mergeCell ref="RJS36:RJY36"/>
    <mergeCell ref="RJZ36:RKF36"/>
    <mergeCell ref="RKG36:RKM36"/>
    <mergeCell ref="RHV36:RIB36"/>
    <mergeCell ref="RIC36:RII36"/>
    <mergeCell ref="RIJ36:RIP36"/>
    <mergeCell ref="RIQ36:RIW36"/>
    <mergeCell ref="RIX36:RJD36"/>
    <mergeCell ref="RGM36:RGS36"/>
    <mergeCell ref="RGT36:RGZ36"/>
    <mergeCell ref="RHA36:RHG36"/>
    <mergeCell ref="RHH36:RHN36"/>
    <mergeCell ref="RHO36:RHU36"/>
    <mergeCell ref="RFD36:RFJ36"/>
    <mergeCell ref="RFK36:RFQ36"/>
    <mergeCell ref="RFR36:RFX36"/>
    <mergeCell ref="RFY36:RGE36"/>
    <mergeCell ref="RGF36:RGL36"/>
    <mergeCell ref="RDU36:REA36"/>
    <mergeCell ref="REB36:REH36"/>
    <mergeCell ref="REI36:REO36"/>
    <mergeCell ref="REP36:REV36"/>
    <mergeCell ref="REW36:RFC36"/>
    <mergeCell ref="RCL36:RCR36"/>
    <mergeCell ref="RCS36:RCY36"/>
    <mergeCell ref="RCZ36:RDF36"/>
    <mergeCell ref="RDG36:RDM36"/>
    <mergeCell ref="RDN36:RDT36"/>
    <mergeCell ref="RBC36:RBI36"/>
    <mergeCell ref="RBJ36:RBP36"/>
    <mergeCell ref="RBQ36:RBW36"/>
    <mergeCell ref="RBX36:RCD36"/>
    <mergeCell ref="RCE36:RCK36"/>
    <mergeCell ref="QZT36:QZZ36"/>
    <mergeCell ref="RAA36:RAG36"/>
    <mergeCell ref="RAH36:RAN36"/>
    <mergeCell ref="RAO36:RAU36"/>
    <mergeCell ref="RAV36:RBB36"/>
    <mergeCell ref="QYK36:QYQ36"/>
    <mergeCell ref="QYR36:QYX36"/>
    <mergeCell ref="QYY36:QZE36"/>
    <mergeCell ref="QZF36:QZL36"/>
    <mergeCell ref="QZM36:QZS36"/>
    <mergeCell ref="QXB36:QXH36"/>
    <mergeCell ref="QXI36:QXO36"/>
    <mergeCell ref="QXP36:QXV36"/>
    <mergeCell ref="QXW36:QYC36"/>
    <mergeCell ref="QYD36:QYJ36"/>
    <mergeCell ref="QVS36:QVY36"/>
    <mergeCell ref="QVZ36:QWF36"/>
    <mergeCell ref="QWG36:QWM36"/>
    <mergeCell ref="QWN36:QWT36"/>
    <mergeCell ref="QWU36:QXA36"/>
    <mergeCell ref="QUJ36:QUP36"/>
    <mergeCell ref="QUQ36:QUW36"/>
    <mergeCell ref="QUX36:QVD36"/>
    <mergeCell ref="QVE36:QVK36"/>
    <mergeCell ref="QVL36:QVR36"/>
    <mergeCell ref="QTA36:QTG36"/>
    <mergeCell ref="QTH36:QTN36"/>
    <mergeCell ref="QTO36:QTU36"/>
    <mergeCell ref="QTV36:QUB36"/>
    <mergeCell ref="QUC36:QUI36"/>
    <mergeCell ref="QRR36:QRX36"/>
    <mergeCell ref="QRY36:QSE36"/>
    <mergeCell ref="QSF36:QSL36"/>
    <mergeCell ref="QSM36:QSS36"/>
    <mergeCell ref="QST36:QSZ36"/>
    <mergeCell ref="QQI36:QQO36"/>
    <mergeCell ref="QQP36:QQV36"/>
    <mergeCell ref="QQW36:QRC36"/>
    <mergeCell ref="QRD36:QRJ36"/>
    <mergeCell ref="QRK36:QRQ36"/>
    <mergeCell ref="QOZ36:QPF36"/>
    <mergeCell ref="QPG36:QPM36"/>
    <mergeCell ref="QPN36:QPT36"/>
    <mergeCell ref="QPU36:QQA36"/>
    <mergeCell ref="QQB36:QQH36"/>
    <mergeCell ref="QNQ36:QNW36"/>
    <mergeCell ref="QNX36:QOD36"/>
    <mergeCell ref="QOE36:QOK36"/>
    <mergeCell ref="QOL36:QOR36"/>
    <mergeCell ref="QOS36:QOY36"/>
    <mergeCell ref="QMH36:QMN36"/>
    <mergeCell ref="QMO36:QMU36"/>
    <mergeCell ref="QMV36:QNB36"/>
    <mergeCell ref="QNC36:QNI36"/>
    <mergeCell ref="QNJ36:QNP36"/>
    <mergeCell ref="QKY36:QLE36"/>
    <mergeCell ref="QLF36:QLL36"/>
    <mergeCell ref="QLM36:QLS36"/>
    <mergeCell ref="QLT36:QLZ36"/>
    <mergeCell ref="QMA36:QMG36"/>
    <mergeCell ref="QJP36:QJV36"/>
    <mergeCell ref="QJW36:QKC36"/>
    <mergeCell ref="QKD36:QKJ36"/>
    <mergeCell ref="QKK36:QKQ36"/>
    <mergeCell ref="QKR36:QKX36"/>
    <mergeCell ref="QIG36:QIM36"/>
    <mergeCell ref="QIN36:QIT36"/>
    <mergeCell ref="QIU36:QJA36"/>
    <mergeCell ref="QJB36:QJH36"/>
    <mergeCell ref="QJI36:QJO36"/>
    <mergeCell ref="QGX36:QHD36"/>
    <mergeCell ref="QHE36:QHK36"/>
    <mergeCell ref="QHL36:QHR36"/>
    <mergeCell ref="QHS36:QHY36"/>
    <mergeCell ref="QHZ36:QIF36"/>
    <mergeCell ref="QFO36:QFU36"/>
    <mergeCell ref="QFV36:QGB36"/>
    <mergeCell ref="QGC36:QGI36"/>
    <mergeCell ref="QGJ36:QGP36"/>
    <mergeCell ref="QGQ36:QGW36"/>
    <mergeCell ref="QEF36:QEL36"/>
    <mergeCell ref="QEM36:QES36"/>
    <mergeCell ref="QET36:QEZ36"/>
    <mergeCell ref="QFA36:QFG36"/>
    <mergeCell ref="QFH36:QFN36"/>
    <mergeCell ref="QCW36:QDC36"/>
    <mergeCell ref="QDD36:QDJ36"/>
    <mergeCell ref="QDK36:QDQ36"/>
    <mergeCell ref="QDR36:QDX36"/>
    <mergeCell ref="QDY36:QEE36"/>
    <mergeCell ref="QBN36:QBT36"/>
    <mergeCell ref="QBU36:QCA36"/>
    <mergeCell ref="QCB36:QCH36"/>
    <mergeCell ref="QCI36:QCO36"/>
    <mergeCell ref="QCP36:QCV36"/>
    <mergeCell ref="QAE36:QAK36"/>
    <mergeCell ref="QAL36:QAR36"/>
    <mergeCell ref="QAS36:QAY36"/>
    <mergeCell ref="QAZ36:QBF36"/>
    <mergeCell ref="QBG36:QBM36"/>
    <mergeCell ref="PYV36:PZB36"/>
    <mergeCell ref="PZC36:PZI36"/>
    <mergeCell ref="PZJ36:PZP36"/>
    <mergeCell ref="PZQ36:PZW36"/>
    <mergeCell ref="PZX36:QAD36"/>
    <mergeCell ref="PXM36:PXS36"/>
    <mergeCell ref="PXT36:PXZ36"/>
    <mergeCell ref="PYA36:PYG36"/>
    <mergeCell ref="PYH36:PYN36"/>
    <mergeCell ref="PYO36:PYU36"/>
    <mergeCell ref="PWD36:PWJ36"/>
    <mergeCell ref="PWK36:PWQ36"/>
    <mergeCell ref="PWR36:PWX36"/>
    <mergeCell ref="PWY36:PXE36"/>
    <mergeCell ref="PXF36:PXL36"/>
    <mergeCell ref="PUU36:PVA36"/>
    <mergeCell ref="PVB36:PVH36"/>
    <mergeCell ref="PVI36:PVO36"/>
    <mergeCell ref="PVP36:PVV36"/>
    <mergeCell ref="PVW36:PWC36"/>
    <mergeCell ref="PTL36:PTR36"/>
    <mergeCell ref="PTS36:PTY36"/>
    <mergeCell ref="PTZ36:PUF36"/>
    <mergeCell ref="PUG36:PUM36"/>
    <mergeCell ref="PUN36:PUT36"/>
    <mergeCell ref="PSC36:PSI36"/>
    <mergeCell ref="PSJ36:PSP36"/>
    <mergeCell ref="PSQ36:PSW36"/>
    <mergeCell ref="PSX36:PTD36"/>
    <mergeCell ref="PTE36:PTK36"/>
    <mergeCell ref="PQT36:PQZ36"/>
    <mergeCell ref="PRA36:PRG36"/>
    <mergeCell ref="PRH36:PRN36"/>
    <mergeCell ref="PRO36:PRU36"/>
    <mergeCell ref="PRV36:PSB36"/>
    <mergeCell ref="PPK36:PPQ36"/>
    <mergeCell ref="PPR36:PPX36"/>
    <mergeCell ref="PPY36:PQE36"/>
    <mergeCell ref="PQF36:PQL36"/>
    <mergeCell ref="PQM36:PQS36"/>
    <mergeCell ref="POB36:POH36"/>
    <mergeCell ref="POI36:POO36"/>
    <mergeCell ref="POP36:POV36"/>
    <mergeCell ref="POW36:PPC36"/>
    <mergeCell ref="PPD36:PPJ36"/>
    <mergeCell ref="PMS36:PMY36"/>
    <mergeCell ref="PMZ36:PNF36"/>
    <mergeCell ref="PNG36:PNM36"/>
    <mergeCell ref="PNN36:PNT36"/>
    <mergeCell ref="PNU36:POA36"/>
    <mergeCell ref="PLJ36:PLP36"/>
    <mergeCell ref="PLQ36:PLW36"/>
    <mergeCell ref="PLX36:PMD36"/>
    <mergeCell ref="PME36:PMK36"/>
    <mergeCell ref="PML36:PMR36"/>
    <mergeCell ref="PKA36:PKG36"/>
    <mergeCell ref="PKH36:PKN36"/>
    <mergeCell ref="PKO36:PKU36"/>
    <mergeCell ref="PKV36:PLB36"/>
    <mergeCell ref="PLC36:PLI36"/>
    <mergeCell ref="PIR36:PIX36"/>
    <mergeCell ref="PIY36:PJE36"/>
    <mergeCell ref="PJF36:PJL36"/>
    <mergeCell ref="PJM36:PJS36"/>
    <mergeCell ref="PJT36:PJZ36"/>
    <mergeCell ref="PHI36:PHO36"/>
    <mergeCell ref="PHP36:PHV36"/>
    <mergeCell ref="PHW36:PIC36"/>
    <mergeCell ref="PID36:PIJ36"/>
    <mergeCell ref="PIK36:PIQ36"/>
    <mergeCell ref="PFZ36:PGF36"/>
    <mergeCell ref="PGG36:PGM36"/>
    <mergeCell ref="PGN36:PGT36"/>
    <mergeCell ref="PGU36:PHA36"/>
    <mergeCell ref="PHB36:PHH36"/>
    <mergeCell ref="PEQ36:PEW36"/>
    <mergeCell ref="PEX36:PFD36"/>
    <mergeCell ref="PFE36:PFK36"/>
    <mergeCell ref="PFL36:PFR36"/>
    <mergeCell ref="PFS36:PFY36"/>
    <mergeCell ref="PDH36:PDN36"/>
    <mergeCell ref="PDO36:PDU36"/>
    <mergeCell ref="PDV36:PEB36"/>
    <mergeCell ref="PEC36:PEI36"/>
    <mergeCell ref="PEJ36:PEP36"/>
    <mergeCell ref="PBY36:PCE36"/>
    <mergeCell ref="PCF36:PCL36"/>
    <mergeCell ref="PCM36:PCS36"/>
    <mergeCell ref="PCT36:PCZ36"/>
    <mergeCell ref="PDA36:PDG36"/>
    <mergeCell ref="PAP36:PAV36"/>
    <mergeCell ref="PAW36:PBC36"/>
    <mergeCell ref="PBD36:PBJ36"/>
    <mergeCell ref="PBK36:PBQ36"/>
    <mergeCell ref="PBR36:PBX36"/>
    <mergeCell ref="OZG36:OZM36"/>
    <mergeCell ref="OZN36:OZT36"/>
    <mergeCell ref="OZU36:PAA36"/>
    <mergeCell ref="PAB36:PAH36"/>
    <mergeCell ref="PAI36:PAO36"/>
    <mergeCell ref="OXX36:OYD36"/>
    <mergeCell ref="OYE36:OYK36"/>
    <mergeCell ref="OYL36:OYR36"/>
    <mergeCell ref="OYS36:OYY36"/>
    <mergeCell ref="OYZ36:OZF36"/>
    <mergeCell ref="OWO36:OWU36"/>
    <mergeCell ref="OWV36:OXB36"/>
    <mergeCell ref="OXC36:OXI36"/>
    <mergeCell ref="OXJ36:OXP36"/>
    <mergeCell ref="OXQ36:OXW36"/>
    <mergeCell ref="OVF36:OVL36"/>
    <mergeCell ref="OVM36:OVS36"/>
    <mergeCell ref="OVT36:OVZ36"/>
    <mergeCell ref="OWA36:OWG36"/>
    <mergeCell ref="OWH36:OWN36"/>
    <mergeCell ref="OTW36:OUC36"/>
    <mergeCell ref="OUD36:OUJ36"/>
    <mergeCell ref="OUK36:OUQ36"/>
    <mergeCell ref="OUR36:OUX36"/>
    <mergeCell ref="OUY36:OVE36"/>
    <mergeCell ref="OSN36:OST36"/>
    <mergeCell ref="OSU36:OTA36"/>
    <mergeCell ref="OTB36:OTH36"/>
    <mergeCell ref="OTI36:OTO36"/>
    <mergeCell ref="OTP36:OTV36"/>
    <mergeCell ref="ORE36:ORK36"/>
    <mergeCell ref="ORL36:ORR36"/>
    <mergeCell ref="ORS36:ORY36"/>
    <mergeCell ref="ORZ36:OSF36"/>
    <mergeCell ref="OSG36:OSM36"/>
    <mergeCell ref="OPV36:OQB36"/>
    <mergeCell ref="OQC36:OQI36"/>
    <mergeCell ref="OQJ36:OQP36"/>
    <mergeCell ref="OQQ36:OQW36"/>
    <mergeCell ref="OQX36:ORD36"/>
    <mergeCell ref="OOM36:OOS36"/>
    <mergeCell ref="OOT36:OOZ36"/>
    <mergeCell ref="OPA36:OPG36"/>
    <mergeCell ref="OPH36:OPN36"/>
    <mergeCell ref="OPO36:OPU36"/>
    <mergeCell ref="OND36:ONJ36"/>
    <mergeCell ref="ONK36:ONQ36"/>
    <mergeCell ref="ONR36:ONX36"/>
    <mergeCell ref="ONY36:OOE36"/>
    <mergeCell ref="OOF36:OOL36"/>
    <mergeCell ref="OLU36:OMA36"/>
    <mergeCell ref="OMB36:OMH36"/>
    <mergeCell ref="OMI36:OMO36"/>
    <mergeCell ref="OMP36:OMV36"/>
    <mergeCell ref="OMW36:ONC36"/>
    <mergeCell ref="OKL36:OKR36"/>
    <mergeCell ref="OKS36:OKY36"/>
    <mergeCell ref="OKZ36:OLF36"/>
    <mergeCell ref="OLG36:OLM36"/>
    <mergeCell ref="OLN36:OLT36"/>
    <mergeCell ref="OJC36:OJI36"/>
    <mergeCell ref="OJJ36:OJP36"/>
    <mergeCell ref="OJQ36:OJW36"/>
    <mergeCell ref="OJX36:OKD36"/>
    <mergeCell ref="OKE36:OKK36"/>
    <mergeCell ref="OHT36:OHZ36"/>
    <mergeCell ref="OIA36:OIG36"/>
    <mergeCell ref="OIH36:OIN36"/>
    <mergeCell ref="OIO36:OIU36"/>
    <mergeCell ref="OIV36:OJB36"/>
    <mergeCell ref="OGK36:OGQ36"/>
    <mergeCell ref="OGR36:OGX36"/>
    <mergeCell ref="OGY36:OHE36"/>
    <mergeCell ref="OHF36:OHL36"/>
    <mergeCell ref="OHM36:OHS36"/>
    <mergeCell ref="OFB36:OFH36"/>
    <mergeCell ref="OFI36:OFO36"/>
    <mergeCell ref="OFP36:OFV36"/>
    <mergeCell ref="OFW36:OGC36"/>
    <mergeCell ref="OGD36:OGJ36"/>
    <mergeCell ref="ODS36:ODY36"/>
    <mergeCell ref="ODZ36:OEF36"/>
    <mergeCell ref="OEG36:OEM36"/>
    <mergeCell ref="OEN36:OET36"/>
    <mergeCell ref="OEU36:OFA36"/>
    <mergeCell ref="OCJ36:OCP36"/>
    <mergeCell ref="OCQ36:OCW36"/>
    <mergeCell ref="OCX36:ODD36"/>
    <mergeCell ref="ODE36:ODK36"/>
    <mergeCell ref="ODL36:ODR36"/>
    <mergeCell ref="OBA36:OBG36"/>
    <mergeCell ref="OBH36:OBN36"/>
    <mergeCell ref="OBO36:OBU36"/>
    <mergeCell ref="OBV36:OCB36"/>
    <mergeCell ref="OCC36:OCI36"/>
    <mergeCell ref="NZR36:NZX36"/>
    <mergeCell ref="NZY36:OAE36"/>
    <mergeCell ref="OAF36:OAL36"/>
    <mergeCell ref="OAM36:OAS36"/>
    <mergeCell ref="OAT36:OAZ36"/>
    <mergeCell ref="NYI36:NYO36"/>
    <mergeCell ref="NYP36:NYV36"/>
    <mergeCell ref="NYW36:NZC36"/>
    <mergeCell ref="NZD36:NZJ36"/>
    <mergeCell ref="NZK36:NZQ36"/>
    <mergeCell ref="NWZ36:NXF36"/>
    <mergeCell ref="NXG36:NXM36"/>
    <mergeCell ref="NXN36:NXT36"/>
    <mergeCell ref="NXU36:NYA36"/>
    <mergeCell ref="NYB36:NYH36"/>
    <mergeCell ref="NVQ36:NVW36"/>
    <mergeCell ref="NVX36:NWD36"/>
    <mergeCell ref="NWE36:NWK36"/>
    <mergeCell ref="NWL36:NWR36"/>
    <mergeCell ref="NWS36:NWY36"/>
    <mergeCell ref="NUH36:NUN36"/>
    <mergeCell ref="NUO36:NUU36"/>
    <mergeCell ref="NUV36:NVB36"/>
    <mergeCell ref="NVC36:NVI36"/>
    <mergeCell ref="NVJ36:NVP36"/>
    <mergeCell ref="NSY36:NTE36"/>
    <mergeCell ref="NTF36:NTL36"/>
    <mergeCell ref="NTM36:NTS36"/>
    <mergeCell ref="NTT36:NTZ36"/>
    <mergeCell ref="NUA36:NUG36"/>
    <mergeCell ref="NRP36:NRV36"/>
    <mergeCell ref="NRW36:NSC36"/>
    <mergeCell ref="NSD36:NSJ36"/>
    <mergeCell ref="NSK36:NSQ36"/>
    <mergeCell ref="NSR36:NSX36"/>
    <mergeCell ref="NQG36:NQM36"/>
    <mergeCell ref="NQN36:NQT36"/>
    <mergeCell ref="NQU36:NRA36"/>
    <mergeCell ref="NRB36:NRH36"/>
    <mergeCell ref="NRI36:NRO36"/>
    <mergeCell ref="NOX36:NPD36"/>
    <mergeCell ref="NPE36:NPK36"/>
    <mergeCell ref="NPL36:NPR36"/>
    <mergeCell ref="NPS36:NPY36"/>
    <mergeCell ref="NPZ36:NQF36"/>
    <mergeCell ref="NNO36:NNU36"/>
    <mergeCell ref="NNV36:NOB36"/>
    <mergeCell ref="NOC36:NOI36"/>
    <mergeCell ref="NOJ36:NOP36"/>
    <mergeCell ref="NOQ36:NOW36"/>
    <mergeCell ref="NMF36:NML36"/>
    <mergeCell ref="NMM36:NMS36"/>
    <mergeCell ref="NMT36:NMZ36"/>
    <mergeCell ref="NNA36:NNG36"/>
    <mergeCell ref="NNH36:NNN36"/>
    <mergeCell ref="NKW36:NLC36"/>
    <mergeCell ref="NLD36:NLJ36"/>
    <mergeCell ref="NLK36:NLQ36"/>
    <mergeCell ref="NLR36:NLX36"/>
    <mergeCell ref="NLY36:NME36"/>
    <mergeCell ref="NJN36:NJT36"/>
    <mergeCell ref="NJU36:NKA36"/>
    <mergeCell ref="NKB36:NKH36"/>
    <mergeCell ref="NKI36:NKO36"/>
    <mergeCell ref="NKP36:NKV36"/>
    <mergeCell ref="NIE36:NIK36"/>
    <mergeCell ref="NIL36:NIR36"/>
    <mergeCell ref="NIS36:NIY36"/>
    <mergeCell ref="NIZ36:NJF36"/>
    <mergeCell ref="NJG36:NJM36"/>
    <mergeCell ref="NGV36:NHB36"/>
    <mergeCell ref="NHC36:NHI36"/>
    <mergeCell ref="NHJ36:NHP36"/>
    <mergeCell ref="NHQ36:NHW36"/>
    <mergeCell ref="NHX36:NID36"/>
    <mergeCell ref="NFM36:NFS36"/>
    <mergeCell ref="NFT36:NFZ36"/>
    <mergeCell ref="NGA36:NGG36"/>
    <mergeCell ref="NGH36:NGN36"/>
    <mergeCell ref="NGO36:NGU36"/>
    <mergeCell ref="NED36:NEJ36"/>
    <mergeCell ref="NEK36:NEQ36"/>
    <mergeCell ref="NER36:NEX36"/>
    <mergeCell ref="NEY36:NFE36"/>
    <mergeCell ref="NFF36:NFL36"/>
    <mergeCell ref="NCU36:NDA36"/>
    <mergeCell ref="NDB36:NDH36"/>
    <mergeCell ref="NDI36:NDO36"/>
    <mergeCell ref="NDP36:NDV36"/>
    <mergeCell ref="NDW36:NEC36"/>
    <mergeCell ref="NBL36:NBR36"/>
    <mergeCell ref="NBS36:NBY36"/>
    <mergeCell ref="NBZ36:NCF36"/>
    <mergeCell ref="NCG36:NCM36"/>
    <mergeCell ref="NCN36:NCT36"/>
    <mergeCell ref="NAC36:NAI36"/>
    <mergeCell ref="NAJ36:NAP36"/>
    <mergeCell ref="NAQ36:NAW36"/>
    <mergeCell ref="NAX36:NBD36"/>
    <mergeCell ref="NBE36:NBK36"/>
    <mergeCell ref="MYT36:MYZ36"/>
    <mergeCell ref="MZA36:MZG36"/>
    <mergeCell ref="MZH36:MZN36"/>
    <mergeCell ref="MZO36:MZU36"/>
    <mergeCell ref="MZV36:NAB36"/>
    <mergeCell ref="MXK36:MXQ36"/>
    <mergeCell ref="MXR36:MXX36"/>
    <mergeCell ref="MXY36:MYE36"/>
    <mergeCell ref="MYF36:MYL36"/>
    <mergeCell ref="MYM36:MYS36"/>
    <mergeCell ref="MWB36:MWH36"/>
    <mergeCell ref="MWI36:MWO36"/>
    <mergeCell ref="MWP36:MWV36"/>
    <mergeCell ref="MWW36:MXC36"/>
    <mergeCell ref="MXD36:MXJ36"/>
    <mergeCell ref="MUS36:MUY36"/>
    <mergeCell ref="MUZ36:MVF36"/>
    <mergeCell ref="MVG36:MVM36"/>
    <mergeCell ref="MVN36:MVT36"/>
    <mergeCell ref="MVU36:MWA36"/>
    <mergeCell ref="MTJ36:MTP36"/>
    <mergeCell ref="MTQ36:MTW36"/>
    <mergeCell ref="MTX36:MUD36"/>
    <mergeCell ref="MUE36:MUK36"/>
    <mergeCell ref="MUL36:MUR36"/>
    <mergeCell ref="MSA36:MSG36"/>
    <mergeCell ref="MSH36:MSN36"/>
    <mergeCell ref="MSO36:MSU36"/>
    <mergeCell ref="MSV36:MTB36"/>
    <mergeCell ref="MTC36:MTI36"/>
    <mergeCell ref="MQR36:MQX36"/>
    <mergeCell ref="MQY36:MRE36"/>
    <mergeCell ref="MRF36:MRL36"/>
    <mergeCell ref="MRM36:MRS36"/>
    <mergeCell ref="MRT36:MRZ36"/>
    <mergeCell ref="MPI36:MPO36"/>
    <mergeCell ref="MPP36:MPV36"/>
    <mergeCell ref="MPW36:MQC36"/>
    <mergeCell ref="MQD36:MQJ36"/>
    <mergeCell ref="MQK36:MQQ36"/>
    <mergeCell ref="MNZ36:MOF36"/>
    <mergeCell ref="MOG36:MOM36"/>
    <mergeCell ref="MON36:MOT36"/>
    <mergeCell ref="MOU36:MPA36"/>
    <mergeCell ref="MPB36:MPH36"/>
    <mergeCell ref="MMQ36:MMW36"/>
    <mergeCell ref="MMX36:MND36"/>
    <mergeCell ref="MNE36:MNK36"/>
    <mergeCell ref="MNL36:MNR36"/>
    <mergeCell ref="MNS36:MNY36"/>
    <mergeCell ref="MLH36:MLN36"/>
    <mergeCell ref="MLO36:MLU36"/>
    <mergeCell ref="MLV36:MMB36"/>
    <mergeCell ref="MMC36:MMI36"/>
    <mergeCell ref="MMJ36:MMP36"/>
    <mergeCell ref="MJY36:MKE36"/>
    <mergeCell ref="MKF36:MKL36"/>
    <mergeCell ref="MKM36:MKS36"/>
    <mergeCell ref="MKT36:MKZ36"/>
    <mergeCell ref="MLA36:MLG36"/>
    <mergeCell ref="MIP36:MIV36"/>
    <mergeCell ref="MIW36:MJC36"/>
    <mergeCell ref="MJD36:MJJ36"/>
    <mergeCell ref="MJK36:MJQ36"/>
    <mergeCell ref="MJR36:MJX36"/>
    <mergeCell ref="MHG36:MHM36"/>
    <mergeCell ref="MHN36:MHT36"/>
    <mergeCell ref="MHU36:MIA36"/>
    <mergeCell ref="MIB36:MIH36"/>
    <mergeCell ref="MII36:MIO36"/>
    <mergeCell ref="MFX36:MGD36"/>
    <mergeCell ref="MGE36:MGK36"/>
    <mergeCell ref="MGL36:MGR36"/>
    <mergeCell ref="MGS36:MGY36"/>
    <mergeCell ref="MGZ36:MHF36"/>
    <mergeCell ref="MEO36:MEU36"/>
    <mergeCell ref="MEV36:MFB36"/>
    <mergeCell ref="MFC36:MFI36"/>
    <mergeCell ref="MFJ36:MFP36"/>
    <mergeCell ref="MFQ36:MFW36"/>
    <mergeCell ref="MDF36:MDL36"/>
    <mergeCell ref="MDM36:MDS36"/>
    <mergeCell ref="MDT36:MDZ36"/>
    <mergeCell ref="MEA36:MEG36"/>
    <mergeCell ref="MEH36:MEN36"/>
    <mergeCell ref="MBW36:MCC36"/>
    <mergeCell ref="MCD36:MCJ36"/>
    <mergeCell ref="MCK36:MCQ36"/>
    <mergeCell ref="MCR36:MCX36"/>
    <mergeCell ref="MCY36:MDE36"/>
    <mergeCell ref="MAN36:MAT36"/>
    <mergeCell ref="MAU36:MBA36"/>
    <mergeCell ref="MBB36:MBH36"/>
    <mergeCell ref="MBI36:MBO36"/>
    <mergeCell ref="MBP36:MBV36"/>
    <mergeCell ref="LZE36:LZK36"/>
    <mergeCell ref="LZL36:LZR36"/>
    <mergeCell ref="LZS36:LZY36"/>
    <mergeCell ref="LZZ36:MAF36"/>
    <mergeCell ref="MAG36:MAM36"/>
    <mergeCell ref="LXV36:LYB36"/>
    <mergeCell ref="LYC36:LYI36"/>
    <mergeCell ref="LYJ36:LYP36"/>
    <mergeCell ref="LYQ36:LYW36"/>
    <mergeCell ref="LYX36:LZD36"/>
    <mergeCell ref="LWM36:LWS36"/>
    <mergeCell ref="LWT36:LWZ36"/>
    <mergeCell ref="LXA36:LXG36"/>
    <mergeCell ref="LXH36:LXN36"/>
    <mergeCell ref="LXO36:LXU36"/>
    <mergeCell ref="LVD36:LVJ36"/>
    <mergeCell ref="LVK36:LVQ36"/>
    <mergeCell ref="LVR36:LVX36"/>
    <mergeCell ref="LVY36:LWE36"/>
    <mergeCell ref="LWF36:LWL36"/>
    <mergeCell ref="LTU36:LUA36"/>
    <mergeCell ref="LUB36:LUH36"/>
    <mergeCell ref="LUI36:LUO36"/>
    <mergeCell ref="LUP36:LUV36"/>
    <mergeCell ref="LUW36:LVC36"/>
    <mergeCell ref="LSL36:LSR36"/>
    <mergeCell ref="LSS36:LSY36"/>
    <mergeCell ref="LSZ36:LTF36"/>
    <mergeCell ref="LTG36:LTM36"/>
    <mergeCell ref="LTN36:LTT36"/>
    <mergeCell ref="LRC36:LRI36"/>
    <mergeCell ref="LRJ36:LRP36"/>
    <mergeCell ref="LRQ36:LRW36"/>
    <mergeCell ref="LRX36:LSD36"/>
    <mergeCell ref="LSE36:LSK36"/>
    <mergeCell ref="LPT36:LPZ36"/>
    <mergeCell ref="LQA36:LQG36"/>
    <mergeCell ref="LQH36:LQN36"/>
    <mergeCell ref="LQO36:LQU36"/>
    <mergeCell ref="LQV36:LRB36"/>
    <mergeCell ref="LOK36:LOQ36"/>
    <mergeCell ref="LOR36:LOX36"/>
    <mergeCell ref="LOY36:LPE36"/>
    <mergeCell ref="LPF36:LPL36"/>
    <mergeCell ref="LPM36:LPS36"/>
    <mergeCell ref="LNB36:LNH36"/>
    <mergeCell ref="LNI36:LNO36"/>
    <mergeCell ref="LNP36:LNV36"/>
    <mergeCell ref="LNW36:LOC36"/>
    <mergeCell ref="LOD36:LOJ36"/>
    <mergeCell ref="LLS36:LLY36"/>
    <mergeCell ref="LLZ36:LMF36"/>
    <mergeCell ref="LMG36:LMM36"/>
    <mergeCell ref="LMN36:LMT36"/>
    <mergeCell ref="LMU36:LNA36"/>
    <mergeCell ref="LKJ36:LKP36"/>
    <mergeCell ref="LKQ36:LKW36"/>
    <mergeCell ref="LKX36:LLD36"/>
    <mergeCell ref="LLE36:LLK36"/>
    <mergeCell ref="LLL36:LLR36"/>
    <mergeCell ref="LJA36:LJG36"/>
    <mergeCell ref="LJH36:LJN36"/>
    <mergeCell ref="LJO36:LJU36"/>
    <mergeCell ref="LJV36:LKB36"/>
    <mergeCell ref="LKC36:LKI36"/>
    <mergeCell ref="LHR36:LHX36"/>
    <mergeCell ref="LHY36:LIE36"/>
    <mergeCell ref="LIF36:LIL36"/>
    <mergeCell ref="LIM36:LIS36"/>
    <mergeCell ref="LIT36:LIZ36"/>
    <mergeCell ref="LGI36:LGO36"/>
    <mergeCell ref="LGP36:LGV36"/>
    <mergeCell ref="LGW36:LHC36"/>
    <mergeCell ref="LHD36:LHJ36"/>
    <mergeCell ref="LHK36:LHQ36"/>
    <mergeCell ref="LEZ36:LFF36"/>
    <mergeCell ref="LFG36:LFM36"/>
    <mergeCell ref="LFN36:LFT36"/>
    <mergeCell ref="LFU36:LGA36"/>
    <mergeCell ref="LGB36:LGH36"/>
    <mergeCell ref="LDQ36:LDW36"/>
    <mergeCell ref="LDX36:LED36"/>
    <mergeCell ref="LEE36:LEK36"/>
    <mergeCell ref="LEL36:LER36"/>
    <mergeCell ref="LES36:LEY36"/>
    <mergeCell ref="LCH36:LCN36"/>
    <mergeCell ref="LCO36:LCU36"/>
    <mergeCell ref="LCV36:LDB36"/>
    <mergeCell ref="LDC36:LDI36"/>
    <mergeCell ref="LDJ36:LDP36"/>
    <mergeCell ref="LAY36:LBE36"/>
    <mergeCell ref="LBF36:LBL36"/>
    <mergeCell ref="LBM36:LBS36"/>
    <mergeCell ref="LBT36:LBZ36"/>
    <mergeCell ref="LCA36:LCG36"/>
    <mergeCell ref="KZP36:KZV36"/>
    <mergeCell ref="KZW36:LAC36"/>
    <mergeCell ref="LAD36:LAJ36"/>
    <mergeCell ref="LAK36:LAQ36"/>
    <mergeCell ref="LAR36:LAX36"/>
    <mergeCell ref="KYG36:KYM36"/>
    <mergeCell ref="KYN36:KYT36"/>
    <mergeCell ref="KYU36:KZA36"/>
    <mergeCell ref="KZB36:KZH36"/>
    <mergeCell ref="KZI36:KZO36"/>
    <mergeCell ref="KWX36:KXD36"/>
    <mergeCell ref="KXE36:KXK36"/>
    <mergeCell ref="KXL36:KXR36"/>
    <mergeCell ref="KXS36:KXY36"/>
    <mergeCell ref="KXZ36:KYF36"/>
    <mergeCell ref="KVO36:KVU36"/>
    <mergeCell ref="KVV36:KWB36"/>
    <mergeCell ref="KWC36:KWI36"/>
    <mergeCell ref="KWJ36:KWP36"/>
    <mergeCell ref="KWQ36:KWW36"/>
    <mergeCell ref="KUF36:KUL36"/>
    <mergeCell ref="KUM36:KUS36"/>
    <mergeCell ref="KUT36:KUZ36"/>
    <mergeCell ref="KVA36:KVG36"/>
    <mergeCell ref="KVH36:KVN36"/>
    <mergeCell ref="KSW36:KTC36"/>
    <mergeCell ref="KTD36:KTJ36"/>
    <mergeCell ref="KTK36:KTQ36"/>
    <mergeCell ref="KTR36:KTX36"/>
    <mergeCell ref="KTY36:KUE36"/>
    <mergeCell ref="KRN36:KRT36"/>
    <mergeCell ref="KRU36:KSA36"/>
    <mergeCell ref="KSB36:KSH36"/>
    <mergeCell ref="KSI36:KSO36"/>
    <mergeCell ref="KSP36:KSV36"/>
    <mergeCell ref="KQE36:KQK36"/>
    <mergeCell ref="KQL36:KQR36"/>
    <mergeCell ref="KQS36:KQY36"/>
    <mergeCell ref="KQZ36:KRF36"/>
    <mergeCell ref="KRG36:KRM36"/>
    <mergeCell ref="KOV36:KPB36"/>
    <mergeCell ref="KPC36:KPI36"/>
    <mergeCell ref="KPJ36:KPP36"/>
    <mergeCell ref="KPQ36:KPW36"/>
    <mergeCell ref="KPX36:KQD36"/>
    <mergeCell ref="KNM36:KNS36"/>
    <mergeCell ref="KNT36:KNZ36"/>
    <mergeCell ref="KOA36:KOG36"/>
    <mergeCell ref="KOH36:KON36"/>
    <mergeCell ref="KOO36:KOU36"/>
    <mergeCell ref="KMD36:KMJ36"/>
    <mergeCell ref="KMK36:KMQ36"/>
    <mergeCell ref="KMR36:KMX36"/>
    <mergeCell ref="KMY36:KNE36"/>
    <mergeCell ref="KNF36:KNL36"/>
    <mergeCell ref="KKU36:KLA36"/>
    <mergeCell ref="KLB36:KLH36"/>
    <mergeCell ref="KLI36:KLO36"/>
    <mergeCell ref="KLP36:KLV36"/>
    <mergeCell ref="KLW36:KMC36"/>
    <mergeCell ref="KJL36:KJR36"/>
    <mergeCell ref="KJS36:KJY36"/>
    <mergeCell ref="KJZ36:KKF36"/>
    <mergeCell ref="KKG36:KKM36"/>
    <mergeCell ref="KKN36:KKT36"/>
    <mergeCell ref="KIC36:KII36"/>
    <mergeCell ref="KIJ36:KIP36"/>
    <mergeCell ref="KIQ36:KIW36"/>
    <mergeCell ref="KIX36:KJD36"/>
    <mergeCell ref="KJE36:KJK36"/>
    <mergeCell ref="KGT36:KGZ36"/>
    <mergeCell ref="KHA36:KHG36"/>
    <mergeCell ref="KHH36:KHN36"/>
    <mergeCell ref="KHO36:KHU36"/>
    <mergeCell ref="KHV36:KIB36"/>
    <mergeCell ref="KFK36:KFQ36"/>
    <mergeCell ref="KFR36:KFX36"/>
    <mergeCell ref="KFY36:KGE36"/>
    <mergeCell ref="KGF36:KGL36"/>
    <mergeCell ref="KGM36:KGS36"/>
    <mergeCell ref="KEB36:KEH36"/>
    <mergeCell ref="KEI36:KEO36"/>
    <mergeCell ref="KEP36:KEV36"/>
    <mergeCell ref="KEW36:KFC36"/>
    <mergeCell ref="KFD36:KFJ36"/>
    <mergeCell ref="KCS36:KCY36"/>
    <mergeCell ref="KCZ36:KDF36"/>
    <mergeCell ref="KDG36:KDM36"/>
    <mergeCell ref="KDN36:KDT36"/>
    <mergeCell ref="KDU36:KEA36"/>
    <mergeCell ref="KBJ36:KBP36"/>
    <mergeCell ref="KBQ36:KBW36"/>
    <mergeCell ref="KBX36:KCD36"/>
    <mergeCell ref="KCE36:KCK36"/>
    <mergeCell ref="KCL36:KCR36"/>
    <mergeCell ref="KAA36:KAG36"/>
    <mergeCell ref="KAH36:KAN36"/>
    <mergeCell ref="KAO36:KAU36"/>
    <mergeCell ref="KAV36:KBB36"/>
    <mergeCell ref="KBC36:KBI36"/>
    <mergeCell ref="JYR36:JYX36"/>
    <mergeCell ref="JYY36:JZE36"/>
    <mergeCell ref="JZF36:JZL36"/>
    <mergeCell ref="JZM36:JZS36"/>
    <mergeCell ref="JZT36:JZZ36"/>
    <mergeCell ref="JXI36:JXO36"/>
    <mergeCell ref="JXP36:JXV36"/>
    <mergeCell ref="JXW36:JYC36"/>
    <mergeCell ref="JYD36:JYJ36"/>
    <mergeCell ref="JYK36:JYQ36"/>
    <mergeCell ref="JVZ36:JWF36"/>
    <mergeCell ref="JWG36:JWM36"/>
    <mergeCell ref="JWN36:JWT36"/>
    <mergeCell ref="JWU36:JXA36"/>
    <mergeCell ref="JXB36:JXH36"/>
    <mergeCell ref="JUQ36:JUW36"/>
    <mergeCell ref="JUX36:JVD36"/>
    <mergeCell ref="JVE36:JVK36"/>
    <mergeCell ref="JVL36:JVR36"/>
    <mergeCell ref="JVS36:JVY36"/>
    <mergeCell ref="JTH36:JTN36"/>
    <mergeCell ref="JTO36:JTU36"/>
    <mergeCell ref="JTV36:JUB36"/>
    <mergeCell ref="JUC36:JUI36"/>
    <mergeCell ref="JUJ36:JUP36"/>
    <mergeCell ref="JRY36:JSE36"/>
    <mergeCell ref="JSF36:JSL36"/>
    <mergeCell ref="JSM36:JSS36"/>
    <mergeCell ref="JST36:JSZ36"/>
    <mergeCell ref="JTA36:JTG36"/>
    <mergeCell ref="JQP36:JQV36"/>
    <mergeCell ref="JQW36:JRC36"/>
    <mergeCell ref="JRD36:JRJ36"/>
    <mergeCell ref="JRK36:JRQ36"/>
    <mergeCell ref="JRR36:JRX36"/>
    <mergeCell ref="JPG36:JPM36"/>
    <mergeCell ref="JPN36:JPT36"/>
    <mergeCell ref="JPU36:JQA36"/>
    <mergeCell ref="JQB36:JQH36"/>
    <mergeCell ref="JQI36:JQO36"/>
    <mergeCell ref="JNX36:JOD36"/>
    <mergeCell ref="JOE36:JOK36"/>
    <mergeCell ref="JOL36:JOR36"/>
    <mergeCell ref="JOS36:JOY36"/>
    <mergeCell ref="JOZ36:JPF36"/>
    <mergeCell ref="JMO36:JMU36"/>
    <mergeCell ref="JMV36:JNB36"/>
    <mergeCell ref="JNC36:JNI36"/>
    <mergeCell ref="JNJ36:JNP36"/>
    <mergeCell ref="JNQ36:JNW36"/>
    <mergeCell ref="JLF36:JLL36"/>
    <mergeCell ref="JLM36:JLS36"/>
    <mergeCell ref="JLT36:JLZ36"/>
    <mergeCell ref="JMA36:JMG36"/>
    <mergeCell ref="JMH36:JMN36"/>
    <mergeCell ref="JJW36:JKC36"/>
    <mergeCell ref="JKD36:JKJ36"/>
    <mergeCell ref="JKK36:JKQ36"/>
    <mergeCell ref="JKR36:JKX36"/>
    <mergeCell ref="JKY36:JLE36"/>
    <mergeCell ref="JIN36:JIT36"/>
    <mergeCell ref="JIU36:JJA36"/>
    <mergeCell ref="JJB36:JJH36"/>
    <mergeCell ref="JJI36:JJO36"/>
    <mergeCell ref="JJP36:JJV36"/>
    <mergeCell ref="JHE36:JHK36"/>
    <mergeCell ref="JHL36:JHR36"/>
    <mergeCell ref="JHS36:JHY36"/>
    <mergeCell ref="JHZ36:JIF36"/>
    <mergeCell ref="JIG36:JIM36"/>
    <mergeCell ref="JFV36:JGB36"/>
    <mergeCell ref="JGC36:JGI36"/>
    <mergeCell ref="JGJ36:JGP36"/>
    <mergeCell ref="JGQ36:JGW36"/>
    <mergeCell ref="JGX36:JHD36"/>
    <mergeCell ref="JEM36:JES36"/>
    <mergeCell ref="JET36:JEZ36"/>
    <mergeCell ref="JFA36:JFG36"/>
    <mergeCell ref="JFH36:JFN36"/>
    <mergeCell ref="JFO36:JFU36"/>
    <mergeCell ref="JDD36:JDJ36"/>
    <mergeCell ref="JDK36:JDQ36"/>
    <mergeCell ref="JDR36:JDX36"/>
    <mergeCell ref="JDY36:JEE36"/>
    <mergeCell ref="JEF36:JEL36"/>
    <mergeCell ref="JBU36:JCA36"/>
    <mergeCell ref="JCB36:JCH36"/>
    <mergeCell ref="JCI36:JCO36"/>
    <mergeCell ref="JCP36:JCV36"/>
    <mergeCell ref="JCW36:JDC36"/>
    <mergeCell ref="JAL36:JAR36"/>
    <mergeCell ref="JAS36:JAY36"/>
    <mergeCell ref="JAZ36:JBF36"/>
    <mergeCell ref="JBG36:JBM36"/>
    <mergeCell ref="JBN36:JBT36"/>
    <mergeCell ref="IZC36:IZI36"/>
    <mergeCell ref="IZJ36:IZP36"/>
    <mergeCell ref="IZQ36:IZW36"/>
    <mergeCell ref="IZX36:JAD36"/>
    <mergeCell ref="JAE36:JAK36"/>
    <mergeCell ref="IXT36:IXZ36"/>
    <mergeCell ref="IYA36:IYG36"/>
    <mergeCell ref="IYH36:IYN36"/>
    <mergeCell ref="IYO36:IYU36"/>
    <mergeCell ref="IYV36:IZB36"/>
    <mergeCell ref="IWK36:IWQ36"/>
    <mergeCell ref="IWR36:IWX36"/>
    <mergeCell ref="IWY36:IXE36"/>
    <mergeCell ref="IXF36:IXL36"/>
    <mergeCell ref="IXM36:IXS36"/>
    <mergeCell ref="IVB36:IVH36"/>
    <mergeCell ref="IVI36:IVO36"/>
    <mergeCell ref="IVP36:IVV36"/>
    <mergeCell ref="IVW36:IWC36"/>
    <mergeCell ref="IWD36:IWJ36"/>
    <mergeCell ref="ITS36:ITY36"/>
    <mergeCell ref="ITZ36:IUF36"/>
    <mergeCell ref="IUG36:IUM36"/>
    <mergeCell ref="IUN36:IUT36"/>
    <mergeCell ref="IUU36:IVA36"/>
    <mergeCell ref="ISJ36:ISP36"/>
    <mergeCell ref="ISQ36:ISW36"/>
    <mergeCell ref="ISX36:ITD36"/>
    <mergeCell ref="ITE36:ITK36"/>
    <mergeCell ref="ITL36:ITR36"/>
    <mergeCell ref="IRA36:IRG36"/>
    <mergeCell ref="IRH36:IRN36"/>
    <mergeCell ref="IRO36:IRU36"/>
    <mergeCell ref="IRV36:ISB36"/>
    <mergeCell ref="ISC36:ISI36"/>
    <mergeCell ref="IPR36:IPX36"/>
    <mergeCell ref="IPY36:IQE36"/>
    <mergeCell ref="IQF36:IQL36"/>
    <mergeCell ref="IQM36:IQS36"/>
    <mergeCell ref="IQT36:IQZ36"/>
    <mergeCell ref="IOI36:IOO36"/>
    <mergeCell ref="IOP36:IOV36"/>
    <mergeCell ref="IOW36:IPC36"/>
    <mergeCell ref="IPD36:IPJ36"/>
    <mergeCell ref="IPK36:IPQ36"/>
    <mergeCell ref="IMZ36:INF36"/>
    <mergeCell ref="ING36:INM36"/>
    <mergeCell ref="INN36:INT36"/>
    <mergeCell ref="INU36:IOA36"/>
    <mergeCell ref="IOB36:IOH36"/>
    <mergeCell ref="ILQ36:ILW36"/>
    <mergeCell ref="ILX36:IMD36"/>
    <mergeCell ref="IME36:IMK36"/>
    <mergeCell ref="IML36:IMR36"/>
    <mergeCell ref="IMS36:IMY36"/>
    <mergeCell ref="IKH36:IKN36"/>
    <mergeCell ref="IKO36:IKU36"/>
    <mergeCell ref="IKV36:ILB36"/>
    <mergeCell ref="ILC36:ILI36"/>
    <mergeCell ref="ILJ36:ILP36"/>
    <mergeCell ref="IIY36:IJE36"/>
    <mergeCell ref="IJF36:IJL36"/>
    <mergeCell ref="IJM36:IJS36"/>
    <mergeCell ref="IJT36:IJZ36"/>
    <mergeCell ref="IKA36:IKG36"/>
    <mergeCell ref="IHP36:IHV36"/>
    <mergeCell ref="IHW36:IIC36"/>
    <mergeCell ref="IID36:IIJ36"/>
    <mergeCell ref="IIK36:IIQ36"/>
    <mergeCell ref="IIR36:IIX36"/>
    <mergeCell ref="IGG36:IGM36"/>
    <mergeCell ref="IGN36:IGT36"/>
    <mergeCell ref="IGU36:IHA36"/>
    <mergeCell ref="IHB36:IHH36"/>
    <mergeCell ref="IHI36:IHO36"/>
    <mergeCell ref="IEX36:IFD36"/>
    <mergeCell ref="IFE36:IFK36"/>
    <mergeCell ref="IFL36:IFR36"/>
    <mergeCell ref="IFS36:IFY36"/>
    <mergeCell ref="IFZ36:IGF36"/>
    <mergeCell ref="IDO36:IDU36"/>
    <mergeCell ref="IDV36:IEB36"/>
    <mergeCell ref="IEC36:IEI36"/>
    <mergeCell ref="IEJ36:IEP36"/>
    <mergeCell ref="IEQ36:IEW36"/>
    <mergeCell ref="ICF36:ICL36"/>
    <mergeCell ref="ICM36:ICS36"/>
    <mergeCell ref="ICT36:ICZ36"/>
    <mergeCell ref="IDA36:IDG36"/>
    <mergeCell ref="IDH36:IDN36"/>
    <mergeCell ref="IAW36:IBC36"/>
    <mergeCell ref="IBD36:IBJ36"/>
    <mergeCell ref="IBK36:IBQ36"/>
    <mergeCell ref="IBR36:IBX36"/>
    <mergeCell ref="IBY36:ICE36"/>
    <mergeCell ref="HZN36:HZT36"/>
    <mergeCell ref="HZU36:IAA36"/>
    <mergeCell ref="IAB36:IAH36"/>
    <mergeCell ref="IAI36:IAO36"/>
    <mergeCell ref="IAP36:IAV36"/>
    <mergeCell ref="HYE36:HYK36"/>
    <mergeCell ref="HYL36:HYR36"/>
    <mergeCell ref="HYS36:HYY36"/>
    <mergeCell ref="HYZ36:HZF36"/>
    <mergeCell ref="HZG36:HZM36"/>
    <mergeCell ref="HWV36:HXB36"/>
    <mergeCell ref="HXC36:HXI36"/>
    <mergeCell ref="HXJ36:HXP36"/>
    <mergeCell ref="HXQ36:HXW36"/>
    <mergeCell ref="HXX36:HYD36"/>
    <mergeCell ref="HVM36:HVS36"/>
    <mergeCell ref="HVT36:HVZ36"/>
    <mergeCell ref="HWA36:HWG36"/>
    <mergeCell ref="HWH36:HWN36"/>
    <mergeCell ref="HWO36:HWU36"/>
    <mergeCell ref="HUD36:HUJ36"/>
    <mergeCell ref="HUK36:HUQ36"/>
    <mergeCell ref="HUR36:HUX36"/>
    <mergeCell ref="HUY36:HVE36"/>
    <mergeCell ref="HVF36:HVL36"/>
    <mergeCell ref="HSU36:HTA36"/>
    <mergeCell ref="HTB36:HTH36"/>
    <mergeCell ref="HTI36:HTO36"/>
    <mergeCell ref="HTP36:HTV36"/>
    <mergeCell ref="HTW36:HUC36"/>
    <mergeCell ref="HRL36:HRR36"/>
    <mergeCell ref="HRS36:HRY36"/>
    <mergeCell ref="HRZ36:HSF36"/>
    <mergeCell ref="HSG36:HSM36"/>
    <mergeCell ref="HSN36:HST36"/>
    <mergeCell ref="HQC36:HQI36"/>
    <mergeCell ref="HQJ36:HQP36"/>
    <mergeCell ref="HQQ36:HQW36"/>
    <mergeCell ref="HQX36:HRD36"/>
    <mergeCell ref="HRE36:HRK36"/>
    <mergeCell ref="HOT36:HOZ36"/>
    <mergeCell ref="HPA36:HPG36"/>
    <mergeCell ref="HPH36:HPN36"/>
    <mergeCell ref="HPO36:HPU36"/>
    <mergeCell ref="HPV36:HQB36"/>
    <mergeCell ref="HNK36:HNQ36"/>
    <mergeCell ref="HNR36:HNX36"/>
    <mergeCell ref="HNY36:HOE36"/>
    <mergeCell ref="HOF36:HOL36"/>
    <mergeCell ref="HOM36:HOS36"/>
    <mergeCell ref="HMB36:HMH36"/>
    <mergeCell ref="HMI36:HMO36"/>
    <mergeCell ref="HMP36:HMV36"/>
    <mergeCell ref="HMW36:HNC36"/>
    <mergeCell ref="HND36:HNJ36"/>
    <mergeCell ref="HKS36:HKY36"/>
    <mergeCell ref="HKZ36:HLF36"/>
    <mergeCell ref="HLG36:HLM36"/>
    <mergeCell ref="HLN36:HLT36"/>
    <mergeCell ref="HLU36:HMA36"/>
    <mergeCell ref="HJJ36:HJP36"/>
    <mergeCell ref="HJQ36:HJW36"/>
    <mergeCell ref="HJX36:HKD36"/>
    <mergeCell ref="HKE36:HKK36"/>
    <mergeCell ref="HKL36:HKR36"/>
    <mergeCell ref="HIA36:HIG36"/>
    <mergeCell ref="HIH36:HIN36"/>
    <mergeCell ref="HIO36:HIU36"/>
    <mergeCell ref="HIV36:HJB36"/>
    <mergeCell ref="HJC36:HJI36"/>
    <mergeCell ref="HGR36:HGX36"/>
    <mergeCell ref="HGY36:HHE36"/>
    <mergeCell ref="HHF36:HHL36"/>
    <mergeCell ref="HHM36:HHS36"/>
    <mergeCell ref="HHT36:HHZ36"/>
    <mergeCell ref="HFI36:HFO36"/>
    <mergeCell ref="HFP36:HFV36"/>
    <mergeCell ref="HFW36:HGC36"/>
    <mergeCell ref="HGD36:HGJ36"/>
    <mergeCell ref="HGK36:HGQ36"/>
    <mergeCell ref="HDZ36:HEF36"/>
    <mergeCell ref="HEG36:HEM36"/>
    <mergeCell ref="HEN36:HET36"/>
    <mergeCell ref="HEU36:HFA36"/>
    <mergeCell ref="HFB36:HFH36"/>
    <mergeCell ref="HCQ36:HCW36"/>
    <mergeCell ref="HCX36:HDD36"/>
    <mergeCell ref="HDE36:HDK36"/>
    <mergeCell ref="HDL36:HDR36"/>
    <mergeCell ref="HDS36:HDY36"/>
    <mergeCell ref="HBH36:HBN36"/>
    <mergeCell ref="HBO36:HBU36"/>
    <mergeCell ref="HBV36:HCB36"/>
    <mergeCell ref="HCC36:HCI36"/>
    <mergeCell ref="HCJ36:HCP36"/>
    <mergeCell ref="GZY36:HAE36"/>
    <mergeCell ref="HAF36:HAL36"/>
    <mergeCell ref="HAM36:HAS36"/>
    <mergeCell ref="HAT36:HAZ36"/>
    <mergeCell ref="HBA36:HBG36"/>
    <mergeCell ref="GYP36:GYV36"/>
    <mergeCell ref="GYW36:GZC36"/>
    <mergeCell ref="GZD36:GZJ36"/>
    <mergeCell ref="GZK36:GZQ36"/>
    <mergeCell ref="GZR36:GZX36"/>
    <mergeCell ref="GXG36:GXM36"/>
    <mergeCell ref="GXN36:GXT36"/>
    <mergeCell ref="GXU36:GYA36"/>
    <mergeCell ref="GYB36:GYH36"/>
    <mergeCell ref="GYI36:GYO36"/>
    <mergeCell ref="GVX36:GWD36"/>
    <mergeCell ref="GWE36:GWK36"/>
    <mergeCell ref="GWL36:GWR36"/>
    <mergeCell ref="GWS36:GWY36"/>
    <mergeCell ref="GWZ36:GXF36"/>
    <mergeCell ref="GUO36:GUU36"/>
    <mergeCell ref="GUV36:GVB36"/>
    <mergeCell ref="GVC36:GVI36"/>
    <mergeCell ref="GVJ36:GVP36"/>
    <mergeCell ref="GVQ36:GVW36"/>
    <mergeCell ref="GTF36:GTL36"/>
    <mergeCell ref="GTM36:GTS36"/>
    <mergeCell ref="GTT36:GTZ36"/>
    <mergeCell ref="GUA36:GUG36"/>
    <mergeCell ref="GUH36:GUN36"/>
    <mergeCell ref="GRW36:GSC36"/>
    <mergeCell ref="GSD36:GSJ36"/>
    <mergeCell ref="GSK36:GSQ36"/>
    <mergeCell ref="GSR36:GSX36"/>
    <mergeCell ref="GSY36:GTE36"/>
    <mergeCell ref="GQN36:GQT36"/>
    <mergeCell ref="GQU36:GRA36"/>
    <mergeCell ref="GRB36:GRH36"/>
    <mergeCell ref="GRI36:GRO36"/>
    <mergeCell ref="GRP36:GRV36"/>
    <mergeCell ref="GPE36:GPK36"/>
    <mergeCell ref="GPL36:GPR36"/>
    <mergeCell ref="GPS36:GPY36"/>
    <mergeCell ref="GPZ36:GQF36"/>
    <mergeCell ref="GQG36:GQM36"/>
    <mergeCell ref="GNV36:GOB36"/>
    <mergeCell ref="GOC36:GOI36"/>
    <mergeCell ref="GOJ36:GOP36"/>
    <mergeCell ref="GOQ36:GOW36"/>
    <mergeCell ref="GOX36:GPD36"/>
    <mergeCell ref="GMM36:GMS36"/>
    <mergeCell ref="GMT36:GMZ36"/>
    <mergeCell ref="GNA36:GNG36"/>
    <mergeCell ref="GNH36:GNN36"/>
    <mergeCell ref="GNO36:GNU36"/>
    <mergeCell ref="GLD36:GLJ36"/>
    <mergeCell ref="GLK36:GLQ36"/>
    <mergeCell ref="GLR36:GLX36"/>
    <mergeCell ref="GLY36:GME36"/>
    <mergeCell ref="GMF36:GML36"/>
    <mergeCell ref="GJU36:GKA36"/>
    <mergeCell ref="GKB36:GKH36"/>
    <mergeCell ref="GKI36:GKO36"/>
    <mergeCell ref="GKP36:GKV36"/>
    <mergeCell ref="GKW36:GLC36"/>
    <mergeCell ref="GIL36:GIR36"/>
    <mergeCell ref="GIS36:GIY36"/>
    <mergeCell ref="GIZ36:GJF36"/>
    <mergeCell ref="GJG36:GJM36"/>
    <mergeCell ref="GJN36:GJT36"/>
    <mergeCell ref="GHC36:GHI36"/>
    <mergeCell ref="GHJ36:GHP36"/>
    <mergeCell ref="GHQ36:GHW36"/>
    <mergeCell ref="GHX36:GID36"/>
    <mergeCell ref="GIE36:GIK36"/>
    <mergeCell ref="GFT36:GFZ36"/>
    <mergeCell ref="GGA36:GGG36"/>
    <mergeCell ref="GGH36:GGN36"/>
    <mergeCell ref="GGO36:GGU36"/>
    <mergeCell ref="GGV36:GHB36"/>
    <mergeCell ref="GEK36:GEQ36"/>
    <mergeCell ref="GER36:GEX36"/>
    <mergeCell ref="GEY36:GFE36"/>
    <mergeCell ref="GFF36:GFL36"/>
    <mergeCell ref="GFM36:GFS36"/>
    <mergeCell ref="GDB36:GDH36"/>
    <mergeCell ref="GDI36:GDO36"/>
    <mergeCell ref="GDP36:GDV36"/>
    <mergeCell ref="GDW36:GEC36"/>
    <mergeCell ref="GED36:GEJ36"/>
    <mergeCell ref="GBS36:GBY36"/>
    <mergeCell ref="GBZ36:GCF36"/>
    <mergeCell ref="GCG36:GCM36"/>
    <mergeCell ref="GCN36:GCT36"/>
    <mergeCell ref="GCU36:GDA36"/>
    <mergeCell ref="GAJ36:GAP36"/>
    <mergeCell ref="GAQ36:GAW36"/>
    <mergeCell ref="GAX36:GBD36"/>
    <mergeCell ref="GBE36:GBK36"/>
    <mergeCell ref="GBL36:GBR36"/>
    <mergeCell ref="FZA36:FZG36"/>
    <mergeCell ref="FZH36:FZN36"/>
    <mergeCell ref="FZO36:FZU36"/>
    <mergeCell ref="FZV36:GAB36"/>
    <mergeCell ref="GAC36:GAI36"/>
    <mergeCell ref="FXR36:FXX36"/>
    <mergeCell ref="FXY36:FYE36"/>
    <mergeCell ref="FYF36:FYL36"/>
    <mergeCell ref="FYM36:FYS36"/>
    <mergeCell ref="FYT36:FYZ36"/>
    <mergeCell ref="FWI36:FWO36"/>
    <mergeCell ref="FWP36:FWV36"/>
    <mergeCell ref="FWW36:FXC36"/>
    <mergeCell ref="FXD36:FXJ36"/>
    <mergeCell ref="FXK36:FXQ36"/>
    <mergeCell ref="FUZ36:FVF36"/>
    <mergeCell ref="FVG36:FVM36"/>
    <mergeCell ref="FVN36:FVT36"/>
    <mergeCell ref="FVU36:FWA36"/>
    <mergeCell ref="FWB36:FWH36"/>
    <mergeCell ref="FTQ36:FTW36"/>
    <mergeCell ref="FTX36:FUD36"/>
    <mergeCell ref="FUE36:FUK36"/>
    <mergeCell ref="FUL36:FUR36"/>
    <mergeCell ref="FUS36:FUY36"/>
    <mergeCell ref="FSH36:FSN36"/>
    <mergeCell ref="FSO36:FSU36"/>
    <mergeCell ref="FSV36:FTB36"/>
    <mergeCell ref="FTC36:FTI36"/>
    <mergeCell ref="FTJ36:FTP36"/>
    <mergeCell ref="FQY36:FRE36"/>
    <mergeCell ref="FRF36:FRL36"/>
    <mergeCell ref="FRM36:FRS36"/>
    <mergeCell ref="FRT36:FRZ36"/>
    <mergeCell ref="FSA36:FSG36"/>
    <mergeCell ref="FPP36:FPV36"/>
    <mergeCell ref="FPW36:FQC36"/>
    <mergeCell ref="FQD36:FQJ36"/>
    <mergeCell ref="FQK36:FQQ36"/>
    <mergeCell ref="FQR36:FQX36"/>
    <mergeCell ref="FOG36:FOM36"/>
    <mergeCell ref="FON36:FOT36"/>
    <mergeCell ref="FOU36:FPA36"/>
    <mergeCell ref="FPB36:FPH36"/>
    <mergeCell ref="FPI36:FPO36"/>
    <mergeCell ref="FMX36:FND36"/>
    <mergeCell ref="FNE36:FNK36"/>
    <mergeCell ref="FNL36:FNR36"/>
    <mergeCell ref="FNS36:FNY36"/>
    <mergeCell ref="FNZ36:FOF36"/>
    <mergeCell ref="FLO36:FLU36"/>
    <mergeCell ref="FLV36:FMB36"/>
    <mergeCell ref="FMC36:FMI36"/>
    <mergeCell ref="FMJ36:FMP36"/>
    <mergeCell ref="FMQ36:FMW36"/>
    <mergeCell ref="FKF36:FKL36"/>
    <mergeCell ref="FKM36:FKS36"/>
    <mergeCell ref="FKT36:FKZ36"/>
    <mergeCell ref="FLA36:FLG36"/>
    <mergeCell ref="FLH36:FLN36"/>
    <mergeCell ref="FIW36:FJC36"/>
    <mergeCell ref="FJD36:FJJ36"/>
    <mergeCell ref="FJK36:FJQ36"/>
    <mergeCell ref="FJR36:FJX36"/>
    <mergeCell ref="FJY36:FKE36"/>
    <mergeCell ref="FHN36:FHT36"/>
    <mergeCell ref="FHU36:FIA36"/>
    <mergeCell ref="FIB36:FIH36"/>
    <mergeCell ref="FII36:FIO36"/>
    <mergeCell ref="FIP36:FIV36"/>
    <mergeCell ref="FGE36:FGK36"/>
    <mergeCell ref="FGL36:FGR36"/>
    <mergeCell ref="FGS36:FGY36"/>
    <mergeCell ref="FGZ36:FHF36"/>
    <mergeCell ref="FHG36:FHM36"/>
    <mergeCell ref="FEV36:FFB36"/>
    <mergeCell ref="FFC36:FFI36"/>
    <mergeCell ref="FFJ36:FFP36"/>
    <mergeCell ref="FFQ36:FFW36"/>
    <mergeCell ref="FFX36:FGD36"/>
    <mergeCell ref="FDM36:FDS36"/>
    <mergeCell ref="FDT36:FDZ36"/>
    <mergeCell ref="FEA36:FEG36"/>
    <mergeCell ref="FEH36:FEN36"/>
    <mergeCell ref="FEO36:FEU36"/>
    <mergeCell ref="FCD36:FCJ36"/>
    <mergeCell ref="FCK36:FCQ36"/>
    <mergeCell ref="FCR36:FCX36"/>
    <mergeCell ref="FCY36:FDE36"/>
    <mergeCell ref="FDF36:FDL36"/>
    <mergeCell ref="FAU36:FBA36"/>
    <mergeCell ref="FBB36:FBH36"/>
    <mergeCell ref="FBI36:FBO36"/>
    <mergeCell ref="FBP36:FBV36"/>
    <mergeCell ref="FBW36:FCC36"/>
    <mergeCell ref="EZL36:EZR36"/>
    <mergeCell ref="EZS36:EZY36"/>
    <mergeCell ref="EZZ36:FAF36"/>
    <mergeCell ref="FAG36:FAM36"/>
    <mergeCell ref="FAN36:FAT36"/>
    <mergeCell ref="EYC36:EYI36"/>
    <mergeCell ref="EYJ36:EYP36"/>
    <mergeCell ref="EYQ36:EYW36"/>
    <mergeCell ref="EYX36:EZD36"/>
    <mergeCell ref="EZE36:EZK36"/>
    <mergeCell ref="EWT36:EWZ36"/>
    <mergeCell ref="EXA36:EXG36"/>
    <mergeCell ref="EXH36:EXN36"/>
    <mergeCell ref="EXO36:EXU36"/>
    <mergeCell ref="EXV36:EYB36"/>
    <mergeCell ref="EVK36:EVQ36"/>
    <mergeCell ref="EVR36:EVX36"/>
    <mergeCell ref="EVY36:EWE36"/>
    <mergeCell ref="EWF36:EWL36"/>
    <mergeCell ref="EWM36:EWS36"/>
    <mergeCell ref="EUB36:EUH36"/>
    <mergeCell ref="EUI36:EUO36"/>
    <mergeCell ref="EUP36:EUV36"/>
    <mergeCell ref="EUW36:EVC36"/>
    <mergeCell ref="EVD36:EVJ36"/>
    <mergeCell ref="ESS36:ESY36"/>
    <mergeCell ref="ESZ36:ETF36"/>
    <mergeCell ref="ETG36:ETM36"/>
    <mergeCell ref="ETN36:ETT36"/>
    <mergeCell ref="ETU36:EUA36"/>
    <mergeCell ref="ERJ36:ERP36"/>
    <mergeCell ref="ERQ36:ERW36"/>
    <mergeCell ref="ERX36:ESD36"/>
    <mergeCell ref="ESE36:ESK36"/>
    <mergeCell ref="ESL36:ESR36"/>
    <mergeCell ref="EQA36:EQG36"/>
    <mergeCell ref="EQH36:EQN36"/>
    <mergeCell ref="EQO36:EQU36"/>
    <mergeCell ref="EQV36:ERB36"/>
    <mergeCell ref="ERC36:ERI36"/>
    <mergeCell ref="EOR36:EOX36"/>
    <mergeCell ref="EOY36:EPE36"/>
    <mergeCell ref="EPF36:EPL36"/>
    <mergeCell ref="EPM36:EPS36"/>
    <mergeCell ref="EPT36:EPZ36"/>
    <mergeCell ref="ENI36:ENO36"/>
    <mergeCell ref="ENP36:ENV36"/>
    <mergeCell ref="ENW36:EOC36"/>
    <mergeCell ref="EOD36:EOJ36"/>
    <mergeCell ref="EOK36:EOQ36"/>
    <mergeCell ref="ELZ36:EMF36"/>
    <mergeCell ref="EMG36:EMM36"/>
    <mergeCell ref="EMN36:EMT36"/>
    <mergeCell ref="EMU36:ENA36"/>
    <mergeCell ref="ENB36:ENH36"/>
    <mergeCell ref="EKQ36:EKW36"/>
    <mergeCell ref="EKX36:ELD36"/>
    <mergeCell ref="ELE36:ELK36"/>
    <mergeCell ref="ELL36:ELR36"/>
    <mergeCell ref="ELS36:ELY36"/>
    <mergeCell ref="EJH36:EJN36"/>
    <mergeCell ref="EJO36:EJU36"/>
    <mergeCell ref="EJV36:EKB36"/>
    <mergeCell ref="EKC36:EKI36"/>
    <mergeCell ref="EKJ36:EKP36"/>
    <mergeCell ref="EHY36:EIE36"/>
    <mergeCell ref="EIF36:EIL36"/>
    <mergeCell ref="EIM36:EIS36"/>
    <mergeCell ref="EIT36:EIZ36"/>
    <mergeCell ref="EJA36:EJG36"/>
    <mergeCell ref="EGP36:EGV36"/>
    <mergeCell ref="EGW36:EHC36"/>
    <mergeCell ref="EHD36:EHJ36"/>
    <mergeCell ref="EHK36:EHQ36"/>
    <mergeCell ref="EHR36:EHX36"/>
    <mergeCell ref="EFG36:EFM36"/>
    <mergeCell ref="EFN36:EFT36"/>
    <mergeCell ref="EFU36:EGA36"/>
    <mergeCell ref="EGB36:EGH36"/>
    <mergeCell ref="EGI36:EGO36"/>
    <mergeCell ref="EDX36:EED36"/>
    <mergeCell ref="EEE36:EEK36"/>
    <mergeCell ref="EEL36:EER36"/>
    <mergeCell ref="EES36:EEY36"/>
    <mergeCell ref="EEZ36:EFF36"/>
    <mergeCell ref="ECO36:ECU36"/>
    <mergeCell ref="ECV36:EDB36"/>
    <mergeCell ref="EDC36:EDI36"/>
    <mergeCell ref="EDJ36:EDP36"/>
    <mergeCell ref="EDQ36:EDW36"/>
    <mergeCell ref="EBF36:EBL36"/>
    <mergeCell ref="EBM36:EBS36"/>
    <mergeCell ref="EBT36:EBZ36"/>
    <mergeCell ref="ECA36:ECG36"/>
    <mergeCell ref="ECH36:ECN36"/>
    <mergeCell ref="DZW36:EAC36"/>
    <mergeCell ref="EAD36:EAJ36"/>
    <mergeCell ref="EAK36:EAQ36"/>
    <mergeCell ref="EAR36:EAX36"/>
    <mergeCell ref="EAY36:EBE36"/>
    <mergeCell ref="DYN36:DYT36"/>
    <mergeCell ref="DYU36:DZA36"/>
    <mergeCell ref="DZB36:DZH36"/>
    <mergeCell ref="DZI36:DZO36"/>
    <mergeCell ref="DZP36:DZV36"/>
    <mergeCell ref="DXE36:DXK36"/>
    <mergeCell ref="DXL36:DXR36"/>
    <mergeCell ref="DXS36:DXY36"/>
    <mergeCell ref="DXZ36:DYF36"/>
    <mergeCell ref="DYG36:DYM36"/>
    <mergeCell ref="DVV36:DWB36"/>
    <mergeCell ref="DWC36:DWI36"/>
    <mergeCell ref="DWJ36:DWP36"/>
    <mergeCell ref="DWQ36:DWW36"/>
    <mergeCell ref="DWX36:DXD36"/>
    <mergeCell ref="DUM36:DUS36"/>
    <mergeCell ref="DUT36:DUZ36"/>
    <mergeCell ref="DVA36:DVG36"/>
    <mergeCell ref="DVH36:DVN36"/>
    <mergeCell ref="DVO36:DVU36"/>
    <mergeCell ref="DTD36:DTJ36"/>
    <mergeCell ref="DTK36:DTQ36"/>
    <mergeCell ref="DTR36:DTX36"/>
    <mergeCell ref="DTY36:DUE36"/>
    <mergeCell ref="DUF36:DUL36"/>
    <mergeCell ref="DRU36:DSA36"/>
    <mergeCell ref="DSB36:DSH36"/>
    <mergeCell ref="DSI36:DSO36"/>
    <mergeCell ref="DSP36:DSV36"/>
    <mergeCell ref="DSW36:DTC36"/>
    <mergeCell ref="DQL36:DQR36"/>
    <mergeCell ref="DQS36:DQY36"/>
    <mergeCell ref="DQZ36:DRF36"/>
    <mergeCell ref="DRG36:DRM36"/>
    <mergeCell ref="DRN36:DRT36"/>
    <mergeCell ref="DPC36:DPI36"/>
    <mergeCell ref="DPJ36:DPP36"/>
    <mergeCell ref="DPQ36:DPW36"/>
    <mergeCell ref="DPX36:DQD36"/>
    <mergeCell ref="DQE36:DQK36"/>
    <mergeCell ref="DNT36:DNZ36"/>
    <mergeCell ref="DOA36:DOG36"/>
    <mergeCell ref="DOH36:DON36"/>
    <mergeCell ref="DOO36:DOU36"/>
    <mergeCell ref="DOV36:DPB36"/>
    <mergeCell ref="DMK36:DMQ36"/>
    <mergeCell ref="DMR36:DMX36"/>
    <mergeCell ref="DMY36:DNE36"/>
    <mergeCell ref="DNF36:DNL36"/>
    <mergeCell ref="DNM36:DNS36"/>
    <mergeCell ref="DLB36:DLH36"/>
    <mergeCell ref="DLI36:DLO36"/>
    <mergeCell ref="DLP36:DLV36"/>
    <mergeCell ref="DLW36:DMC36"/>
    <mergeCell ref="DMD36:DMJ36"/>
    <mergeCell ref="DJS36:DJY36"/>
    <mergeCell ref="DJZ36:DKF36"/>
    <mergeCell ref="DKG36:DKM36"/>
    <mergeCell ref="DKN36:DKT36"/>
    <mergeCell ref="DKU36:DLA36"/>
    <mergeCell ref="DIJ36:DIP36"/>
    <mergeCell ref="DIQ36:DIW36"/>
    <mergeCell ref="DIX36:DJD36"/>
    <mergeCell ref="DJE36:DJK36"/>
    <mergeCell ref="DJL36:DJR36"/>
    <mergeCell ref="DHA36:DHG36"/>
    <mergeCell ref="DHH36:DHN36"/>
    <mergeCell ref="DHO36:DHU36"/>
    <mergeCell ref="DHV36:DIB36"/>
    <mergeCell ref="DIC36:DII36"/>
    <mergeCell ref="DFR36:DFX36"/>
    <mergeCell ref="DFY36:DGE36"/>
    <mergeCell ref="DGF36:DGL36"/>
    <mergeCell ref="DGM36:DGS36"/>
    <mergeCell ref="DGT36:DGZ36"/>
    <mergeCell ref="DEI36:DEO36"/>
    <mergeCell ref="DEP36:DEV36"/>
    <mergeCell ref="DEW36:DFC36"/>
    <mergeCell ref="DFD36:DFJ36"/>
    <mergeCell ref="DFK36:DFQ36"/>
    <mergeCell ref="DCZ36:DDF36"/>
    <mergeCell ref="DDG36:DDM36"/>
    <mergeCell ref="DDN36:DDT36"/>
    <mergeCell ref="DDU36:DEA36"/>
    <mergeCell ref="DEB36:DEH36"/>
    <mergeCell ref="DBQ36:DBW36"/>
    <mergeCell ref="DBX36:DCD36"/>
    <mergeCell ref="DCE36:DCK36"/>
    <mergeCell ref="DCL36:DCR36"/>
    <mergeCell ref="DCS36:DCY36"/>
    <mergeCell ref="DAH36:DAN36"/>
    <mergeCell ref="DAO36:DAU36"/>
    <mergeCell ref="DAV36:DBB36"/>
    <mergeCell ref="DBC36:DBI36"/>
    <mergeCell ref="DBJ36:DBP36"/>
    <mergeCell ref="CYY36:CZE36"/>
    <mergeCell ref="CZF36:CZL36"/>
    <mergeCell ref="CZM36:CZS36"/>
    <mergeCell ref="CZT36:CZZ36"/>
    <mergeCell ref="DAA36:DAG36"/>
    <mergeCell ref="CXP36:CXV36"/>
    <mergeCell ref="CXW36:CYC36"/>
    <mergeCell ref="CYD36:CYJ36"/>
    <mergeCell ref="CYK36:CYQ36"/>
    <mergeCell ref="CYR36:CYX36"/>
    <mergeCell ref="CWG36:CWM36"/>
    <mergeCell ref="CWN36:CWT36"/>
    <mergeCell ref="CWU36:CXA36"/>
    <mergeCell ref="CXB36:CXH36"/>
    <mergeCell ref="CXI36:CXO36"/>
    <mergeCell ref="CUX36:CVD36"/>
    <mergeCell ref="CVE36:CVK36"/>
    <mergeCell ref="CVL36:CVR36"/>
    <mergeCell ref="CVS36:CVY36"/>
    <mergeCell ref="CVZ36:CWF36"/>
    <mergeCell ref="CTO36:CTU36"/>
    <mergeCell ref="CTV36:CUB36"/>
    <mergeCell ref="CUC36:CUI36"/>
    <mergeCell ref="CUJ36:CUP36"/>
    <mergeCell ref="CUQ36:CUW36"/>
    <mergeCell ref="CSF36:CSL36"/>
    <mergeCell ref="CSM36:CSS36"/>
    <mergeCell ref="CST36:CSZ36"/>
    <mergeCell ref="CTA36:CTG36"/>
    <mergeCell ref="CTH36:CTN36"/>
    <mergeCell ref="CQW36:CRC36"/>
    <mergeCell ref="CRD36:CRJ36"/>
    <mergeCell ref="CRK36:CRQ36"/>
    <mergeCell ref="CRR36:CRX36"/>
    <mergeCell ref="CRY36:CSE36"/>
    <mergeCell ref="CPN36:CPT36"/>
    <mergeCell ref="CPU36:CQA36"/>
    <mergeCell ref="CQB36:CQH36"/>
    <mergeCell ref="CQI36:CQO36"/>
    <mergeCell ref="CQP36:CQV36"/>
    <mergeCell ref="COE36:COK36"/>
    <mergeCell ref="COL36:COR36"/>
    <mergeCell ref="COS36:COY36"/>
    <mergeCell ref="COZ36:CPF36"/>
    <mergeCell ref="CPG36:CPM36"/>
    <mergeCell ref="CMV36:CNB36"/>
    <mergeCell ref="CNC36:CNI36"/>
    <mergeCell ref="CNJ36:CNP36"/>
    <mergeCell ref="CNQ36:CNW36"/>
    <mergeCell ref="CNX36:COD36"/>
    <mergeCell ref="CLM36:CLS36"/>
    <mergeCell ref="CLT36:CLZ36"/>
    <mergeCell ref="CMA36:CMG36"/>
    <mergeCell ref="CMH36:CMN36"/>
    <mergeCell ref="CMO36:CMU36"/>
    <mergeCell ref="CKD36:CKJ36"/>
    <mergeCell ref="CKK36:CKQ36"/>
    <mergeCell ref="CKR36:CKX36"/>
    <mergeCell ref="CKY36:CLE36"/>
    <mergeCell ref="CLF36:CLL36"/>
    <mergeCell ref="CIU36:CJA36"/>
    <mergeCell ref="CJB36:CJH36"/>
    <mergeCell ref="CJI36:CJO36"/>
    <mergeCell ref="CJP36:CJV36"/>
    <mergeCell ref="CJW36:CKC36"/>
    <mergeCell ref="CHL36:CHR36"/>
    <mergeCell ref="CHS36:CHY36"/>
    <mergeCell ref="CHZ36:CIF36"/>
    <mergeCell ref="CIG36:CIM36"/>
    <mergeCell ref="CIN36:CIT36"/>
    <mergeCell ref="CGC36:CGI36"/>
    <mergeCell ref="CGJ36:CGP36"/>
    <mergeCell ref="CGQ36:CGW36"/>
    <mergeCell ref="CGX36:CHD36"/>
    <mergeCell ref="CHE36:CHK36"/>
    <mergeCell ref="CET36:CEZ36"/>
    <mergeCell ref="CFA36:CFG36"/>
    <mergeCell ref="CFH36:CFN36"/>
    <mergeCell ref="CFO36:CFU36"/>
    <mergeCell ref="CFV36:CGB36"/>
    <mergeCell ref="CDK36:CDQ36"/>
    <mergeCell ref="CDR36:CDX36"/>
    <mergeCell ref="CDY36:CEE36"/>
    <mergeCell ref="CEF36:CEL36"/>
    <mergeCell ref="CEM36:CES36"/>
    <mergeCell ref="CCB36:CCH36"/>
    <mergeCell ref="CCI36:CCO36"/>
    <mergeCell ref="CCP36:CCV36"/>
    <mergeCell ref="CCW36:CDC36"/>
    <mergeCell ref="CDD36:CDJ36"/>
    <mergeCell ref="CAS36:CAY36"/>
    <mergeCell ref="CAZ36:CBF36"/>
    <mergeCell ref="CBG36:CBM36"/>
    <mergeCell ref="CBN36:CBT36"/>
    <mergeCell ref="CBU36:CCA36"/>
    <mergeCell ref="BZJ36:BZP36"/>
    <mergeCell ref="BZQ36:BZW36"/>
    <mergeCell ref="BZX36:CAD36"/>
    <mergeCell ref="CAE36:CAK36"/>
    <mergeCell ref="CAL36:CAR36"/>
    <mergeCell ref="BYA36:BYG36"/>
    <mergeCell ref="BYH36:BYN36"/>
    <mergeCell ref="BYO36:BYU36"/>
    <mergeCell ref="BYV36:BZB36"/>
    <mergeCell ref="BZC36:BZI36"/>
    <mergeCell ref="BWR36:BWX36"/>
    <mergeCell ref="BWY36:BXE36"/>
    <mergeCell ref="BXF36:BXL36"/>
    <mergeCell ref="BXM36:BXS36"/>
    <mergeCell ref="BXT36:BXZ36"/>
    <mergeCell ref="BVI36:BVO36"/>
    <mergeCell ref="BVP36:BVV36"/>
    <mergeCell ref="BVW36:BWC36"/>
    <mergeCell ref="BWD36:BWJ36"/>
    <mergeCell ref="BWK36:BWQ36"/>
    <mergeCell ref="BTZ36:BUF36"/>
    <mergeCell ref="BUG36:BUM36"/>
    <mergeCell ref="BUN36:BUT36"/>
    <mergeCell ref="BUU36:BVA36"/>
    <mergeCell ref="BVB36:BVH36"/>
    <mergeCell ref="BSQ36:BSW36"/>
    <mergeCell ref="BSX36:BTD36"/>
    <mergeCell ref="BTE36:BTK36"/>
    <mergeCell ref="BTL36:BTR36"/>
    <mergeCell ref="BTS36:BTY36"/>
    <mergeCell ref="BRH36:BRN36"/>
    <mergeCell ref="BRO36:BRU36"/>
    <mergeCell ref="BRV36:BSB36"/>
    <mergeCell ref="BSC36:BSI36"/>
    <mergeCell ref="BSJ36:BSP36"/>
    <mergeCell ref="BPY36:BQE36"/>
    <mergeCell ref="BQF36:BQL36"/>
    <mergeCell ref="BQM36:BQS36"/>
    <mergeCell ref="BQT36:BQZ36"/>
    <mergeCell ref="BRA36:BRG36"/>
    <mergeCell ref="BOP36:BOV36"/>
    <mergeCell ref="BOW36:BPC36"/>
    <mergeCell ref="BPD36:BPJ36"/>
    <mergeCell ref="BPK36:BPQ36"/>
    <mergeCell ref="BPR36:BPX36"/>
    <mergeCell ref="BNG36:BNM36"/>
    <mergeCell ref="BNN36:BNT36"/>
    <mergeCell ref="BNU36:BOA36"/>
    <mergeCell ref="BOB36:BOH36"/>
    <mergeCell ref="BOI36:BOO36"/>
    <mergeCell ref="BLX36:BMD36"/>
    <mergeCell ref="BME36:BMK36"/>
    <mergeCell ref="BML36:BMR36"/>
    <mergeCell ref="BMS36:BMY36"/>
    <mergeCell ref="BMZ36:BNF36"/>
    <mergeCell ref="BKO36:BKU36"/>
    <mergeCell ref="BKV36:BLB36"/>
    <mergeCell ref="BLC36:BLI36"/>
    <mergeCell ref="BLJ36:BLP36"/>
    <mergeCell ref="BLQ36:BLW36"/>
    <mergeCell ref="BJF36:BJL36"/>
    <mergeCell ref="BJM36:BJS36"/>
    <mergeCell ref="BJT36:BJZ36"/>
    <mergeCell ref="BKA36:BKG36"/>
    <mergeCell ref="BKH36:BKN36"/>
    <mergeCell ref="BHW36:BIC36"/>
    <mergeCell ref="BID36:BIJ36"/>
    <mergeCell ref="BIK36:BIQ36"/>
    <mergeCell ref="BIR36:BIX36"/>
    <mergeCell ref="BIY36:BJE36"/>
    <mergeCell ref="BGN36:BGT36"/>
    <mergeCell ref="BGU36:BHA36"/>
    <mergeCell ref="BHB36:BHH36"/>
    <mergeCell ref="BHI36:BHO36"/>
    <mergeCell ref="BHP36:BHV36"/>
    <mergeCell ref="BFE36:BFK36"/>
    <mergeCell ref="BFL36:BFR36"/>
    <mergeCell ref="BFS36:BFY36"/>
    <mergeCell ref="BFZ36:BGF36"/>
    <mergeCell ref="BGG36:BGM36"/>
    <mergeCell ref="BDV36:BEB36"/>
    <mergeCell ref="BEC36:BEI36"/>
    <mergeCell ref="BEJ36:BEP36"/>
    <mergeCell ref="BEQ36:BEW36"/>
    <mergeCell ref="BEX36:BFD36"/>
    <mergeCell ref="BCM36:BCS36"/>
    <mergeCell ref="BCT36:BCZ36"/>
    <mergeCell ref="BDA36:BDG36"/>
    <mergeCell ref="BDH36:BDN36"/>
    <mergeCell ref="BDO36:BDU36"/>
    <mergeCell ref="BBD36:BBJ36"/>
    <mergeCell ref="BBK36:BBQ36"/>
    <mergeCell ref="BBR36:BBX36"/>
    <mergeCell ref="BBY36:BCE36"/>
    <mergeCell ref="BCF36:BCL36"/>
    <mergeCell ref="AZU36:BAA36"/>
    <mergeCell ref="BAB36:BAH36"/>
    <mergeCell ref="BAI36:BAO36"/>
    <mergeCell ref="BAP36:BAV36"/>
    <mergeCell ref="BAW36:BBC36"/>
    <mergeCell ref="AYL36:AYR36"/>
    <mergeCell ref="AYS36:AYY36"/>
    <mergeCell ref="AYZ36:AZF36"/>
    <mergeCell ref="AZG36:AZM36"/>
    <mergeCell ref="AZN36:AZT36"/>
    <mergeCell ref="AXC36:AXI36"/>
    <mergeCell ref="AXJ36:AXP36"/>
    <mergeCell ref="AXQ36:AXW36"/>
    <mergeCell ref="AXX36:AYD36"/>
    <mergeCell ref="AYE36:AYK36"/>
    <mergeCell ref="AVT36:AVZ36"/>
    <mergeCell ref="AWA36:AWG36"/>
    <mergeCell ref="AWH36:AWN36"/>
    <mergeCell ref="AWO36:AWU36"/>
    <mergeCell ref="AWV36:AXB36"/>
    <mergeCell ref="AUK36:AUQ36"/>
    <mergeCell ref="AUR36:AUX36"/>
    <mergeCell ref="AUY36:AVE36"/>
    <mergeCell ref="AVF36:AVL36"/>
    <mergeCell ref="AVM36:AVS36"/>
    <mergeCell ref="ATB36:ATH36"/>
    <mergeCell ref="ATI36:ATO36"/>
    <mergeCell ref="ATP36:ATV36"/>
    <mergeCell ref="ATW36:AUC36"/>
    <mergeCell ref="AUD36:AUJ36"/>
    <mergeCell ref="ARS36:ARY36"/>
    <mergeCell ref="ARZ36:ASF36"/>
    <mergeCell ref="ASG36:ASM36"/>
    <mergeCell ref="ASN36:AST36"/>
    <mergeCell ref="ASU36:ATA36"/>
    <mergeCell ref="AQJ36:AQP36"/>
    <mergeCell ref="AQQ36:AQW36"/>
    <mergeCell ref="AQX36:ARD36"/>
    <mergeCell ref="ARE36:ARK36"/>
    <mergeCell ref="ARL36:ARR36"/>
    <mergeCell ref="APA36:APG36"/>
    <mergeCell ref="APH36:APN36"/>
    <mergeCell ref="APO36:APU36"/>
    <mergeCell ref="APV36:AQB36"/>
    <mergeCell ref="AQC36:AQI36"/>
    <mergeCell ref="ANR36:ANX36"/>
    <mergeCell ref="ANY36:AOE36"/>
    <mergeCell ref="AOF36:AOL36"/>
    <mergeCell ref="AOM36:AOS36"/>
    <mergeCell ref="AOT36:AOZ36"/>
    <mergeCell ref="AMI36:AMO36"/>
    <mergeCell ref="AMP36:AMV36"/>
    <mergeCell ref="AMW36:ANC36"/>
    <mergeCell ref="AND36:ANJ36"/>
    <mergeCell ref="ANK36:ANQ36"/>
    <mergeCell ref="AKZ36:ALF36"/>
    <mergeCell ref="ALG36:ALM36"/>
    <mergeCell ref="ALN36:ALT36"/>
    <mergeCell ref="ALU36:AMA36"/>
    <mergeCell ref="AMB36:AMH36"/>
    <mergeCell ref="AJQ36:AJW36"/>
    <mergeCell ref="AJX36:AKD36"/>
    <mergeCell ref="AKE36:AKK36"/>
    <mergeCell ref="AKL36:AKR36"/>
    <mergeCell ref="AKS36:AKY36"/>
    <mergeCell ref="AIH36:AIN36"/>
    <mergeCell ref="AIO36:AIU36"/>
    <mergeCell ref="AIV36:AJB36"/>
    <mergeCell ref="AJC36:AJI36"/>
    <mergeCell ref="AJJ36:AJP36"/>
    <mergeCell ref="AGY36:AHE36"/>
    <mergeCell ref="AHF36:AHL36"/>
    <mergeCell ref="AHM36:AHS36"/>
    <mergeCell ref="AHT36:AHZ36"/>
    <mergeCell ref="AIA36:AIG36"/>
    <mergeCell ref="AFP36:AFV36"/>
    <mergeCell ref="AFW36:AGC36"/>
    <mergeCell ref="AGD36:AGJ36"/>
    <mergeCell ref="AGK36:AGQ36"/>
    <mergeCell ref="AGR36:AGX36"/>
    <mergeCell ref="AEG36:AEM36"/>
    <mergeCell ref="AEN36:AET36"/>
    <mergeCell ref="AEU36:AFA36"/>
    <mergeCell ref="AFB36:AFH36"/>
    <mergeCell ref="AFI36:AFO36"/>
    <mergeCell ref="ACX36:ADD36"/>
    <mergeCell ref="ADE36:ADK36"/>
    <mergeCell ref="ADL36:ADR36"/>
    <mergeCell ref="ADS36:ADY36"/>
    <mergeCell ref="ADZ36:AEF36"/>
    <mergeCell ref="ABO36:ABU36"/>
    <mergeCell ref="ABV36:ACB36"/>
    <mergeCell ref="ACC36:ACI36"/>
    <mergeCell ref="ACJ36:ACP36"/>
    <mergeCell ref="ACQ36:ACW36"/>
    <mergeCell ref="AAF36:AAL36"/>
    <mergeCell ref="AAM36:AAS36"/>
    <mergeCell ref="AAT36:AAZ36"/>
    <mergeCell ref="ABA36:ABG36"/>
    <mergeCell ref="ABH36:ABN36"/>
    <mergeCell ref="YW36:ZC36"/>
    <mergeCell ref="ZD36:ZJ36"/>
    <mergeCell ref="ZK36:ZQ36"/>
    <mergeCell ref="ZR36:ZX36"/>
    <mergeCell ref="ZY36:AAE36"/>
    <mergeCell ref="XN36:XT36"/>
    <mergeCell ref="XU36:YA36"/>
    <mergeCell ref="YB36:YH36"/>
    <mergeCell ref="YI36:YO36"/>
    <mergeCell ref="YP36:YV36"/>
    <mergeCell ref="WE36:WK36"/>
    <mergeCell ref="WL36:WR36"/>
    <mergeCell ref="WS36:WY36"/>
    <mergeCell ref="WZ36:XF36"/>
    <mergeCell ref="XG36:XM36"/>
    <mergeCell ref="UV36:VB36"/>
    <mergeCell ref="VC36:VI36"/>
    <mergeCell ref="VJ36:VP36"/>
    <mergeCell ref="VQ36:VW36"/>
    <mergeCell ref="VX36:WD36"/>
    <mergeCell ref="TM36:TS36"/>
    <mergeCell ref="TT36:TZ36"/>
    <mergeCell ref="UA36:UG36"/>
    <mergeCell ref="UH36:UN36"/>
    <mergeCell ref="UO36:UU36"/>
    <mergeCell ref="SD36:SJ36"/>
    <mergeCell ref="SK36:SQ36"/>
    <mergeCell ref="SR36:SX36"/>
    <mergeCell ref="SY36:TE36"/>
    <mergeCell ref="TF36:TL36"/>
    <mergeCell ref="QU36:RA36"/>
    <mergeCell ref="RB36:RH36"/>
    <mergeCell ref="RI36:RO36"/>
    <mergeCell ref="RP36:RV36"/>
    <mergeCell ref="RW36:SC36"/>
    <mergeCell ref="PL36:PR36"/>
    <mergeCell ref="PS36:PY36"/>
    <mergeCell ref="PZ36:QF36"/>
    <mergeCell ref="QG36:QM36"/>
    <mergeCell ref="QN36:QT36"/>
    <mergeCell ref="OC36:OI36"/>
    <mergeCell ref="OJ36:OP36"/>
    <mergeCell ref="OQ36:OW36"/>
    <mergeCell ref="OX36:PD36"/>
    <mergeCell ref="PE36:PK36"/>
    <mergeCell ref="MT36:MZ36"/>
    <mergeCell ref="NA36:NG36"/>
    <mergeCell ref="NH36:NN36"/>
    <mergeCell ref="NO36:NU36"/>
    <mergeCell ref="NV36:OB36"/>
    <mergeCell ref="LK36:LQ36"/>
    <mergeCell ref="LR36:LX36"/>
    <mergeCell ref="LY36:ME36"/>
    <mergeCell ref="MF36:ML36"/>
    <mergeCell ref="MM36:MS36"/>
    <mergeCell ref="KB36:KH36"/>
    <mergeCell ref="KI36:KO36"/>
    <mergeCell ref="KP36:KV36"/>
    <mergeCell ref="KW36:LC36"/>
    <mergeCell ref="LD36:LJ36"/>
    <mergeCell ref="IS36:IY36"/>
    <mergeCell ref="IZ36:JF36"/>
    <mergeCell ref="JG36:JM36"/>
    <mergeCell ref="JN36:JT36"/>
    <mergeCell ref="JU36:KA36"/>
    <mergeCell ref="HJ36:HP36"/>
    <mergeCell ref="HQ36:HW36"/>
    <mergeCell ref="HX36:ID36"/>
    <mergeCell ref="IE36:IK36"/>
    <mergeCell ref="IL36:IR36"/>
    <mergeCell ref="GA36:GG36"/>
    <mergeCell ref="GH36:GN36"/>
    <mergeCell ref="GO36:GU36"/>
    <mergeCell ref="GV36:HB36"/>
    <mergeCell ref="HC36:HI36"/>
    <mergeCell ref="ER36:EX36"/>
    <mergeCell ref="EY36:FE36"/>
    <mergeCell ref="FF36:FL36"/>
    <mergeCell ref="FM36:FS36"/>
    <mergeCell ref="FT36:FZ36"/>
    <mergeCell ref="A47:G47"/>
    <mergeCell ref="A54:G54"/>
    <mergeCell ref="A1:G1"/>
    <mergeCell ref="A2:G2"/>
    <mergeCell ref="A5:G5"/>
    <mergeCell ref="A14:G14"/>
    <mergeCell ref="A36:G36"/>
    <mergeCell ref="DI36:DO36"/>
    <mergeCell ref="DP36:DV36"/>
    <mergeCell ref="DW36:EC36"/>
    <mergeCell ref="ED36:EJ36"/>
    <mergeCell ref="EK36:EQ36"/>
    <mergeCell ref="BZ36:CF36"/>
    <mergeCell ref="CG36:CM36"/>
    <mergeCell ref="CN36:CT36"/>
    <mergeCell ref="CU36:DA36"/>
    <mergeCell ref="DB36:DH36"/>
    <mergeCell ref="AQ36:AW36"/>
    <mergeCell ref="AX36:BD36"/>
    <mergeCell ref="BE36:BK36"/>
    <mergeCell ref="BL36:BR36"/>
    <mergeCell ref="BS36:BY36"/>
    <mergeCell ref="O36:U36"/>
    <mergeCell ref="V36:AB36"/>
    <mergeCell ref="AC36:AI36"/>
    <mergeCell ref="AJ36:AP36"/>
    <mergeCell ref="DI47:DO47"/>
    <mergeCell ref="DP47:DV47"/>
    <mergeCell ref="DW47:EC47"/>
    <mergeCell ref="ED47:EJ47"/>
    <mergeCell ref="EK47:EQ47"/>
    <mergeCell ref="BZ47:CF47"/>
  </mergeCells>
  <pageMargins left="0.7" right="0.7" top="0.75" bottom="0.75" header="0.3" footer="0.3"/>
  <pageSetup orientation="portrait"/>
  <headerFooter>
    <oddHeader>&amp;L&amp;C&amp;R</oddHeader>
    <oddFooter>&amp;L&amp;C&amp;R</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7E508-45B8-55B8-5288-9763AB9242C2}">
  <dimension ref="A1:E24"/>
  <sheetViews>
    <sheetView topLeftCell="A16" workbookViewId="0">
      <selection activeCell="C36" sqref="C36"/>
    </sheetView>
  </sheetViews>
  <sheetFormatPr baseColWidth="10" defaultColWidth="8.88671875" defaultRowHeight="15" customHeight="1"/>
  <cols>
    <col min="1" max="1" width="17.6640625" customWidth="1"/>
    <col min="2" max="2" width="47.109375" customWidth="1"/>
    <col min="3" max="3" width="25.6640625" customWidth="1"/>
    <col min="4" max="4" width="15.6640625" customWidth="1"/>
    <col min="5" max="5" width="40" customWidth="1"/>
  </cols>
  <sheetData>
    <row r="1" spans="1:5" ht="21" customHeight="1">
      <c r="A1" s="547" t="s">
        <v>759</v>
      </c>
      <c r="B1" s="541"/>
      <c r="C1" s="541"/>
      <c r="D1" s="541"/>
      <c r="E1" s="542"/>
    </row>
    <row r="2" spans="1:5" ht="18" customHeight="1">
      <c r="A2" s="548" t="s">
        <v>760</v>
      </c>
      <c r="B2" s="538"/>
      <c r="C2" s="538"/>
      <c r="D2" s="538"/>
      <c r="E2" s="539"/>
    </row>
    <row r="3" spans="1:5" ht="15" customHeight="1">
      <c r="A3" s="549" t="s">
        <v>761</v>
      </c>
      <c r="B3" s="538"/>
      <c r="C3" s="538"/>
      <c r="D3" s="538"/>
      <c r="E3" s="539"/>
    </row>
    <row r="4" spans="1:5" ht="15" customHeight="1">
      <c r="A4" s="231"/>
      <c r="E4" s="232"/>
    </row>
    <row r="5" spans="1:5" ht="15" customHeight="1">
      <c r="A5" s="233" t="s">
        <v>762</v>
      </c>
      <c r="B5" s="234" t="s">
        <v>763</v>
      </c>
      <c r="C5" s="550" t="s">
        <v>764</v>
      </c>
      <c r="D5" s="550"/>
      <c r="E5" s="235" t="s">
        <v>765</v>
      </c>
    </row>
    <row r="6" spans="1:5" ht="19.5" customHeight="1" thickBot="1">
      <c r="A6" s="236">
        <f>+C14</f>
        <v>305945222</v>
      </c>
      <c r="B6" s="143"/>
      <c r="C6" s="551"/>
      <c r="D6" s="552"/>
      <c r="E6" s="237">
        <f>+A6</f>
        <v>305945222</v>
      </c>
    </row>
    <row r="7" spans="1:5" ht="15" customHeight="1">
      <c r="A7" s="231"/>
      <c r="E7" s="232"/>
    </row>
    <row r="8" spans="1:5" ht="16.5" customHeight="1">
      <c r="A8" s="546" t="s">
        <v>766</v>
      </c>
      <c r="B8" s="457"/>
      <c r="C8" s="457"/>
      <c r="D8" s="457"/>
      <c r="E8" s="509"/>
    </row>
    <row r="9" spans="1:5" ht="16.5" customHeight="1" thickBot="1">
      <c r="A9" s="238" t="s">
        <v>767</v>
      </c>
      <c r="B9" s="144" t="s">
        <v>768</v>
      </c>
      <c r="C9" s="145" t="s">
        <v>769</v>
      </c>
      <c r="D9" s="145" t="s">
        <v>770</v>
      </c>
      <c r="E9" s="239" t="s">
        <v>771</v>
      </c>
    </row>
    <row r="10" spans="1:5" ht="15" customHeight="1">
      <c r="A10" s="240" t="s">
        <v>772</v>
      </c>
      <c r="B10" s="146" t="s">
        <v>773</v>
      </c>
      <c r="C10" s="147" cm="1">
        <f t="array" ref="C10">Presupuesto!F154</f>
        <v>14126744.775100958</v>
      </c>
      <c r="D10" s="148">
        <f>C10/$C$14</f>
        <v>4.6174098365559565E-2</v>
      </c>
      <c r="E10" s="241" t="s">
        <v>774</v>
      </c>
    </row>
    <row r="11" spans="1:5" ht="15" customHeight="1">
      <c r="A11" s="240" t="s">
        <v>775</v>
      </c>
      <c r="B11" s="146" t="s">
        <v>776</v>
      </c>
      <c r="C11" s="147" cm="1">
        <f t="array" ref="C11">Presupuesto!F155</f>
        <v>950958.00000892289</v>
      </c>
      <c r="D11" s="148">
        <f>C11/$C$14</f>
        <v>3.1082623019650325E-3</v>
      </c>
      <c r="E11" s="241" t="s">
        <v>777</v>
      </c>
    </row>
    <row r="12" spans="1:5" ht="15" customHeight="1">
      <c r="A12" s="240" t="s">
        <v>778</v>
      </c>
      <c r="B12" s="146" t="s">
        <v>779</v>
      </c>
      <c r="C12" s="147" cm="1">
        <f t="array" ref="C12">Presupuesto!F156</f>
        <v>63635387.563905977</v>
      </c>
      <c r="D12" s="148">
        <f>C12/$C$14</f>
        <v>0.20799601689450792</v>
      </c>
      <c r="E12" s="241" t="s">
        <v>780</v>
      </c>
    </row>
    <row r="13" spans="1:5" ht="15" customHeight="1">
      <c r="A13" s="240" t="s">
        <v>781</v>
      </c>
      <c r="B13" s="146" t="s">
        <v>782</v>
      </c>
      <c r="C13" s="147" cm="1">
        <f t="array" ref="C13">Presupuesto!F157</f>
        <v>227232131.66098416</v>
      </c>
      <c r="D13" s="148">
        <f>C13/$C$14</f>
        <v>0.74272162243796758</v>
      </c>
      <c r="E13" s="241" t="s">
        <v>783</v>
      </c>
    </row>
    <row r="14" spans="1:5" ht="16.5" customHeight="1" thickBot="1">
      <c r="A14" s="242" t="s">
        <v>784</v>
      </c>
      <c r="B14" s="149" t="s">
        <v>785</v>
      </c>
      <c r="C14" s="150">
        <f>SUM(C10:C13)</f>
        <v>305945222</v>
      </c>
      <c r="D14" s="151">
        <f>SUM(D10:D13)</f>
        <v>1</v>
      </c>
      <c r="E14" s="243" t="s">
        <v>786</v>
      </c>
    </row>
    <row r="15" spans="1:5" ht="15" customHeight="1" thickTop="1">
      <c r="A15" s="231"/>
      <c r="E15" s="232"/>
    </row>
    <row r="16" spans="1:5" ht="16.5" customHeight="1">
      <c r="A16" s="546" t="s">
        <v>787</v>
      </c>
      <c r="B16" s="457"/>
      <c r="C16" s="457"/>
      <c r="D16" s="457"/>
      <c r="E16" s="509"/>
    </row>
    <row r="17" spans="1:5" ht="16.5" customHeight="1" thickBot="1">
      <c r="A17" s="238" t="s">
        <v>788</v>
      </c>
      <c r="B17" s="144" t="s">
        <v>789</v>
      </c>
      <c r="C17" s="145" t="s">
        <v>790</v>
      </c>
      <c r="D17" s="145" t="s">
        <v>791</v>
      </c>
      <c r="E17" s="239" t="s">
        <v>792</v>
      </c>
    </row>
    <row r="18" spans="1:5" ht="15" customHeight="1">
      <c r="A18" s="244" t="s">
        <v>793</v>
      </c>
      <c r="B18" s="152" t="s">
        <v>794</v>
      </c>
      <c r="C18" s="153" cm="1">
        <f t="array" ref="C18">C14</f>
        <v>305945222</v>
      </c>
      <c r="D18" s="154">
        <f t="shared" ref="D18:D24" si="0">C18/$C$14</f>
        <v>1</v>
      </c>
      <c r="E18" s="245" t="s">
        <v>795</v>
      </c>
    </row>
    <row r="19" spans="1:5" ht="15" customHeight="1">
      <c r="A19" s="244" t="s">
        <v>796</v>
      </c>
      <c r="B19" s="152" t="s">
        <v>797</v>
      </c>
      <c r="C19" s="153">
        <v>0</v>
      </c>
      <c r="D19" s="154">
        <f t="shared" si="0"/>
        <v>0</v>
      </c>
      <c r="E19" s="245" t="s">
        <v>798</v>
      </c>
    </row>
    <row r="20" spans="1:5" ht="15" customHeight="1">
      <c r="A20" s="244" t="s">
        <v>799</v>
      </c>
      <c r="B20" s="152" t="s">
        <v>800</v>
      </c>
      <c r="C20" s="153">
        <v>0</v>
      </c>
      <c r="D20" s="154">
        <f t="shared" si="0"/>
        <v>0</v>
      </c>
      <c r="E20" s="245" t="s">
        <v>801</v>
      </c>
    </row>
    <row r="21" spans="1:5" ht="15" customHeight="1">
      <c r="A21" s="246" t="s">
        <v>802</v>
      </c>
      <c r="B21" s="155" t="s">
        <v>803</v>
      </c>
      <c r="C21" s="156">
        <f>SUM(C18:C20)</f>
        <v>305945222</v>
      </c>
      <c r="D21" s="157">
        <f t="shared" si="0"/>
        <v>1</v>
      </c>
      <c r="E21" s="247" t="s">
        <v>804</v>
      </c>
    </row>
    <row r="22" spans="1:5" ht="15" customHeight="1">
      <c r="A22" s="244" t="s">
        <v>171</v>
      </c>
      <c r="B22" s="152" t="s">
        <v>805</v>
      </c>
      <c r="C22" s="153">
        <v>0</v>
      </c>
      <c r="D22" s="154">
        <f t="shared" si="0"/>
        <v>0</v>
      </c>
      <c r="E22" s="245" t="s">
        <v>806</v>
      </c>
    </row>
    <row r="23" spans="1:5" ht="15" customHeight="1" thickBot="1">
      <c r="A23" s="244" t="s">
        <v>807</v>
      </c>
      <c r="B23" s="152" t="s">
        <v>808</v>
      </c>
      <c r="C23" s="153" cm="1">
        <f t="array" ref="C23">Presupuesto!F169</f>
        <v>0</v>
      </c>
      <c r="D23" s="154">
        <f t="shared" si="0"/>
        <v>0</v>
      </c>
      <c r="E23" s="245" t="s">
        <v>809</v>
      </c>
    </row>
    <row r="24" spans="1:5" ht="18" customHeight="1" thickBot="1">
      <c r="A24" s="248" t="s">
        <v>784</v>
      </c>
      <c r="B24" s="249" t="s">
        <v>810</v>
      </c>
      <c r="C24" s="250">
        <f>+C21</f>
        <v>305945222</v>
      </c>
      <c r="D24" s="251">
        <f t="shared" si="0"/>
        <v>1</v>
      </c>
      <c r="E24" s="252" t="s">
        <v>811</v>
      </c>
    </row>
  </sheetData>
  <mergeCells count="7">
    <mergeCell ref="A8:E8"/>
    <mergeCell ref="A16:E16"/>
    <mergeCell ref="A1:E1"/>
    <mergeCell ref="A2:E2"/>
    <mergeCell ref="A3:E3"/>
    <mergeCell ref="C5:D5"/>
    <mergeCell ref="C6:D6"/>
  </mergeCells>
  <pageMargins left="0.7" right="0.7" top="0.75" bottom="0.75" header="0.3" footer="0.3"/>
  <pageSetup orientation="portrait"/>
  <headerFooter>
    <oddHeader>&amp;L&amp;C&amp;R</oddHeader>
    <oddFooter>&amp;L&amp;C&amp;R</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Presupuesto</vt:lpstr>
      <vt:lpstr>Redes de Distribución</vt:lpstr>
      <vt:lpstr>Cantidades de obra </vt:lpstr>
      <vt:lpstr>Tanque almacenamiento</vt:lpstr>
      <vt:lpstr>Bocatoma</vt:lpstr>
      <vt:lpstr>Tanque Desarenador</vt:lpstr>
      <vt:lpstr>Base_Insumos</vt:lpstr>
      <vt:lpstr>Resumen_Licitacion</vt:lpstr>
      <vt:lpstr>'Cantidades de obra '!Área_de_impresión</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W C</dc:creator>
  <cp:lastModifiedBy>emanuel londoño yepes</cp:lastModifiedBy>
  <dcterms:created xsi:type="dcterms:W3CDTF">1998-11-23T21:31:17Z</dcterms:created>
  <dcterms:modified xsi:type="dcterms:W3CDTF">2026-09-24T17:35:43Z</dcterms:modified>
</cp:coreProperties>
</file>