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NTRATACION\2026\PROCESOS CONTRATACION 2026\SELECCIÓN ABREVIADA\012-2026 OBRAS ITALIA 90\"/>
    </mc:Choice>
  </mc:AlternateContent>
  <xr:revisionPtr revIDLastSave="0" documentId="13_ncr:1_{F065767F-821E-4E88-A1DE-067592019C93}" xr6:coauthVersionLast="47" xr6:coauthVersionMax="47" xr10:uidLastSave="{00000000-0000-0000-0000-000000000000}"/>
  <bookViews>
    <workbookView xWindow="-120" yWindow="-120" windowWidth="29040" windowHeight="15720" xr2:uid="{CF90A756-BDA6-4E0C-BAA9-12959EDFCD2D}"/>
  </bookViews>
  <sheets>
    <sheet name="PRESUP" sheetId="1" r:id="rId1"/>
    <sheet name="Hoja2" sheetId="2" r:id="rId2"/>
    <sheet name="ponderacion" sheetId="3" r:id="rId3"/>
    <sheet name="BIENES RELEVANTES PASO 1" sheetId="4" r:id="rId4"/>
    <sheet name="Hoja5" sheetId="5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2" hidden="1">ponderacion!$A$1:$E$1</definedName>
    <definedName name="_xlnm.Print_Area" localSheetId="0">PRESUP!$A$4:$I$83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8" i="1" l="1"/>
  <c r="H80" i="1"/>
  <c r="H79" i="1"/>
  <c r="G58" i="1" l="1"/>
  <c r="I58" i="1" s="1"/>
  <c r="G57" i="1"/>
  <c r="I57" i="1" s="1"/>
  <c r="G56" i="1"/>
  <c r="I56" i="1" s="1"/>
  <c r="G55" i="1"/>
  <c r="I55" i="1" s="1"/>
  <c r="G62" i="1"/>
  <c r="G22" i="1"/>
  <c r="G54" i="1"/>
  <c r="H54" i="1" l="1"/>
  <c r="G53" i="1" l="1"/>
  <c r="I53" i="1" s="1"/>
  <c r="I18" i="1"/>
  <c r="G17" i="1"/>
  <c r="I54" i="1" l="1"/>
  <c r="G41" i="1"/>
  <c r="L36" i="2"/>
  <c r="M36" i="2" s="1"/>
  <c r="K36" i="2"/>
  <c r="N38" i="2"/>
  <c r="N37" i="2"/>
  <c r="J32" i="2"/>
  <c r="J33" i="2"/>
  <c r="J34" i="2"/>
  <c r="J35" i="2"/>
  <c r="J31" i="2"/>
  <c r="I12" i="2"/>
  <c r="I13" i="2"/>
  <c r="I14" i="2"/>
  <c r="I15" i="2"/>
  <c r="I16" i="2"/>
  <c r="I17" i="2"/>
  <c r="I18" i="2"/>
  <c r="I20" i="2"/>
  <c r="I21" i="2"/>
  <c r="I22" i="2"/>
  <c r="I23" i="2"/>
  <c r="I24" i="2"/>
  <c r="I25" i="2"/>
  <c r="I26" i="2"/>
  <c r="I27" i="2"/>
  <c r="I29" i="2"/>
  <c r="I30" i="2"/>
  <c r="I7" i="2"/>
  <c r="N7" i="2" s="1"/>
  <c r="I9" i="2"/>
  <c r="I10" i="2"/>
  <c r="L7" i="2" l="1"/>
  <c r="M7" i="2" s="1"/>
  <c r="K7" i="2"/>
  <c r="H39" i="2"/>
  <c r="I28" i="2"/>
  <c r="D39" i="2" l="1"/>
  <c r="L73" i="1" l="1"/>
  <c r="AF45" i="3" l="1"/>
  <c r="K42" i="3"/>
  <c r="K41" i="3"/>
  <c r="I41" i="3"/>
  <c r="I42" i="3"/>
  <c r="I40" i="3"/>
  <c r="F42" i="3"/>
  <c r="F43" i="3"/>
  <c r="Z40" i="3"/>
  <c r="Z41" i="3"/>
  <c r="Z42" i="3"/>
  <c r="M42" i="3"/>
  <c r="M40" i="3"/>
  <c r="L40" i="3"/>
  <c r="K40" i="3"/>
  <c r="L42" i="3"/>
  <c r="AE42" i="3"/>
  <c r="AF41" i="3"/>
  <c r="AF40" i="3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2" i="4"/>
  <c r="E37" i="4" s="1"/>
  <c r="D37" i="4"/>
  <c r="AA38" i="3" l="1"/>
  <c r="AA47" i="3"/>
  <c r="AF47" i="3" s="1"/>
  <c r="AA42" i="3"/>
  <c r="AF42" i="3" s="1"/>
  <c r="AG42" i="3" s="1"/>
  <c r="AH42" i="3" s="1"/>
  <c r="AA44" i="3"/>
  <c r="AE44" i="3" s="1"/>
  <c r="AA46" i="3"/>
  <c r="AE46" i="3" s="1"/>
  <c r="Y43" i="3"/>
  <c r="U47" i="3"/>
  <c r="X46" i="3"/>
  <c r="W46" i="3"/>
  <c r="V44" i="3"/>
  <c r="O41" i="3"/>
  <c r="N40" i="3"/>
  <c r="M41" i="3"/>
  <c r="M43" i="3"/>
  <c r="L41" i="3"/>
  <c r="AA41" i="3" s="1"/>
  <c r="AE41" i="3" s="1"/>
  <c r="L43" i="3"/>
  <c r="K43" i="3"/>
  <c r="J41" i="3"/>
  <c r="J43" i="3"/>
  <c r="J44" i="3"/>
  <c r="P45" i="3"/>
  <c r="T46" i="3"/>
  <c r="Q46" i="3"/>
  <c r="R46" i="3"/>
  <c r="S46" i="3"/>
  <c r="I43" i="3"/>
  <c r="AA43" i="3" s="1"/>
  <c r="H45" i="3"/>
  <c r="G45" i="3"/>
  <c r="AA45" i="3" s="1"/>
  <c r="F44" i="3"/>
  <c r="E45" i="3"/>
  <c r="D40" i="3"/>
  <c r="C41" i="3"/>
  <c r="B40" i="3"/>
  <c r="AA40" i="3" s="1"/>
  <c r="AE40" i="3" s="1"/>
  <c r="H35" i="1"/>
  <c r="N32" i="2"/>
  <c r="N33" i="2"/>
  <c r="N34" i="2"/>
  <c r="N35" i="2"/>
  <c r="N36" i="2"/>
  <c r="AE45" i="3" l="1"/>
  <c r="AB45" i="3"/>
  <c r="AB43" i="3"/>
  <c r="AE43" i="3"/>
  <c r="AB47" i="3"/>
  <c r="AB46" i="3"/>
  <c r="AB44" i="3"/>
  <c r="AB42" i="3"/>
  <c r="AB40" i="3"/>
  <c r="AB41" i="3"/>
  <c r="I42" i="1"/>
  <c r="H72" i="1"/>
  <c r="H33" i="1" l="1"/>
  <c r="F39" i="2" l="1"/>
  <c r="G51" i="1" s="1"/>
  <c r="I52" i="1"/>
  <c r="C39" i="2"/>
  <c r="K18" i="2"/>
  <c r="K33" i="2"/>
  <c r="L34" i="2"/>
  <c r="M34" i="2" s="1"/>
  <c r="K35" i="2"/>
  <c r="N30" i="2"/>
  <c r="N26" i="2"/>
  <c r="N18" i="2"/>
  <c r="K30" i="2" l="1"/>
  <c r="L27" i="2"/>
  <c r="M27" i="2" s="1"/>
  <c r="N27" i="2"/>
  <c r="K31" i="2"/>
  <c r="N31" i="2"/>
  <c r="L25" i="2"/>
  <c r="M25" i="2" s="1"/>
  <c r="N25" i="2"/>
  <c r="K28" i="2"/>
  <c r="N28" i="2"/>
  <c r="L29" i="2"/>
  <c r="M29" i="2" s="1"/>
  <c r="N29" i="2"/>
  <c r="K29" i="2"/>
  <c r="J39" i="2"/>
  <c r="K27" i="2"/>
  <c r="K26" i="2"/>
  <c r="K25" i="2"/>
  <c r="K34" i="2"/>
  <c r="L30" i="2"/>
  <c r="M30" i="2" s="1"/>
  <c r="K32" i="2"/>
  <c r="L32" i="2"/>
  <c r="M32" i="2" s="1"/>
  <c r="L28" i="2"/>
  <c r="M28" i="2" s="1"/>
  <c r="L35" i="2"/>
  <c r="M35" i="2" s="1"/>
  <c r="L33" i="2"/>
  <c r="M33" i="2" s="1"/>
  <c r="L26" i="2"/>
  <c r="M26" i="2" s="1"/>
  <c r="L31" i="2"/>
  <c r="M31" i="2" s="1"/>
  <c r="L18" i="2"/>
  <c r="M18" i="2" s="1"/>
  <c r="I74" i="1" l="1"/>
  <c r="I73" i="1"/>
  <c r="I71" i="1"/>
  <c r="I70" i="1" l="1"/>
  <c r="I72" i="1" s="1"/>
  <c r="I65" i="1"/>
  <c r="I66" i="1"/>
  <c r="I67" i="1"/>
  <c r="I68" i="1"/>
  <c r="I69" i="1"/>
  <c r="I64" i="1"/>
  <c r="I62" i="1" l="1"/>
  <c r="K76" i="1" l="1"/>
  <c r="J74" i="1"/>
  <c r="K79" i="1" l="1"/>
  <c r="K80" i="1"/>
  <c r="I48" i="1"/>
  <c r="B39" i="2"/>
  <c r="N21" i="2"/>
  <c r="N22" i="2"/>
  <c r="N23" i="2"/>
  <c r="N24" i="2"/>
  <c r="L23" i="2" l="1"/>
  <c r="M23" i="2" s="1"/>
  <c r="P23" i="2" s="1"/>
  <c r="K23" i="2"/>
  <c r="L22" i="2"/>
  <c r="M22" i="2" s="1"/>
  <c r="K22" i="2"/>
  <c r="L21" i="2"/>
  <c r="M21" i="2" s="1"/>
  <c r="K21" i="2"/>
  <c r="K24" i="2"/>
  <c r="P22" i="2"/>
  <c r="I51" i="1"/>
  <c r="P21" i="2"/>
  <c r="G44" i="1"/>
  <c r="L24" i="2"/>
  <c r="M24" i="2" s="1"/>
  <c r="Q21" i="2" l="1"/>
  <c r="P24" i="2"/>
  <c r="Q24" i="2" s="1"/>
  <c r="Q22" i="2"/>
  <c r="Q23" i="2"/>
  <c r="H49" i="1" l="1"/>
  <c r="I44" i="1" l="1"/>
  <c r="I41" i="1"/>
  <c r="L30" i="1"/>
  <c r="K30" i="1"/>
  <c r="H25" i="1"/>
  <c r="I25" i="1" s="1"/>
  <c r="H28" i="1"/>
  <c r="H30" i="1"/>
  <c r="I22" i="1"/>
  <c r="I21" i="1"/>
  <c r="H17" i="1"/>
  <c r="I17" i="1" l="1"/>
  <c r="I47" i="1"/>
  <c r="I49" i="1"/>
  <c r="I11" i="2"/>
  <c r="I39" i="2" s="1"/>
  <c r="G43" i="1" s="1"/>
  <c r="G28" i="1" s="1"/>
  <c r="N13" i="2"/>
  <c r="N9" i="2"/>
  <c r="I28" i="1" l="1"/>
  <c r="K16" i="2"/>
  <c r="N16" i="2"/>
  <c r="K17" i="2"/>
  <c r="N17" i="2"/>
  <c r="K15" i="2"/>
  <c r="N15" i="2"/>
  <c r="K14" i="2"/>
  <c r="N14" i="2"/>
  <c r="K11" i="2"/>
  <c r="N11" i="2"/>
  <c r="K10" i="2"/>
  <c r="N10" i="2"/>
  <c r="K20" i="2"/>
  <c r="N20" i="2"/>
  <c r="I43" i="1"/>
  <c r="K13" i="2"/>
  <c r="L20" i="2"/>
  <c r="M20" i="2" s="1"/>
  <c r="L9" i="2"/>
  <c r="L17" i="2"/>
  <c r="M17" i="2" s="1"/>
  <c r="L16" i="2"/>
  <c r="M16" i="2" s="1"/>
  <c r="L15" i="2"/>
  <c r="M15" i="2" s="1"/>
  <c r="L13" i="2"/>
  <c r="L14" i="2"/>
  <c r="M14" i="2" s="1"/>
  <c r="L11" i="2"/>
  <c r="M11" i="2" s="1"/>
  <c r="L10" i="2"/>
  <c r="M10" i="2" s="1"/>
  <c r="K9" i="2"/>
  <c r="P17" i="2" l="1"/>
  <c r="Q17" i="2" s="1"/>
  <c r="K39" i="2"/>
  <c r="G30" i="1" s="1"/>
  <c r="G38" i="1" s="1"/>
  <c r="N39" i="2"/>
  <c r="L39" i="2"/>
  <c r="G35" i="1" s="1"/>
  <c r="M9" i="2"/>
  <c r="P20" i="2"/>
  <c r="Q20" i="2" s="1"/>
  <c r="M13" i="2"/>
  <c r="P13" i="2" s="1"/>
  <c r="Q13" i="2" s="1"/>
  <c r="P10" i="2"/>
  <c r="Q10" i="2" s="1"/>
  <c r="P15" i="2"/>
  <c r="Q15" i="2" s="1"/>
  <c r="P16" i="2"/>
  <c r="Q16" i="2" s="1"/>
  <c r="P11" i="2"/>
  <c r="Q11" i="2" s="1"/>
  <c r="P14" i="2"/>
  <c r="Q14" i="2" s="1"/>
  <c r="G33" i="1" l="1"/>
  <c r="I33" i="1" s="1"/>
  <c r="M39" i="2"/>
  <c r="G34" i="1" s="1"/>
  <c r="P9" i="2"/>
  <c r="Q9" i="2" s="1"/>
  <c r="I30" i="1"/>
  <c r="I38" i="1"/>
  <c r="I35" i="1"/>
  <c r="I34" i="1" l="1"/>
  <c r="J53" i="1" s="1"/>
  <c r="I76" i="1" l="1"/>
  <c r="I79" i="1" l="1"/>
  <c r="I80" i="1"/>
  <c r="H82" i="1" l="1"/>
  <c r="K82" i="1" l="1"/>
  <c r="I82" i="1"/>
  <c r="H78" i="1" l="1"/>
  <c r="K78" i="1" l="1"/>
  <c r="K83" i="1" s="1"/>
  <c r="I78" i="1"/>
  <c r="H81" i="1"/>
  <c r="K81" i="1" s="1"/>
  <c r="I83" i="1" l="1"/>
  <c r="I88" i="1" s="1"/>
  <c r="I81" i="1"/>
  <c r="I11" i="1" l="1"/>
  <c r="M83" i="1"/>
</calcChain>
</file>

<file path=xl/sharedStrings.xml><?xml version="1.0" encoding="utf-8"?>
<sst xmlns="http://schemas.openxmlformats.org/spreadsheetml/2006/main" count="485" uniqueCount="201">
  <si>
    <t>ALCALDIA MUNICIPAL DE GACHETA</t>
  </si>
  <si>
    <t>FECHA ACTA</t>
  </si>
  <si>
    <t>CONTRATO DE OBRA</t>
  </si>
  <si>
    <t>CONTRATANTE</t>
  </si>
  <si>
    <t>MUNICIPIO DE GACHETA</t>
  </si>
  <si>
    <t>FECHA DE INICIO</t>
  </si>
  <si>
    <t>CONDICIONES ORIGINALES</t>
  </si>
  <si>
    <t>No.</t>
  </si>
  <si>
    <t>ITEM DE PAGO</t>
  </si>
  <si>
    <t xml:space="preserve">DESCRIPCIÓN </t>
  </si>
  <si>
    <t>UN</t>
  </si>
  <si>
    <t>CANT</t>
  </si>
  <si>
    <t>V. UNITARIO</t>
  </si>
  <si>
    <t>V. PARCIAL</t>
  </si>
  <si>
    <t>GENE RAL</t>
  </si>
  <si>
    <t>PARTI CULAR</t>
  </si>
  <si>
    <t>ALCANTARILLADO SANITARIO</t>
  </si>
  <si>
    <t>ICCU</t>
  </si>
  <si>
    <t>M3</t>
  </si>
  <si>
    <t>IDU</t>
  </si>
  <si>
    <t>ml</t>
  </si>
  <si>
    <t>POZO DE INSPECCION</t>
  </si>
  <si>
    <t>un</t>
  </si>
  <si>
    <t>DESGLOSE AIU</t>
  </si>
  <si>
    <t>UTILIDAD, 5%</t>
  </si>
  <si>
    <t>"-pozo</t>
  </si>
  <si>
    <t>CANTIDADES</t>
  </si>
  <si>
    <t>POZO</t>
  </si>
  <si>
    <t>lleno material DE RECEBO</t>
  </si>
  <si>
    <t>OBJETO: ¨CONSTRUCCION DE ALCANTARILLADO PARA MANEJO DE VERTIMIENTOS SECTOR ITALIA 90</t>
  </si>
  <si>
    <t>UD</t>
  </si>
  <si>
    <t>LOCALIZACIÓN Y REPLANTEO REDES</t>
  </si>
  <si>
    <t>EPC 1.1.1</t>
  </si>
  <si>
    <t>EPC</t>
  </si>
  <si>
    <t>ML</t>
  </si>
  <si>
    <t>DEMOLICIONES, DESMONTE Y DESCAPOTE</t>
  </si>
  <si>
    <t>DEMOLICIONES</t>
  </si>
  <si>
    <t>IMPACTO URBANO</t>
  </si>
  <si>
    <t>SEÑALIZACIÓN</t>
  </si>
  <si>
    <t>3.1.3</t>
  </si>
  <si>
    <t>ML/MES</t>
  </si>
  <si>
    <t>EXCAVACIONES, NO INCLUYE CARGUE NI TRANSPORTE</t>
  </si>
  <si>
    <t>4.1.1</t>
  </si>
  <si>
    <t>DEMOLICIÓN DE ESTRUCTURAS EN CONCRETO</t>
  </si>
  <si>
    <t>4.3.1</t>
  </si>
  <si>
    <t>RELLENOS</t>
  </si>
  <si>
    <t>CON NUEVO APU</t>
  </si>
  <si>
    <t>CARGUE Y RETIRO DE SOBRANTES</t>
  </si>
  <si>
    <t>INSTALACIÓN TUBERÍA PVC U.M. ALCANTARILLADO D=8"</t>
  </si>
  <si>
    <t>INSTALACIÓN TUBERÍA PVC U.M. ALCANTARILLADO D=10"</t>
  </si>
  <si>
    <t>PLACA CUBIERTA POZO D=170CM-E=25CM--27,6MPA-4000PSI PREFABRICADO</t>
  </si>
  <si>
    <t>VERIFICAR PRECIO</t>
  </si>
  <si>
    <t>ESTRUCTURA DE PROTECCION</t>
  </si>
  <si>
    <t>IDU 2026</t>
  </si>
  <si>
    <t>CARCAMO PROTECCIÓN DE TUBERÍA Ø 8" (TIPO C) NORMA EAAB NS-090.</t>
  </si>
  <si>
    <t>CARCAMO PROTECCIÓN DE TUBERÍA Ø 10" (TIPO C) NORMA EAAB NS-090.</t>
  </si>
  <si>
    <t>TUBERIA PVC U.M. EXT CORRUGADO/INT LISO U.M. NORMA NTC 3722-1 D=6" (INCLUYE SUMINISTRO E INSTALACIÓN)</t>
  </si>
  <si>
    <t>MH1</t>
  </si>
  <si>
    <t>DIAMETRO</t>
  </si>
  <si>
    <t>8"</t>
  </si>
  <si>
    <t>MH2</t>
  </si>
  <si>
    <t>MH3</t>
  </si>
  <si>
    <t>MH4</t>
  </si>
  <si>
    <t>MH5</t>
  </si>
  <si>
    <t>MH6</t>
  </si>
  <si>
    <t>MH7</t>
  </si>
  <si>
    <t>MH8</t>
  </si>
  <si>
    <t>MH9</t>
  </si>
  <si>
    <t>MH10</t>
  </si>
  <si>
    <t>MH11</t>
  </si>
  <si>
    <t>MH12</t>
  </si>
  <si>
    <t>CARCAMO NS-90 TIPO C</t>
  </si>
  <si>
    <t>MH13</t>
  </si>
  <si>
    <t>MH14</t>
  </si>
  <si>
    <t>MH15</t>
  </si>
  <si>
    <t>10"</t>
  </si>
  <si>
    <t>TUBERIA 8"</t>
  </si>
  <si>
    <t>TUBERIA 10"</t>
  </si>
  <si>
    <t>h=1,25, a =0,7</t>
  </si>
  <si>
    <t>a=(8" - 0.17)_ (10"0.19) -0,04</t>
  </si>
  <si>
    <t>lleno gravilla e= a fondo 0.10 m hasta 1/2 tubo</t>
  </si>
  <si>
    <t>lleno arena e= a arriba 0.10 m desde 1/2 tubo</t>
  </si>
  <si>
    <t>desperdicio</t>
  </si>
  <si>
    <t>excava pozos</t>
  </si>
  <si>
    <t>8.3.2</t>
  </si>
  <si>
    <t>8.3.5</t>
  </si>
  <si>
    <t>INSTALACIÓN DE TUBERÍAS PVC U.M. (INCLUYE: TRANSPORTE LOCAL, ARREGLO FONDO ZANJA, BAJADA DE LA TUBERÍA A LA ZANJA, PRUEBAS DE ESTANQUEIDAD / HERMETICIDAD Y LIMPIEZA DE LA TUBERÍA).</t>
  </si>
  <si>
    <t>TOTAL PARCIAL AIU</t>
  </si>
  <si>
    <t>P. PROGRAMA DE IMPLEMENTACION DEL PLAN DE GESTION INTEGRAL DE OBRA (PGIO) (1 + 2 + 3)</t>
  </si>
  <si>
    <t>ADMINISTRACION</t>
  </si>
  <si>
    <t>IMPREVISTOS</t>
  </si>
  <si>
    <t>AIU=</t>
  </si>
  <si>
    <t>COSTO DIRECTO</t>
  </si>
  <si>
    <t>PRESUPUESTO DE OBRA N°1</t>
  </si>
  <si>
    <t>VALOR OBRA</t>
  </si>
  <si>
    <t>ACUEDUCTO</t>
  </si>
  <si>
    <t>EXCAVACIONES A MANO EN TIERRA  DE 0 A 2 M DE PROFUNDIDAD</t>
  </si>
  <si>
    <t>RELLENO CON MATERIAL SELECCIONADO PROCEDENTE DE LA EXCAVACIÓN</t>
  </si>
  <si>
    <t>EXCAVACIONES MANUAL EN TIERRA</t>
  </si>
  <si>
    <t>ARENA DE PEÑA PARA SOPORTE DE TUBERÍA</t>
  </si>
  <si>
    <t>TUBERIA Y ACCESORIOS</t>
  </si>
  <si>
    <t>TUBERIA PVC D=3" TIPO U.M. RDE 26 (SUMINISTRO E INSTALACIÓN)</t>
  </si>
  <si>
    <t>IDU 3233</t>
  </si>
  <si>
    <t>CODO G.RAD. PVC 22.5° TIPO U.M. D=3" (SUMINISTRO E INSTALACIÓN)</t>
  </si>
  <si>
    <t>CODO G.RAD. PVC 11.25° TIPO U.M. D=3" (SUMINISTRO E INSTALACIÓN)</t>
  </si>
  <si>
    <t>IDU 3538</t>
  </si>
  <si>
    <t>IDU 3530</t>
  </si>
  <si>
    <t>UNION DE REPARACION PVC TIPO U.M. D=3" (SUMINISTRO E INSTALACIÓN)</t>
  </si>
  <si>
    <t>IDU 4419</t>
  </si>
  <si>
    <t>ADAPTADOR TERMINAL CAMPANA PVC D=3" (SUMINISTRO E INSTALACIÓN)</t>
  </si>
  <si>
    <t>IDU 3413</t>
  </si>
  <si>
    <t>VALVULA COMPUERTA ELASTICA VASTAGO NO ASCENDENTE EXTREMO LISO D=3" (SUMINISTRO E INSTALACIÓN)</t>
  </si>
  <si>
    <t>IDU 3324</t>
  </si>
  <si>
    <t>CAJA PARA VALVULA 0.4X0.4M H=0.8M (INCLUYE MARCO Y TAPA)</t>
  </si>
  <si>
    <t>IDU 3687</t>
  </si>
  <si>
    <t xml:space="preserve">IDU 5186 </t>
  </si>
  <si>
    <t>APU 2 NUEVO</t>
  </si>
  <si>
    <t>SPSI</t>
  </si>
  <si>
    <t>TUBERIA GALVANIZADA 2" PARA ANCLAJES</t>
  </si>
  <si>
    <t>CONCRETO 2500 PSI HECHO EN OBRA PARA REDES (SUMINISTRO Y COLOCACIÓN)(ANCLAJES)</t>
  </si>
  <si>
    <t>IDU 3203</t>
  </si>
  <si>
    <t>IDU 5249</t>
  </si>
  <si>
    <t>APU 3 NUEVO</t>
  </si>
  <si>
    <r>
      <rPr>
        <sz val="8"/>
        <rFont val="Calibri"/>
        <family val="2"/>
      </rPr>
      <t>6.1.1</t>
    </r>
  </si>
  <si>
    <r>
      <rPr>
        <sz val="8"/>
        <rFont val="Calibri"/>
        <family val="2"/>
      </rPr>
      <t>2.1.1</t>
    </r>
  </si>
  <si>
    <t>REDES DE ALCANTARILLADO DE AGUAS RESIDUALES Y AGUAS LLUVIAS</t>
  </si>
  <si>
    <t>RECEBO COMÚN COMPACTADO MECÁNICAMENTE</t>
  </si>
  <si>
    <t>ARENA DE PEÑA PARA SOPORTE DE TUBERÍA</t>
  </si>
  <si>
    <t>EXCAVACIÓN MECÁNICA A  CUALQUIER PROFUNDIDAD</t>
  </si>
  <si>
    <t>EXCAVACIONES A MANO EN TIERRA  DE 0 A 2 M DE PROFUNDIDAD</t>
  </si>
  <si>
    <t>SEÑALIZACIÓN Y AISLAMIENTO DE ÁREAS DE TRABAJO, INCLUYE CINTA DE SEGURIDAD, POSTES TUBULARES, CONOS GUIA, SEÑALES PREVENTIVAS Y REGLAMENTARIAS</t>
  </si>
  <si>
    <t>CILINDRO PARA POZO DE INSPECCIÓN Ø1.20 M., E=25 CM, EN LADRILLO RECOCIDO, INCLUYE PAÑETE Y PASOS EN ACERO 3/4"</t>
  </si>
  <si>
    <t>EXCAVACIÓN MECÁNICA A CUALǪUIER PROFUNDIDAD</t>
  </si>
  <si>
    <t>CARGUE Y RETIRO DE SOBRANTES (HASTA 5 KM) INCLUYE DERECHOS DE BOTADERO</t>
  </si>
  <si>
    <t>BASE PARA POZO D=170CM  E=20CM (INCLUYE RECEBO Y CAÑUELA</t>
  </si>
  <si>
    <t>DEMOLICIÓN DE PAVIMENTO FLEXIBLE (INCLUYE CORTE A MÁQUINA 2 COSTADOS</t>
  </si>
  <si>
    <t>IDU 4611</t>
  </si>
  <si>
    <t>IDU 4612</t>
  </si>
  <si>
    <t>MH16</t>
  </si>
  <si>
    <t>MH17</t>
  </si>
  <si>
    <t>MH18</t>
  </si>
  <si>
    <t>MH19</t>
  </si>
  <si>
    <t>MH20</t>
  </si>
  <si>
    <t>MH21</t>
  </si>
  <si>
    <t>MH22</t>
  </si>
  <si>
    <t xml:space="preserve">Excavación </t>
  </si>
  <si>
    <t>ACOMETIDA DOMICILIARIA DE 1/2" CON COLLAR DE DERIVACION DE 4" X 1/2". SUMINISTRO E INSTALACION. (INCLUYE TUBERIA PF, REGISTROS Y ACCESORIOS EN PVC, LONGITUD PROMEDIO DE 6.5M, INCLUYE CAJILLA EN POLIPROPILENO PARA MEDIDOR)</t>
  </si>
  <si>
    <r>
      <t>ACOMETIDA DOMICILIARIA DE 1/2" CON COLLAR DE DERIVACION DE 4" X 1/2". SUMINISTRO E INSTALACION. (INCLUYE TUBERIA PF, REGISTROS Y ACCESORIOS EN PVC, LONGITUD PROMEDIO DE 6.5M,</t>
    </r>
    <r>
      <rPr>
        <b/>
        <sz val="8"/>
        <rFont val="Arial"/>
        <family val="2"/>
      </rPr>
      <t xml:space="preserve"> (SIN CAJILLA EN POLIPROPILENO PARA MEDIDOR)</t>
    </r>
  </si>
  <si>
    <t>CAJA DE INSPECCIÓN DE 60X60</t>
  </si>
  <si>
    <t>ICCU - ALCALDIA</t>
  </si>
  <si>
    <t>RELLENO TIPO 1 "GRAVILLA" + 50% areana de rio</t>
  </si>
  <si>
    <t>EPC-ALCALDIA</t>
  </si>
  <si>
    <t>5.2.1- GRAVILLA</t>
  </si>
  <si>
    <t>5.1.6 ARENA BOGOTA</t>
  </si>
  <si>
    <t>AGREGADO GRUESO</t>
  </si>
  <si>
    <t>TUBERIA PVC</t>
  </si>
  <si>
    <t>ACOMETIDA DOMICILIARIA DE 1/2" CON COLLAR DE DERIVACION DE 4" X 1/2". SUMINISTRO E INSTALACION. (INCLUYE TUBERIA PF, REGISTROS Y ACCESORIOS EN PVC, LONGITUD PROMEDIO DE 6.5M, (SIN CAJILLA EN POLIPROPILENO PARA MEDIDOR)</t>
  </si>
  <si>
    <t>CEMENTO</t>
  </si>
  <si>
    <t>ACERO</t>
  </si>
  <si>
    <t>ACCESORIOS PVC</t>
  </si>
  <si>
    <t>AGREGADO FINO</t>
  </si>
  <si>
    <t>LADRILLO MACIZO</t>
  </si>
  <si>
    <t>VALVULAS</t>
  </si>
  <si>
    <t>UNIDADES</t>
  </si>
  <si>
    <t>m3</t>
  </si>
  <si>
    <t>KG</t>
  </si>
  <si>
    <t>m2</t>
  </si>
  <si>
    <t>ud</t>
  </si>
  <si>
    <t>DESCRIPCION</t>
  </si>
  <si>
    <t>CANTIDAD</t>
  </si>
  <si>
    <t>ESPECIFICACIONES</t>
  </si>
  <si>
    <t>MN-1</t>
  </si>
  <si>
    <t>POZOS CARGHES Y PLACA DE FONDO</t>
  </si>
  <si>
    <t>MN-5</t>
  </si>
  <si>
    <t>HD 14"</t>
  </si>
  <si>
    <t>CABEZAL DE DESCARGA</t>
  </si>
  <si>
    <t>MANIJAS ADIC.</t>
  </si>
  <si>
    <t>ACERO CABEZAL</t>
  </si>
  <si>
    <t>CONCRETO 3000 PSI CABEZAL</t>
  </si>
  <si>
    <t>MN-2</t>
  </si>
  <si>
    <t>MN-3</t>
  </si>
  <si>
    <t>CARCAMO PROTECCIÓN DE TUBERÍA Ø 8" (TIPO PLACA) NORMA EAAB NS-090.</t>
  </si>
  <si>
    <t>CARCAMO PROTECCIÓN DE TUBERÍA Ø 10" (TIPO PLACA) NORMA EAAB NS-090.</t>
  </si>
  <si>
    <t xml:space="preserve">Descapote manual y retiro e= 0.20 m Apile a 15 m </t>
  </si>
  <si>
    <t>M2</t>
  </si>
  <si>
    <t>Tubo en acerro al carbono SCH 80, de 350 mm de diámetro nominal. El precio incluye los equipos y la maquinaria necesarios para el desplazamiento y la disposición en obra de los elementos.</t>
  </si>
  <si>
    <t>PLACA DE FONDO POZO D=1.7M, E=0.25M (CONCRETO 3000 PSI CON REFUERZO)</t>
  </si>
  <si>
    <t>CILINDRO PARA POZO DE INSPECCIÓN Ø1.20 M., E=25 CM, EN LADRILLO RECOCIDO, INCLUYE PAÑETE (INTERNO, EXTERNO)  GEOTEXTIL Y PASOS EN ACERO 3/4"</t>
  </si>
  <si>
    <t>CONCRETO CICLÓPEO CLASE G, 2000 PSI 40% RAJÓN PARA BASES</t>
  </si>
  <si>
    <t>ICCU 4.25</t>
  </si>
  <si>
    <t>CONCRETO CLASE E, 2500 PSI PARA BASES</t>
  </si>
  <si>
    <t>CONCRETO CLASE E, 2500 PSI PARA ELEVACIONES</t>
  </si>
  <si>
    <t>ICCU 4.29</t>
  </si>
  <si>
    <t>ICCU 4.30</t>
  </si>
  <si>
    <t>INVIAS 630</t>
  </si>
  <si>
    <t>SUMINISTRO FIGURADO Y ARMADO DE ACERO DE REFUERZO 60000 PSI</t>
  </si>
  <si>
    <t>ICCU 4.52</t>
  </si>
  <si>
    <t>INVIAS 640.1</t>
  </si>
  <si>
    <t>PLAZO: 2.5 MESES</t>
  </si>
  <si>
    <t>6"</t>
  </si>
  <si>
    <r>
      <t>PLACA CUBIERTA POZO D=170CM-</t>
    </r>
    <r>
      <rPr>
        <b/>
        <sz val="8"/>
        <color theme="1"/>
        <rFont val="Arial"/>
        <family val="2"/>
      </rPr>
      <t>E=25CM</t>
    </r>
    <r>
      <rPr>
        <sz val="8"/>
        <color theme="1"/>
        <rFont val="Arial"/>
        <family val="2"/>
      </rPr>
      <t>--27,6MPA-4000PSI PREFABRICADO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</si>
</sst>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&quot;$&quot;#,##0.00"/>
    <numFmt numFmtId="165" formatCode="&quot;$&quot;#,##0.00;[Red]\-&quot;$&quot;#,##0.00"/>
    <numFmt numFmtId="166" formatCode="&quot;$&quot;#,##0"/>
    <numFmt numFmtId="167" formatCode="&quot;$&quot;\ #,##0.00"/>
    <numFmt numFmtId="168" formatCode="0.0"/>
    <numFmt numFmtId="169" formatCode="_-&quot;$&quot;\ * #.##0.00_-;\-&quot;$&quot;\ * #.##0.00_-;_-&quot;$&quot;\ * &quot;-&quot;??_-;_-@_-"/>
    <numFmt numFmtId="170" formatCode="&quot;$&quot;\ #\,###\,##0;\-&quot;$&quot;\ #.##0.00"/>
    <numFmt numFmtId="171" formatCode="0.00;[Red]0.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</font>
    <font>
      <sz val="6"/>
      <name val="Arial"/>
      <family val="2"/>
    </font>
    <font>
      <sz val="8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5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6" fillId="0" borderId="0"/>
    <xf numFmtId="169" fontId="16" fillId="0" borderId="0" applyFont="0" applyFill="0" applyBorder="0" applyAlignment="0" applyProtection="0"/>
  </cellStyleXfs>
  <cellXfs count="27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4" fillId="0" borderId="8" xfId="0" applyFont="1" applyBorder="1" applyAlignment="1">
      <alignment horizontal="left" vertical="center"/>
    </xf>
    <xf numFmtId="3" fontId="4" fillId="0" borderId="12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right" vertical="center"/>
    </xf>
    <xf numFmtId="165" fontId="0" fillId="0" borderId="0" xfId="0" applyNumberFormat="1"/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2" fontId="8" fillId="0" borderId="11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9" fontId="0" fillId="0" borderId="0" xfId="0" applyNumberFormat="1"/>
    <xf numFmtId="1" fontId="4" fillId="0" borderId="31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vertical="center" wrapText="1"/>
    </xf>
    <xf numFmtId="167" fontId="10" fillId="0" borderId="21" xfId="0" applyNumberFormat="1" applyFont="1" applyBorder="1" applyAlignment="1">
      <alignment horizontal="center" vertical="center" wrapText="1"/>
    </xf>
    <xf numFmtId="164" fontId="9" fillId="0" borderId="24" xfId="0" applyNumberFormat="1" applyFont="1" applyBorder="1" applyAlignment="1">
      <alignment horizontal="right" vertical="center"/>
    </xf>
    <xf numFmtId="167" fontId="10" fillId="0" borderId="19" xfId="0" applyNumberFormat="1" applyFont="1" applyBorder="1" applyAlignment="1">
      <alignment horizontal="right" vertical="center"/>
    </xf>
    <xf numFmtId="0" fontId="4" fillId="0" borderId="32" xfId="0" applyFont="1" applyBorder="1" applyAlignment="1">
      <alignment vertical="center" wrapText="1"/>
    </xf>
    <xf numFmtId="0" fontId="0" fillId="0" borderId="11" xfId="0" applyBorder="1"/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33" xfId="0" applyBorder="1"/>
    <xf numFmtId="0" fontId="1" fillId="0" borderId="26" xfId="0" applyFont="1" applyBorder="1"/>
    <xf numFmtId="0" fontId="0" fillId="0" borderId="35" xfId="0" applyBorder="1" applyAlignment="1">
      <alignment horizontal="center"/>
    </xf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24" xfId="0" applyBorder="1"/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11" xfId="0" applyNumberFormat="1" applyBorder="1"/>
    <xf numFmtId="0" fontId="2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170" fontId="4" fillId="0" borderId="31" xfId="2" applyNumberFormat="1" applyFont="1" applyBorder="1" applyAlignment="1">
      <alignment horizontal="center" vertical="center"/>
    </xf>
    <xf numFmtId="2" fontId="7" fillId="0" borderId="22" xfId="0" applyNumberFormat="1" applyFont="1" applyBorder="1" applyAlignment="1">
      <alignment horizontal="center" vertical="center"/>
    </xf>
    <xf numFmtId="0" fontId="2" fillId="0" borderId="11" xfId="0" applyFont="1" applyBorder="1"/>
    <xf numFmtId="164" fontId="9" fillId="0" borderId="31" xfId="0" applyNumberFormat="1" applyFont="1" applyBorder="1" applyAlignment="1">
      <alignment horizontal="right" vertical="center"/>
    </xf>
    <xf numFmtId="0" fontId="0" fillId="0" borderId="20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30" xfId="0" applyBorder="1" applyAlignment="1">
      <alignment horizontal="center" wrapText="1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0" fontId="0" fillId="0" borderId="9" xfId="0" applyBorder="1"/>
    <xf numFmtId="2" fontId="0" fillId="0" borderId="9" xfId="0" applyNumberFormat="1" applyBorder="1"/>
    <xf numFmtId="2" fontId="0" fillId="0" borderId="31" xfId="0" applyNumberFormat="1" applyBorder="1"/>
    <xf numFmtId="2" fontId="0" fillId="0" borderId="0" xfId="0" applyNumberFormat="1"/>
    <xf numFmtId="2" fontId="1" fillId="0" borderId="26" xfId="0" applyNumberFormat="1" applyFont="1" applyBorder="1"/>
    <xf numFmtId="2" fontId="2" fillId="0" borderId="11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2" fontId="2" fillId="0" borderId="26" xfId="0" applyNumberFormat="1" applyFont="1" applyBorder="1" applyAlignment="1">
      <alignment horizontal="center" vertical="center"/>
    </xf>
    <xf numFmtId="170" fontId="4" fillId="0" borderId="38" xfId="2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2" fontId="7" fillId="0" borderId="26" xfId="0" applyNumberFormat="1" applyFont="1" applyBorder="1" applyAlignment="1">
      <alignment horizontal="center" vertical="center"/>
    </xf>
    <xf numFmtId="164" fontId="7" fillId="0" borderId="26" xfId="0" applyNumberFormat="1" applyFont="1" applyBorder="1" applyAlignment="1">
      <alignment horizontal="right" vertical="center"/>
    </xf>
    <xf numFmtId="0" fontId="10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2" fillId="0" borderId="37" xfId="0" applyFont="1" applyBorder="1"/>
    <xf numFmtId="2" fontId="7" fillId="0" borderId="37" xfId="0" applyNumberFormat="1" applyFont="1" applyBorder="1" applyAlignment="1">
      <alignment horizontal="center" vertical="center"/>
    </xf>
    <xf numFmtId="164" fontId="7" fillId="0" borderId="37" xfId="0" applyNumberFormat="1" applyFont="1" applyBorder="1" applyAlignment="1">
      <alignment horizontal="right" vertical="center"/>
    </xf>
    <xf numFmtId="164" fontId="9" fillId="0" borderId="38" xfId="0" applyNumberFormat="1" applyFont="1" applyBorder="1" applyAlignment="1">
      <alignment horizontal="right" vertical="center"/>
    </xf>
    <xf numFmtId="3" fontId="0" fillId="0" borderId="0" xfId="0" applyNumberFormat="1"/>
    <xf numFmtId="0" fontId="10" fillId="0" borderId="3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4" fontId="7" fillId="0" borderId="37" xfId="0" applyNumberFormat="1" applyFont="1" applyBorder="1" applyAlignment="1">
      <alignment horizontal="center" vertical="center" wrapText="1"/>
    </xf>
    <xf numFmtId="4" fontId="7" fillId="0" borderId="26" xfId="0" applyNumberFormat="1" applyFont="1" applyBorder="1" applyAlignment="1">
      <alignment horizontal="center" vertical="center" wrapText="1"/>
    </xf>
    <xf numFmtId="167" fontId="10" fillId="0" borderId="21" xfId="0" applyNumberFormat="1" applyFont="1" applyBorder="1" applyAlignment="1">
      <alignment vertical="center" wrapText="1"/>
    </xf>
    <xf numFmtId="167" fontId="10" fillId="0" borderId="21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0" fillId="0" borderId="37" xfId="0" applyBorder="1"/>
    <xf numFmtId="0" fontId="0" fillId="0" borderId="26" xfId="0" applyBorder="1"/>
    <xf numFmtId="0" fontId="7" fillId="0" borderId="2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167" fontId="7" fillId="0" borderId="19" xfId="0" applyNumberFormat="1" applyFont="1" applyBorder="1" applyAlignment="1">
      <alignment vertical="center"/>
    </xf>
    <xf numFmtId="167" fontId="9" fillId="0" borderId="21" xfId="0" applyNumberFormat="1" applyFont="1" applyBorder="1" applyAlignment="1">
      <alignment vertical="center" wrapText="1"/>
    </xf>
    <xf numFmtId="167" fontId="7" fillId="0" borderId="21" xfId="0" applyNumberFormat="1" applyFont="1" applyBorder="1" applyAlignment="1">
      <alignment vertical="center" wrapText="1"/>
    </xf>
    <xf numFmtId="167" fontId="4" fillId="0" borderId="31" xfId="0" applyNumberFormat="1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" fontId="7" fillId="0" borderId="15" xfId="0" applyNumberFormat="1" applyFont="1" applyBorder="1" applyAlignment="1">
      <alignment horizontal="center" vertical="center" wrapText="1"/>
    </xf>
    <xf numFmtId="164" fontId="9" fillId="0" borderId="19" xfId="0" applyNumberFormat="1" applyFont="1" applyBorder="1" applyAlignment="1">
      <alignment horizontal="right" vertical="center"/>
    </xf>
    <xf numFmtId="2" fontId="2" fillId="0" borderId="37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wrapText="1"/>
    </xf>
    <xf numFmtId="0" fontId="10" fillId="0" borderId="37" xfId="0" applyFont="1" applyBorder="1" applyAlignment="1">
      <alignment horizontal="center" wrapText="1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4" fillId="0" borderId="37" xfId="0" applyFont="1" applyBorder="1" applyAlignment="1">
      <alignment horizontal="right" vertical="center"/>
    </xf>
    <xf numFmtId="0" fontId="2" fillId="0" borderId="37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166" fontId="7" fillId="0" borderId="11" xfId="0" applyNumberFormat="1" applyFont="1" applyBorder="1" applyAlignment="1">
      <alignment horizontal="right" vertical="center"/>
    </xf>
    <xf numFmtId="2" fontId="7" fillId="0" borderId="37" xfId="0" applyNumberFormat="1" applyFont="1" applyBorder="1" applyAlignment="1">
      <alignment horizontal="right" vertical="center"/>
    </xf>
    <xf numFmtId="166" fontId="7" fillId="0" borderId="37" xfId="0" applyNumberFormat="1" applyFont="1" applyBorder="1" applyAlignment="1">
      <alignment horizontal="right" vertical="center"/>
    </xf>
    <xf numFmtId="166" fontId="7" fillId="0" borderId="15" xfId="0" applyNumberFormat="1" applyFont="1" applyBorder="1" applyAlignment="1">
      <alignment horizontal="right" vertical="center"/>
    </xf>
    <xf numFmtId="10" fontId="9" fillId="0" borderId="17" xfId="0" applyNumberFormat="1" applyFont="1" applyBorder="1" applyAlignment="1">
      <alignment horizontal="right" vertical="center"/>
    </xf>
    <xf numFmtId="9" fontId="9" fillId="0" borderId="17" xfId="3" applyFont="1" applyBorder="1" applyAlignment="1">
      <alignment horizontal="right" vertical="center" wrapText="1"/>
    </xf>
    <xf numFmtId="9" fontId="7" fillId="0" borderId="17" xfId="3" applyFont="1" applyBorder="1" applyAlignment="1">
      <alignment horizontal="right" vertical="center" wrapText="1"/>
    </xf>
    <xf numFmtId="10" fontId="11" fillId="0" borderId="29" xfId="0" applyNumberFormat="1" applyFont="1" applyBorder="1" applyAlignment="1">
      <alignment horizontal="right" vertical="center"/>
    </xf>
    <xf numFmtId="10" fontId="7" fillId="0" borderId="29" xfId="0" applyNumberFormat="1" applyFont="1" applyBorder="1" applyAlignment="1">
      <alignment horizontal="right" vertical="center" wrapText="1"/>
    </xf>
    <xf numFmtId="164" fontId="2" fillId="0" borderId="11" xfId="2" applyNumberFormat="1" applyFont="1" applyBorder="1" applyAlignment="1">
      <alignment horizontal="right" vertical="center"/>
    </xf>
    <xf numFmtId="0" fontId="2" fillId="0" borderId="2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/>
    </xf>
    <xf numFmtId="0" fontId="2" fillId="0" borderId="26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2" fillId="0" borderId="11" xfId="0" applyFont="1" applyBorder="1" applyAlignment="1">
      <alignment horizontal="justify" vertical="center"/>
    </xf>
    <xf numFmtId="0" fontId="4" fillId="0" borderId="37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justify" vertical="center" wrapText="1"/>
    </xf>
    <xf numFmtId="0" fontId="7" fillId="0" borderId="26" xfId="0" applyFont="1" applyBorder="1" applyAlignment="1">
      <alignment horizontal="justify" vertical="center" wrapText="1"/>
    </xf>
    <xf numFmtId="0" fontId="10" fillId="0" borderId="37" xfId="0" applyFont="1" applyBorder="1" applyAlignment="1">
      <alignment horizontal="justify" vertical="center" wrapText="1"/>
    </xf>
    <xf numFmtId="0" fontId="2" fillId="0" borderId="22" xfId="0" applyFont="1" applyBorder="1" applyAlignment="1">
      <alignment horizontal="justify" vertical="center" wrapText="1"/>
    </xf>
    <xf numFmtId="164" fontId="2" fillId="0" borderId="22" xfId="2" applyNumberFormat="1" applyFont="1" applyBorder="1" applyAlignment="1">
      <alignment horizontal="right" vertical="center"/>
    </xf>
    <xf numFmtId="164" fontId="2" fillId="0" borderId="26" xfId="2" applyNumberFormat="1" applyFont="1" applyBorder="1" applyAlignment="1">
      <alignment horizontal="right" vertical="center"/>
    </xf>
    <xf numFmtId="0" fontId="7" fillId="0" borderId="18" xfId="0" applyFont="1" applyBorder="1" applyAlignment="1">
      <alignment horizontal="justify" vertical="center" wrapText="1"/>
    </xf>
    <xf numFmtId="0" fontId="0" fillId="0" borderId="41" xfId="0" applyBorder="1" applyAlignment="1">
      <alignment horizontal="center" wrapText="1"/>
    </xf>
    <xf numFmtId="0" fontId="0" fillId="0" borderId="25" xfId="0" applyBorder="1"/>
    <xf numFmtId="2" fontId="0" fillId="0" borderId="25" xfId="0" applyNumberFormat="1" applyBorder="1"/>
    <xf numFmtId="0" fontId="0" fillId="0" borderId="25" xfId="0" applyBorder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0" fillId="0" borderId="0" xfId="0" applyNumberFormat="1"/>
    <xf numFmtId="169" fontId="0" fillId="0" borderId="0" xfId="0" applyNumberFormat="1"/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44" fontId="0" fillId="2" borderId="0" xfId="2" applyFont="1" applyFill="1" applyAlignment="1">
      <alignment horizontal="center" vertical="center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44" fontId="0" fillId="3" borderId="0" xfId="2" applyFont="1" applyFill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44" fontId="0" fillId="0" borderId="0" xfId="2" applyFont="1"/>
    <xf numFmtId="10" fontId="0" fillId="0" borderId="0" xfId="3" applyNumberFormat="1" applyFont="1"/>
    <xf numFmtId="171" fontId="0" fillId="0" borderId="0" xfId="2" applyNumberFormat="1" applyFont="1"/>
    <xf numFmtId="164" fontId="0" fillId="0" borderId="0" xfId="0" applyNumberFormat="1"/>
    <xf numFmtId="164" fontId="11" fillId="0" borderId="31" xfId="0" applyNumberFormat="1" applyFont="1" applyBorder="1" applyAlignment="1">
      <alignment horizontal="right" vertical="center"/>
    </xf>
    <xf numFmtId="164" fontId="11" fillId="0" borderId="34" xfId="0" applyNumberFormat="1" applyFont="1" applyBorder="1" applyAlignment="1">
      <alignment horizontal="right" vertical="center"/>
    </xf>
    <xf numFmtId="164" fontId="11" fillId="0" borderId="38" xfId="0" applyNumberFormat="1" applyFont="1" applyBorder="1" applyAlignment="1">
      <alignment horizontal="right" vertical="center"/>
    </xf>
    <xf numFmtId="164" fontId="11" fillId="0" borderId="32" xfId="0" applyNumberFormat="1" applyFont="1" applyBorder="1" applyAlignment="1">
      <alignment horizontal="right" vertical="center"/>
    </xf>
    <xf numFmtId="164" fontId="4" fillId="0" borderId="31" xfId="0" applyNumberFormat="1" applyFont="1" applyBorder="1" applyAlignment="1">
      <alignment horizontal="right" vertical="center"/>
    </xf>
    <xf numFmtId="167" fontId="21" fillId="0" borderId="19" xfId="0" applyNumberFormat="1" applyFont="1" applyBorder="1" applyAlignment="1">
      <alignment horizontal="right" vertical="center"/>
    </xf>
    <xf numFmtId="167" fontId="21" fillId="0" borderId="21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justify" vertical="center" wrapText="1"/>
    </xf>
    <xf numFmtId="4" fontId="7" fillId="0" borderId="25" xfId="0" applyNumberFormat="1" applyFont="1" applyBorder="1" applyAlignment="1">
      <alignment horizontal="center" vertical="center" wrapText="1"/>
    </xf>
    <xf numFmtId="164" fontId="7" fillId="0" borderId="25" xfId="0" applyNumberFormat="1" applyFont="1" applyBorder="1" applyAlignment="1">
      <alignment horizontal="right" vertical="center"/>
    </xf>
    <xf numFmtId="0" fontId="22" fillId="0" borderId="20" xfId="0" applyFont="1" applyBorder="1" applyAlignment="1">
      <alignment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0" fontId="2" fillId="0" borderId="43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justify" vertical="center"/>
    </xf>
    <xf numFmtId="0" fontId="2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7" fontId="4" fillId="0" borderId="34" xfId="0" applyNumberFormat="1" applyFont="1" applyBorder="1" applyAlignment="1">
      <alignment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wrapText="1"/>
    </xf>
    <xf numFmtId="0" fontId="7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justify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justify" vertical="center" wrapText="1"/>
    </xf>
    <xf numFmtId="4" fontId="7" fillId="0" borderId="22" xfId="0" applyNumberFormat="1" applyFont="1" applyBorder="1" applyAlignment="1">
      <alignment horizontal="center" vertical="center" wrapText="1"/>
    </xf>
    <xf numFmtId="166" fontId="7" fillId="0" borderId="22" xfId="0" applyNumberFormat="1" applyFont="1" applyBorder="1" applyAlignment="1">
      <alignment horizontal="right" vertical="center"/>
    </xf>
    <xf numFmtId="164" fontId="2" fillId="0" borderId="11" xfId="2" applyNumberFormat="1" applyFont="1" applyFill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68" fontId="9" fillId="0" borderId="11" xfId="0" applyNumberFormat="1" applyFont="1" applyBorder="1" applyAlignment="1">
      <alignment horizontal="center" shrinkToFit="1"/>
    </xf>
    <xf numFmtId="0" fontId="7" fillId="0" borderId="41" xfId="0" applyFont="1" applyBorder="1" applyAlignment="1">
      <alignment horizontal="center" vertical="center" wrapText="1"/>
    </xf>
    <xf numFmtId="2" fontId="7" fillId="0" borderId="30" xfId="0" applyNumberFormat="1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2" fontId="8" fillId="0" borderId="43" xfId="0" applyNumberFormat="1" applyFont="1" applyBorder="1" applyAlignment="1">
      <alignment horizontal="center" vertical="center"/>
    </xf>
    <xf numFmtId="4" fontId="7" fillId="0" borderId="43" xfId="0" applyNumberFormat="1" applyFont="1" applyBorder="1" applyAlignment="1">
      <alignment horizontal="center" vertical="center" wrapText="1"/>
    </xf>
    <xf numFmtId="166" fontId="7" fillId="0" borderId="43" xfId="0" applyNumberFormat="1" applyFont="1" applyBorder="1" applyAlignment="1">
      <alignment horizontal="right" vertical="center"/>
    </xf>
    <xf numFmtId="167" fontId="2" fillId="0" borderId="0" xfId="0" applyNumberFormat="1" applyFont="1"/>
    <xf numFmtId="49" fontId="13" fillId="0" borderId="13" xfId="0" applyNumberFormat="1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 wrapText="1"/>
    </xf>
    <xf numFmtId="49" fontId="13" fillId="0" borderId="12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11" fillId="0" borderId="29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4" fontId="13" fillId="0" borderId="9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3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7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justify" vertical="center"/>
    </xf>
    <xf numFmtId="0" fontId="4" fillId="0" borderId="25" xfId="0" applyFont="1" applyBorder="1" applyAlignment="1">
      <alignment horizontal="justify" vertical="center"/>
    </xf>
    <xf numFmtId="0" fontId="0" fillId="0" borderId="0" xfId="0" applyAlignment="1">
      <alignment horizontal="center"/>
    </xf>
  </cellXfs>
  <cellStyles count="6">
    <cellStyle name="Moneda" xfId="2" builtinId="4"/>
    <cellStyle name="Moneda 4 2" xfId="5" xr:uid="{C0C99E87-1F9B-4071-A864-0010575F69EC}"/>
    <cellStyle name="Normal" xfId="0" builtinId="0"/>
    <cellStyle name="Normal 11" xfId="4" xr:uid="{4786BE2A-C4EA-4261-96E3-B0CF6FE1AB3E}"/>
    <cellStyle name="Normal 2 10" xfId="1" xr:uid="{E7F299ED-41F1-422E-B860-F095388DDAF9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126518</xdr:colOff>
      <xdr:row>3</xdr:row>
      <xdr:rowOff>133351</xdr:rowOff>
    </xdr:from>
    <xdr:to>
      <xdr:col>3</xdr:col>
      <xdr:colOff>97936</xdr:colOff>
      <xdr:row>9</xdr:row>
      <xdr:rowOff>160535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9DDB74-FAEE-4AFE-980F-59D77871E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518" y="529334"/>
          <a:ext cx="1495781" cy="11509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AppData\Local\Temp\Rar$DIa71036.47375\CantItalia.xlsx" TargetMode="External"/><Relationship Id="rId1" Type="http://schemas.openxmlformats.org/officeDocument/2006/relationships/externalLinkPath" Target="file:///C:\Users\Usuario\AppData\Local\Temp\Rar$DIa71036.47375\CantItali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cuments\CARTILLA-GUAVIO.xlsx" TargetMode="External"/><Relationship Id="rId1" Type="http://schemas.openxmlformats.org/officeDocument/2006/relationships/externalLinkPath" Target="file:///C:\Users\Usuario\Documents\CARTILLA-GUAVIO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ECPLANEACION\Planeaci&#243;n\A&#209;O%202026\CONTRATACION\CONTRATOS%20VARIANTE%20DE%20GACHETA%202026\Copia%20de%20APUs-EPC-2026_Feb%20(1)PRESUPUESTO%20(1).xlsx" TargetMode="External"/><Relationship Id="rId1" Type="http://schemas.openxmlformats.org/officeDocument/2006/relationships/externalLinkPath" Target="file:///\\SECPLANEACION\Planeaci&#243;n\A&#209;O%202026\CONTRATACION\CONTRATOS%20VARIANTE%20DE%20GACHETA%202026\Copia%20de%20APUs-EPC-2026_Feb%20(1)PRESUPUESTO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wnloads\IUA010_0_8_0.xlsx" TargetMode="External"/><Relationship Id="rId1" Type="http://schemas.openxmlformats.org/officeDocument/2006/relationships/externalLinkPath" Target="file:///C:\Users\Usuario\Downloads\IUA010_0_8_0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ECPLANEACION\Planeaci&#243;n\A&#209;O%202026\CONTRATACION\CONTRATOS%20VARIANTE%20DE%20GACHETA%202026\LICITACION\MENOR%20CUANTIA\AIU%20+%20PGIO%20DEFINITIVOMENOR%20CUANTIA%203-08-2026.xlsx" TargetMode="External"/><Relationship Id="rId1" Type="http://schemas.openxmlformats.org/officeDocument/2006/relationships/externalLinkPath" Target="file:///C:\Users\arqma\OneDrive\Desktop\ADMINISTRACI&#211;N%20MUNICIPAL%20DE%20GACHETA\PLANEACI&#211;N%20E%20INFRAESTRUCTURA\SECTOR%20ITALIA_TUBERIA\AIU%20+%20PGIO%20DEFINITIVOMENOR%20CUANTIA%203-08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en APUs (2)"/>
      <sheetName val="Presupuesto"/>
      <sheetName val="Lista Cantidades_red"/>
      <sheetName val="Cálculo Alc"/>
    </sheetNames>
    <sheetDataSet>
      <sheetData sheetId="0"/>
      <sheetData sheetId="1">
        <row r="4">
          <cell r="F4">
            <v>685.59182002067223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</sheetNames>
    <sheetDataSet>
      <sheetData sheetId="0">
        <row r="7">
          <cell r="E7">
            <v>11940</v>
          </cell>
        </row>
        <row r="25">
          <cell r="E25">
            <v>85723</v>
          </cell>
        </row>
        <row r="34">
          <cell r="E34">
            <v>61019</v>
          </cell>
        </row>
        <row r="37">
          <cell r="E37">
            <v>11536</v>
          </cell>
        </row>
        <row r="331">
          <cell r="E331">
            <v>2275649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rtada"/>
      <sheetName val="INFO"/>
      <sheetName val="LISTAS"/>
      <sheetName val="ACTIVIDADES"/>
      <sheetName val="RENDIMIENTOS"/>
      <sheetName val="MATERIALES"/>
      <sheetName val="TRANSPORTES (3)"/>
      <sheetName val="TRANSPORTES"/>
      <sheetName val="FACTOR DE MATERIAL (2)"/>
      <sheetName val="EQUIPO"/>
      <sheetName val="FACTOR DE EQUIPO"/>
      <sheetName val="AnálisisDeManoDeObra"/>
      <sheetName val="M.de.O."/>
      <sheetName val="tub pvc"/>
      <sheetName val="1.1.1"/>
      <sheetName val="1.1.2"/>
      <sheetName val="1.1.3"/>
      <sheetName val="1.1.4"/>
      <sheetName val="1.1.5"/>
      <sheetName val="2.1.1"/>
      <sheetName val="2.1.2"/>
      <sheetName val="2.1.3"/>
      <sheetName val="2.1.4"/>
      <sheetName val="2.1.5"/>
      <sheetName val="2.1.6"/>
      <sheetName val="2.1.7"/>
      <sheetName val="3.1.1"/>
      <sheetName val="3.1.2"/>
      <sheetName val="3.1.3"/>
      <sheetName val="3.1.4"/>
      <sheetName val="4.1.1"/>
      <sheetName val="4.1.2"/>
      <sheetName val="4.1.3"/>
      <sheetName val="4.2.1"/>
      <sheetName val="4.2.2"/>
      <sheetName val="4.2.3"/>
      <sheetName val="4.3.1"/>
      <sheetName val="4.4.1"/>
      <sheetName val="4.5.1"/>
      <sheetName val="4.5.2"/>
      <sheetName val="4.5.3"/>
      <sheetName val="4.5.4"/>
      <sheetName val="5.1.1"/>
      <sheetName val="5.1.2"/>
      <sheetName val="5.1.3"/>
      <sheetName val="5.1.4"/>
      <sheetName val="5.1.5"/>
      <sheetName val="arena de peña gacheta"/>
      <sheetName val="5.1.6"/>
      <sheetName val="gravilla gacheta"/>
      <sheetName val="5.2.1"/>
      <sheetName val="5.2.2"/>
      <sheetName val="5.3.1"/>
      <sheetName val="5.3.2"/>
      <sheetName val="5.4.1"/>
      <sheetName val="5.4.2"/>
      <sheetName val="6.1.1"/>
      <sheetName val="6.1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3.1"/>
      <sheetName val="7.3.2"/>
      <sheetName val="7.3.3"/>
      <sheetName val="7.3.4"/>
      <sheetName val="7.3.5"/>
      <sheetName val="7.3.6"/>
      <sheetName val="7.3.7"/>
      <sheetName val="7.3.8"/>
      <sheetName val="7.3.9"/>
      <sheetName val="7.3.10"/>
      <sheetName val="7.3.11"/>
      <sheetName val="7.3.12"/>
      <sheetName val="7.3.13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6.1"/>
      <sheetName val="7.6.2"/>
      <sheetName val="7.6.3"/>
      <sheetName val="7.6.4"/>
      <sheetName val="7.6.5"/>
      <sheetName val="7.6.6"/>
      <sheetName val="7.6.7"/>
      <sheetName val="7.6.8"/>
      <sheetName val="7.6.9"/>
      <sheetName val="7.6.10"/>
      <sheetName val="7.6.11"/>
      <sheetName val="7.7.1"/>
      <sheetName val="7.7.2"/>
      <sheetName val="7.7.3"/>
      <sheetName val="7.7.4"/>
      <sheetName val="7.7.5"/>
      <sheetName val="7.7.6"/>
      <sheetName val="7.7.7"/>
      <sheetName val="7.7.8"/>
      <sheetName val="7.7.9"/>
      <sheetName val="7.7.10"/>
      <sheetName val="7.7.11"/>
      <sheetName val="7.8.1"/>
      <sheetName val="7.8.2"/>
      <sheetName val="7.8.3"/>
      <sheetName val="7.8.4"/>
      <sheetName val="7.8.5"/>
      <sheetName val="7.8.6"/>
      <sheetName val="7.8.7"/>
      <sheetName val="7.8.8"/>
      <sheetName val="7.8.9"/>
      <sheetName val="7.9.1"/>
      <sheetName val="7.9.2"/>
      <sheetName val="7.9.3"/>
      <sheetName val="7.9.4"/>
      <sheetName val="7.9.5"/>
      <sheetName val="7.9.6"/>
      <sheetName val="7.9.7"/>
      <sheetName val="7.9.8"/>
      <sheetName val="7.9.9"/>
      <sheetName val="7.10.1"/>
      <sheetName val="7.10.2"/>
      <sheetName val="7.10.3"/>
      <sheetName val="7.10.4"/>
      <sheetName val="7.10.5"/>
      <sheetName val="7.10.6"/>
      <sheetName val="7.10.7"/>
      <sheetName val="7.10.8"/>
      <sheetName val="7.10.9"/>
      <sheetName val="7.10.10"/>
      <sheetName val="7.11.1"/>
      <sheetName val="7.11.2"/>
      <sheetName val="7.11.3"/>
      <sheetName val="7.11.4"/>
      <sheetName val="7.12.1"/>
      <sheetName val="7.12.2"/>
      <sheetName val="7.12.3"/>
      <sheetName val="7.12.4"/>
      <sheetName val="7.12.5"/>
      <sheetName val="7.12.6"/>
      <sheetName val="7.12.7"/>
      <sheetName val="7.12.8"/>
      <sheetName val="7.12.9"/>
      <sheetName val="7.12.10"/>
      <sheetName val="7.12.11"/>
      <sheetName val="7.12.12"/>
      <sheetName val="7.13.1"/>
      <sheetName val="7.13.2"/>
      <sheetName val="7.13.3"/>
      <sheetName val="7.13.4"/>
      <sheetName val="7.13.5"/>
      <sheetName val="7.13.6"/>
      <sheetName val="7.14.1"/>
      <sheetName val="7.14.2"/>
      <sheetName val="7.14.3"/>
      <sheetName val="7.14.4"/>
      <sheetName val="7.14.5"/>
      <sheetName val="7.14.6"/>
      <sheetName val="7.14.7"/>
      <sheetName val="7.14.8"/>
      <sheetName val="7.15.1"/>
      <sheetName val="7.15.2"/>
      <sheetName val="7.15.3"/>
      <sheetName val="7.15.4"/>
      <sheetName val="7.15.5"/>
      <sheetName val="7.15.6"/>
      <sheetName val="7.15.7"/>
      <sheetName val="7.15.8"/>
      <sheetName val="7.15.9"/>
      <sheetName val="7.15.10"/>
      <sheetName val="7.15.11"/>
      <sheetName val="7.15.12"/>
      <sheetName val="7.15.13"/>
      <sheetName val="7.15.14"/>
      <sheetName val="7.16.1"/>
      <sheetName val="7.16.2"/>
      <sheetName val="7.16.3"/>
      <sheetName val="7.16.4"/>
      <sheetName val="7.16.5"/>
      <sheetName val="7.16.6"/>
      <sheetName val="7.16.7"/>
      <sheetName val="7.17.1"/>
      <sheetName val="7.17.2"/>
      <sheetName val="7.17.3"/>
      <sheetName val="7.17.4"/>
      <sheetName val="7.17.5"/>
      <sheetName val="7.17.6"/>
      <sheetName val="7.17.7"/>
      <sheetName val="7.18.1"/>
      <sheetName val="7.18.2"/>
      <sheetName val="7.18.3"/>
      <sheetName val="7.18.4"/>
      <sheetName val="7.18.5"/>
      <sheetName val="7.18.6"/>
      <sheetName val="7.18.7"/>
      <sheetName val="7.19.1"/>
      <sheetName val="7.20.1"/>
      <sheetName val="7.20.2"/>
      <sheetName val="7.20.3"/>
      <sheetName val="7.20.4"/>
      <sheetName val="acometida sin caja"/>
      <sheetName val="7.20.5"/>
      <sheetName val="7.21.1"/>
      <sheetName val="7.21.2"/>
      <sheetName val="7.21.3"/>
      <sheetName val="7.21.4"/>
      <sheetName val="7.21.5"/>
      <sheetName val="7.21.6"/>
      <sheetName val="7.21.7"/>
      <sheetName val="7.22.1"/>
      <sheetName val="7.23.1"/>
      <sheetName val="7.23.2"/>
      <sheetName val="7.23.3"/>
      <sheetName val="7.23.4"/>
      <sheetName val="7.23.5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2.1"/>
      <sheetName val="8.2.2"/>
      <sheetName val="8.2.3"/>
      <sheetName val="8.2.4"/>
      <sheetName val="8.2.5"/>
      <sheetName val="8.2.6"/>
      <sheetName val="8.2.7"/>
      <sheetName val="8.2.8"/>
      <sheetName val="8.2.9"/>
      <sheetName val="8.2.10"/>
      <sheetName val="8.2.11"/>
      <sheetName val="8.2.12"/>
      <sheetName val="8.2.13"/>
      <sheetName val="8.2.14"/>
      <sheetName val="8.2.15"/>
      <sheetName val="8.2.16"/>
      <sheetName val="8.2.17"/>
      <sheetName val="8.2.18"/>
      <sheetName val="8.3.1"/>
      <sheetName val="8.3.2"/>
      <sheetName val="8.3.3"/>
      <sheetName val="8.3.4"/>
      <sheetName val="8.3.5"/>
      <sheetName val="8.3.6"/>
      <sheetName val="apu 1 placa fondo"/>
      <sheetName val="8.3.7"/>
      <sheetName val="8.3.8"/>
      <sheetName val="8.3.9"/>
      <sheetName val="8.3.10"/>
      <sheetName val="8.3.11"/>
      <sheetName val="8.3.12"/>
      <sheetName val="8.3.13"/>
      <sheetName val="8.3.14"/>
      <sheetName val="8.3.15"/>
      <sheetName val="8.3.16"/>
      <sheetName val="8.3.17"/>
      <sheetName val="8.3.18"/>
      <sheetName val="8.3.19"/>
      <sheetName val="8.3.20"/>
      <sheetName val="8.3.21"/>
      <sheetName val="8.4.1"/>
      <sheetName val="8.4.2"/>
      <sheetName val="8.5.1"/>
      <sheetName val="8.5.2"/>
      <sheetName val="8.5.3"/>
      <sheetName val="8.6.1"/>
      <sheetName val="8.6.2"/>
      <sheetName val="8.6.3"/>
      <sheetName val="8.6.4"/>
      <sheetName val="8.6.5"/>
      <sheetName val="8.7.1"/>
      <sheetName val="8.7.2"/>
      <sheetName val="8.7.3"/>
      <sheetName val="8.8.1"/>
      <sheetName val="8.8.2"/>
      <sheetName val="8.8.3"/>
      <sheetName val="8.8.4"/>
      <sheetName val="9.1.1"/>
      <sheetName val="9.1.2"/>
      <sheetName val="9.1.3"/>
      <sheetName val="9.1.4"/>
      <sheetName val="9.1.5"/>
      <sheetName val="9.1.6"/>
      <sheetName val="9.1.7"/>
      <sheetName val="9.1.8"/>
      <sheetName val="9.2.1"/>
      <sheetName val="9.2.2"/>
      <sheetName val="9.2.3"/>
      <sheetName val="9.2.4"/>
      <sheetName val="9.2.5"/>
      <sheetName val="9.2.6"/>
      <sheetName val="9.2.7"/>
      <sheetName val="9.2.8"/>
      <sheetName val="9.2.9"/>
      <sheetName val="9.2.10"/>
      <sheetName val="9.2.11"/>
      <sheetName val="9.2.12"/>
      <sheetName val="9.2.13"/>
      <sheetName val="9.2.14"/>
      <sheetName val="9.2.15"/>
      <sheetName val="9.2.16"/>
      <sheetName val="9.2.17"/>
      <sheetName val="9.2.18"/>
      <sheetName val="9.2.19"/>
      <sheetName val="9.2.20"/>
      <sheetName val="9.2.21"/>
      <sheetName val="9.2.22"/>
      <sheetName val="9.2.23"/>
      <sheetName val="9.2.24"/>
      <sheetName val="9.3.1"/>
      <sheetName val="9.3.2"/>
      <sheetName val="9.3.3"/>
      <sheetName val="9.3.4"/>
      <sheetName val="9.3.5"/>
      <sheetName val="9.3.6"/>
      <sheetName val="9.3.7"/>
      <sheetName val="9.3.8"/>
      <sheetName val="9.3.9"/>
      <sheetName val="9.3.10"/>
      <sheetName val="9.3.11"/>
      <sheetName val="9.3.12"/>
      <sheetName val="9.3.13"/>
      <sheetName val="9.3.14"/>
      <sheetName val="9.3.15"/>
      <sheetName val="9.3.16"/>
      <sheetName val="9.3.17"/>
      <sheetName val="9.3.18"/>
      <sheetName val="9.3.19"/>
      <sheetName val="9.3.20"/>
      <sheetName val="9.3.21"/>
      <sheetName val="9.3.22"/>
      <sheetName val="9.3.23"/>
      <sheetName val="9.3.24"/>
      <sheetName val="9.4.1"/>
      <sheetName val="9.4.2"/>
      <sheetName val="9.4.3"/>
      <sheetName val="9.4.4"/>
      <sheetName val="9.4.5"/>
      <sheetName val="9.4.6"/>
      <sheetName val="9.5.1"/>
      <sheetName val="9.5.2"/>
      <sheetName val="9.5.3"/>
      <sheetName val="9.6.1"/>
      <sheetName val="9.6.2"/>
      <sheetName val="9.6.3"/>
      <sheetName val="9.7.1"/>
      <sheetName val="9.7.2"/>
      <sheetName val="10.1.1"/>
      <sheetName val="10.1.2"/>
      <sheetName val="10.1.3"/>
      <sheetName val="10.2.1"/>
      <sheetName val="10.2.2"/>
      <sheetName val="10.2.3"/>
      <sheetName val="10.2.4"/>
      <sheetName val="10.2.5"/>
      <sheetName val="10.2.6"/>
      <sheetName val="10.3.1"/>
      <sheetName val="10.3.2"/>
      <sheetName val="10.3.3"/>
      <sheetName val="10.4.1"/>
      <sheetName val="10.4.2"/>
      <sheetName val="10.4.3"/>
      <sheetName val="10.5.1"/>
      <sheetName val="10.5.2"/>
      <sheetName val="10.5.3"/>
      <sheetName val="10.5.4"/>
      <sheetName val="10.6.1"/>
      <sheetName val="10.6.2"/>
      <sheetName val="10.6.3"/>
      <sheetName val="10.6.4"/>
      <sheetName val="10.7.1"/>
      <sheetName val="10.7.2"/>
      <sheetName val="10.7.3"/>
      <sheetName val="10.7.4"/>
      <sheetName val="10.7.5"/>
      <sheetName val="10.7.6"/>
      <sheetName val="10.7.7"/>
      <sheetName val="10.7.8"/>
      <sheetName val="10.7.9"/>
      <sheetName val="10.7.10"/>
      <sheetName val="10.8.1"/>
      <sheetName val="10.8.2"/>
      <sheetName val="10.8.3"/>
      <sheetName val="10.9.1"/>
      <sheetName val="10.9.2"/>
      <sheetName val="10.9.3"/>
      <sheetName val="10.9.4"/>
      <sheetName val="10.10.1"/>
      <sheetName val="10.10.2"/>
      <sheetName val="10.10.3"/>
      <sheetName val="10.11.1"/>
      <sheetName val="10.11.2"/>
      <sheetName val="10.11.3"/>
      <sheetName val="10.11.4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2.1"/>
      <sheetName val="11.2.2"/>
      <sheetName val="11.2.3"/>
      <sheetName val="11.3.1"/>
      <sheetName val="11.3.2"/>
      <sheetName val="11.3.3"/>
    </sheetNames>
    <sheetDataSet>
      <sheetData sheetId="0"/>
      <sheetData sheetId="1"/>
      <sheetData sheetId="2"/>
      <sheetData sheetId="3">
        <row r="53">
          <cell r="H53">
            <v>41941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63">
          <cell r="N63">
            <v>144582</v>
          </cell>
        </row>
      </sheetData>
      <sheetData sheetId="44"/>
      <sheetData sheetId="45"/>
      <sheetData sheetId="46"/>
      <sheetData sheetId="47"/>
      <sheetData sheetId="48"/>
      <sheetData sheetId="49">
        <row r="63">
          <cell r="N63">
            <v>141587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 1"/>
    </sheetNames>
    <sheetDataSet>
      <sheetData sheetId="0">
        <row r="22">
          <cell r="G22">
            <v>423998.17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IU"/>
      <sheetName val="CALCULO F.P"/>
      <sheetName val="AIU (3)"/>
      <sheetName val="AIU (2)"/>
    </sheetNames>
    <sheetDataSet>
      <sheetData sheetId="0">
        <row r="75">
          <cell r="H75">
            <v>0.2515</v>
          </cell>
        </row>
        <row r="77">
          <cell r="H77">
            <v>0.01</v>
          </cell>
        </row>
        <row r="79">
          <cell r="H79">
            <v>0.05</v>
          </cell>
        </row>
        <row r="81">
          <cell r="H81">
            <v>0.3115</v>
          </cell>
        </row>
        <row r="132">
          <cell r="H132">
            <v>2.7E-2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C7FA3-4160-46F0-AA8B-BD6C18290D89}">
  <sheetPr codeName="Hoja1"/>
  <dimension ref="A3:M88"/>
  <sheetViews>
    <sheetView tabSelected="1" view="pageBreakPreview" zoomScale="81" zoomScaleNormal="100" zoomScaleSheetLayoutView="100" workbookViewId="0">
      <selection activeCell="G20" sqref="G20"/>
    </sheetView>
  </sheetViews>
  <sheetFormatPr baseColWidth="10" defaultColWidth="10.7109375" defaultRowHeight="15" x14ac:dyDescent="0.25"/>
  <cols>
    <col min="1" max="1" width="5.5703125" style="1" customWidth="1"/>
    <col min="2" max="2" width="8.85546875" style="1" bestFit="1" customWidth="1"/>
    <col min="3" max="3" width="8.42578125" style="1" customWidth="1"/>
    <col min="4" max="4" width="6" customWidth="1"/>
    <col min="5" max="5" width="50.5703125" style="2" customWidth="1"/>
    <col min="6" max="6" width="12.7109375" style="2" customWidth="1"/>
    <col min="7" max="7" width="9.140625" style="2" customWidth="1"/>
    <col min="8" max="8" width="12.28515625" style="125" customWidth="1"/>
    <col min="9" max="9" width="30.42578125" style="2" customWidth="1"/>
    <col min="10" max="10" width="17" bestFit="1" customWidth="1"/>
    <col min="11" max="11" width="17.85546875" bestFit="1" customWidth="1"/>
    <col min="12" max="12" width="15.5703125" customWidth="1"/>
    <col min="13" max="13" width="16.5703125" bestFit="1" customWidth="1"/>
  </cols>
  <sheetData>
    <row r="3" spans="1:9" ht="15.75" thickBot="1" x14ac:dyDescent="0.3"/>
    <row r="4" spans="1:9" ht="12.75" customHeight="1" x14ac:dyDescent="0.25">
      <c r="A4" s="107"/>
      <c r="B4" s="103"/>
      <c r="C4" s="103"/>
      <c r="D4" s="104"/>
      <c r="E4" s="249" t="s">
        <v>93</v>
      </c>
      <c r="F4" s="249"/>
      <c r="G4" s="249"/>
      <c r="H4" s="249"/>
      <c r="I4" s="250"/>
    </row>
    <row r="5" spans="1:9" x14ac:dyDescent="0.25">
      <c r="A5" s="105"/>
      <c r="B5" s="108"/>
      <c r="C5" s="108"/>
      <c r="D5" s="106"/>
      <c r="E5" s="242"/>
      <c r="F5" s="242"/>
      <c r="G5" s="242"/>
      <c r="H5" s="242"/>
      <c r="I5" s="243"/>
    </row>
    <row r="6" spans="1:9" x14ac:dyDescent="0.25">
      <c r="A6" s="105"/>
      <c r="B6" s="108"/>
      <c r="C6" s="108"/>
      <c r="D6" s="106"/>
      <c r="E6" s="251"/>
      <c r="F6" s="251"/>
      <c r="G6" s="251"/>
      <c r="H6" s="251"/>
      <c r="I6" s="252"/>
    </row>
    <row r="7" spans="1:9" x14ac:dyDescent="0.25">
      <c r="A7" s="105"/>
      <c r="B7" s="108"/>
      <c r="C7" s="108"/>
      <c r="D7" s="106"/>
      <c r="E7" s="253" t="s">
        <v>29</v>
      </c>
      <c r="F7" s="253"/>
      <c r="G7" s="253"/>
      <c r="H7" s="253"/>
      <c r="I7" s="254"/>
    </row>
    <row r="8" spans="1:9" x14ac:dyDescent="0.25">
      <c r="A8" s="105"/>
      <c r="B8" s="108"/>
      <c r="C8" s="108"/>
      <c r="D8" s="106"/>
      <c r="E8" s="251"/>
      <c r="F8" s="251"/>
      <c r="G8" s="251"/>
      <c r="H8" s="251"/>
      <c r="I8" s="252"/>
    </row>
    <row r="9" spans="1:9" x14ac:dyDescent="0.25">
      <c r="A9" s="105"/>
      <c r="B9" s="108"/>
      <c r="C9" s="108"/>
      <c r="D9" s="106"/>
      <c r="E9" s="3" t="s">
        <v>1</v>
      </c>
      <c r="F9" s="255">
        <v>46168</v>
      </c>
      <c r="G9" s="256"/>
      <c r="H9" s="257"/>
      <c r="I9" s="14"/>
    </row>
    <row r="10" spans="1:9" x14ac:dyDescent="0.25">
      <c r="A10" s="105"/>
      <c r="B10" s="108"/>
      <c r="C10" s="108"/>
      <c r="D10" s="106"/>
      <c r="E10" s="4" t="s">
        <v>2</v>
      </c>
      <c r="F10" s="258"/>
      <c r="G10" s="259"/>
      <c r="H10" s="260"/>
      <c r="I10" s="15" t="s">
        <v>94</v>
      </c>
    </row>
    <row r="11" spans="1:9" ht="21" customHeight="1" x14ac:dyDescent="0.25">
      <c r="A11" s="241" t="s">
        <v>0</v>
      </c>
      <c r="B11" s="242"/>
      <c r="C11" s="242"/>
      <c r="D11" s="243"/>
      <c r="E11" s="4" t="s">
        <v>3</v>
      </c>
      <c r="F11" s="231" t="s">
        <v>4</v>
      </c>
      <c r="G11" s="232"/>
      <c r="H11" s="233"/>
      <c r="I11" s="115">
        <f>+I83</f>
        <v>490149736</v>
      </c>
    </row>
    <row r="12" spans="1:9" ht="17.25" customHeight="1" thickBot="1" x14ac:dyDescent="0.3">
      <c r="A12" s="244"/>
      <c r="B12" s="245"/>
      <c r="C12" s="245"/>
      <c r="D12" s="246"/>
      <c r="E12" s="4" t="s">
        <v>5</v>
      </c>
      <c r="F12" s="255">
        <v>46168</v>
      </c>
      <c r="G12" s="256"/>
      <c r="H12" s="257"/>
      <c r="I12" s="19" t="s">
        <v>198</v>
      </c>
    </row>
    <row r="13" spans="1:9" ht="15.75" thickBot="1" x14ac:dyDescent="0.3">
      <c r="A13" s="268" t="s">
        <v>6</v>
      </c>
      <c r="B13" s="269"/>
      <c r="C13" s="269"/>
      <c r="D13" s="269"/>
      <c r="E13" s="269"/>
      <c r="F13" s="269"/>
      <c r="G13" s="269"/>
      <c r="H13" s="269"/>
      <c r="I13" s="270"/>
    </row>
    <row r="14" spans="1:9" ht="17.25" customHeight="1" x14ac:dyDescent="0.25">
      <c r="A14" s="271" t="s">
        <v>7</v>
      </c>
      <c r="B14" s="273" t="s">
        <v>8</v>
      </c>
      <c r="C14" s="275" t="s">
        <v>170</v>
      </c>
      <c r="D14" s="275"/>
      <c r="E14" s="276" t="s">
        <v>9</v>
      </c>
      <c r="F14" s="262" t="s">
        <v>10</v>
      </c>
      <c r="G14" s="262" t="s">
        <v>11</v>
      </c>
      <c r="H14" s="264" t="s">
        <v>12</v>
      </c>
      <c r="I14" s="266" t="s">
        <v>13</v>
      </c>
    </row>
    <row r="15" spans="1:9" ht="28.5" customHeight="1" thickBot="1" x14ac:dyDescent="0.3">
      <c r="A15" s="272"/>
      <c r="B15" s="274"/>
      <c r="C15" s="58" t="s">
        <v>14</v>
      </c>
      <c r="D15" s="59" t="s">
        <v>15</v>
      </c>
      <c r="E15" s="277"/>
      <c r="F15" s="263"/>
      <c r="G15" s="263"/>
      <c r="H15" s="265"/>
      <c r="I15" s="267"/>
    </row>
    <row r="16" spans="1:9" x14ac:dyDescent="0.25">
      <c r="A16" s="60">
        <v>1</v>
      </c>
      <c r="B16" s="61"/>
      <c r="C16" s="61"/>
      <c r="D16" s="62"/>
      <c r="E16" s="141" t="s">
        <v>16</v>
      </c>
      <c r="F16" s="63"/>
      <c r="G16" s="63"/>
      <c r="H16" s="126"/>
      <c r="I16" s="64"/>
    </row>
    <row r="17" spans="1:12" x14ac:dyDescent="0.25">
      <c r="A17" s="41">
        <v>1.1000000000000001</v>
      </c>
      <c r="B17" s="34" t="s">
        <v>32</v>
      </c>
      <c r="C17" s="40" t="s">
        <v>33</v>
      </c>
      <c r="D17" s="35"/>
      <c r="E17" s="144" t="s">
        <v>31</v>
      </c>
      <c r="F17" s="39" t="s">
        <v>34</v>
      </c>
      <c r="G17" s="57">
        <f>+[1]Presupuesto!$F$4</f>
        <v>685.59182002067223</v>
      </c>
      <c r="H17" s="139">
        <f>+'[2]Table 1'!$E$7</f>
        <v>11940</v>
      </c>
      <c r="I17" s="115">
        <f>+H17*G17</f>
        <v>8185966.3310468262</v>
      </c>
    </row>
    <row r="18" spans="1:12" ht="15.75" thickBot="1" x14ac:dyDescent="0.3">
      <c r="A18" s="65">
        <v>1.2</v>
      </c>
      <c r="B18" s="66">
        <v>1.1000000000000001</v>
      </c>
      <c r="C18" s="67" t="s">
        <v>17</v>
      </c>
      <c r="D18" s="68"/>
      <c r="E18" s="142" t="s">
        <v>183</v>
      </c>
      <c r="F18" s="69" t="s">
        <v>184</v>
      </c>
      <c r="G18" s="72">
        <v>145.68</v>
      </c>
      <c r="H18" s="154">
        <v>11854</v>
      </c>
      <c r="I18" s="208">
        <f>+H18*G18</f>
        <v>1726890.72</v>
      </c>
    </row>
    <row r="19" spans="1:12" x14ac:dyDescent="0.25">
      <c r="A19" s="201">
        <v>2</v>
      </c>
      <c r="B19" s="202"/>
      <c r="C19" s="203"/>
      <c r="D19" s="204"/>
      <c r="E19" s="205" t="s">
        <v>35</v>
      </c>
      <c r="F19" s="206"/>
      <c r="G19" s="206"/>
      <c r="H19" s="153"/>
      <c r="I19" s="207"/>
    </row>
    <row r="20" spans="1:12" x14ac:dyDescent="0.25">
      <c r="A20" s="41"/>
      <c r="B20" s="40">
        <v>2.1</v>
      </c>
      <c r="C20" s="40"/>
      <c r="D20" s="35"/>
      <c r="E20" s="143" t="s">
        <v>36</v>
      </c>
      <c r="F20" s="39"/>
      <c r="G20" s="39"/>
      <c r="H20" s="139"/>
      <c r="I20" s="42"/>
    </row>
    <row r="21" spans="1:12" x14ac:dyDescent="0.25">
      <c r="A21" s="41">
        <v>2.1</v>
      </c>
      <c r="B21" s="34" t="s">
        <v>124</v>
      </c>
      <c r="C21" s="40" t="s">
        <v>33</v>
      </c>
      <c r="D21" s="35"/>
      <c r="E21" s="144" t="s">
        <v>43</v>
      </c>
      <c r="F21" s="39" t="s">
        <v>18</v>
      </c>
      <c r="G21" s="57">
        <v>4</v>
      </c>
      <c r="H21" s="139">
        <v>118037</v>
      </c>
      <c r="I21" s="115">
        <f>+G21*H21</f>
        <v>472148</v>
      </c>
    </row>
    <row r="22" spans="1:12" ht="23.25" thickBot="1" x14ac:dyDescent="0.3">
      <c r="A22" s="65">
        <v>2.2000000000000002</v>
      </c>
      <c r="B22" s="67">
        <v>3</v>
      </c>
      <c r="C22" s="67" t="s">
        <v>33</v>
      </c>
      <c r="D22" s="68"/>
      <c r="E22" s="140" t="s">
        <v>135</v>
      </c>
      <c r="F22" s="124" t="s">
        <v>18</v>
      </c>
      <c r="G22" s="72">
        <f>250*1*0.08</f>
        <v>20</v>
      </c>
      <c r="H22" s="139">
        <v>233235</v>
      </c>
      <c r="I22" s="115">
        <f>+G22*H22</f>
        <v>4664700</v>
      </c>
    </row>
    <row r="23" spans="1:12" x14ac:dyDescent="0.25">
      <c r="A23" s="60">
        <v>3</v>
      </c>
      <c r="B23" s="70"/>
      <c r="C23" s="61"/>
      <c r="D23" s="62"/>
      <c r="E23" s="141" t="s">
        <v>37</v>
      </c>
      <c r="F23" s="63"/>
      <c r="G23" s="63"/>
      <c r="H23" s="126"/>
      <c r="I23" s="64"/>
    </row>
    <row r="24" spans="1:12" x14ac:dyDescent="0.25">
      <c r="A24" s="41"/>
      <c r="B24" s="40">
        <v>3.1</v>
      </c>
      <c r="C24" s="40"/>
      <c r="D24" s="35"/>
      <c r="E24" s="143" t="s">
        <v>38</v>
      </c>
      <c r="F24" s="36"/>
      <c r="G24" s="36"/>
      <c r="H24" s="129"/>
      <c r="I24" s="42"/>
    </row>
    <row r="25" spans="1:12" ht="45.75" thickBot="1" x14ac:dyDescent="0.3">
      <c r="A25" s="65">
        <v>3.1</v>
      </c>
      <c r="B25" s="66" t="s">
        <v>39</v>
      </c>
      <c r="C25" s="67" t="s">
        <v>33</v>
      </c>
      <c r="D25" s="68"/>
      <c r="E25" s="152" t="s">
        <v>130</v>
      </c>
      <c r="F25" s="69" t="s">
        <v>40</v>
      </c>
      <c r="G25" s="69">
        <v>100</v>
      </c>
      <c r="H25" s="139">
        <f>+'[2]Table 1'!$E$25</f>
        <v>85723</v>
      </c>
      <c r="I25" s="115">
        <f>+H25*G25</f>
        <v>8572300</v>
      </c>
    </row>
    <row r="26" spans="1:12" ht="22.5" x14ac:dyDescent="0.25">
      <c r="A26" s="60">
        <v>4</v>
      </c>
      <c r="B26" s="70">
        <v>4</v>
      </c>
      <c r="C26" s="61"/>
      <c r="D26" s="62"/>
      <c r="E26" s="145" t="s">
        <v>41</v>
      </c>
      <c r="F26" s="63"/>
      <c r="G26" s="63"/>
      <c r="H26" s="126"/>
      <c r="I26" s="64"/>
    </row>
    <row r="27" spans="1:12" x14ac:dyDescent="0.25">
      <c r="A27" s="41"/>
      <c r="B27" s="40">
        <v>4.0999999999999996</v>
      </c>
      <c r="C27" s="40"/>
      <c r="D27" s="35"/>
      <c r="E27" s="146" t="s">
        <v>98</v>
      </c>
      <c r="F27" s="36"/>
      <c r="G27" s="36"/>
      <c r="H27" s="129"/>
      <c r="I27" s="42"/>
    </row>
    <row r="28" spans="1:12" ht="22.5" x14ac:dyDescent="0.25">
      <c r="A28" s="41">
        <v>4.0999999999999996</v>
      </c>
      <c r="B28" s="34" t="s">
        <v>42</v>
      </c>
      <c r="C28" s="40" t="s">
        <v>33</v>
      </c>
      <c r="D28" s="35"/>
      <c r="E28" s="147" t="s">
        <v>129</v>
      </c>
      <c r="F28" s="39" t="s">
        <v>18</v>
      </c>
      <c r="G28" s="39">
        <f>ROUND(G43*0.1*1,2)</f>
        <v>54.44</v>
      </c>
      <c r="H28" s="139">
        <f>+'[2]Table 1'!$E$34</f>
        <v>61019</v>
      </c>
      <c r="I28" s="115">
        <f>+H28*G28</f>
        <v>3321874.36</v>
      </c>
    </row>
    <row r="29" spans="1:12" ht="22.5" x14ac:dyDescent="0.25">
      <c r="A29" s="41"/>
      <c r="B29" s="40">
        <v>4.3</v>
      </c>
      <c r="C29" s="40"/>
      <c r="D29" s="35"/>
      <c r="E29" s="146" t="s">
        <v>128</v>
      </c>
      <c r="F29" s="221"/>
      <c r="G29" s="36"/>
      <c r="H29" s="139"/>
      <c r="I29" s="42"/>
    </row>
    <row r="30" spans="1:12" ht="23.25" thickBot="1" x14ac:dyDescent="0.3">
      <c r="A30" s="65">
        <v>4.2</v>
      </c>
      <c r="B30" s="66" t="s">
        <v>44</v>
      </c>
      <c r="C30" s="67"/>
      <c r="D30" s="68"/>
      <c r="E30" s="147" t="s">
        <v>132</v>
      </c>
      <c r="F30" s="39" t="s">
        <v>18</v>
      </c>
      <c r="G30" s="69">
        <f>+Hoja2!K39*0.8</f>
        <v>446.52</v>
      </c>
      <c r="H30" s="139">
        <f>+'[2]Table 1'!$E$37</f>
        <v>11536</v>
      </c>
      <c r="I30" s="115">
        <f>+H30*G30</f>
        <v>5151054.72</v>
      </c>
      <c r="K30">
        <f>1.2*1.1*190</f>
        <v>250.8</v>
      </c>
      <c r="L30">
        <f>(660-190)*0.7*1.5</f>
        <v>493.5</v>
      </c>
    </row>
    <row r="31" spans="1:12" x14ac:dyDescent="0.25">
      <c r="A31" s="60">
        <v>5</v>
      </c>
      <c r="B31" s="61">
        <v>5</v>
      </c>
      <c r="C31" s="61"/>
      <c r="D31" s="62"/>
      <c r="E31" s="145" t="s">
        <v>45</v>
      </c>
      <c r="F31" s="71"/>
      <c r="G31" s="71"/>
      <c r="H31" s="127"/>
      <c r="I31" s="73"/>
    </row>
    <row r="32" spans="1:12" x14ac:dyDescent="0.25">
      <c r="A32" s="41"/>
      <c r="B32" s="40">
        <v>5.0999999999999996</v>
      </c>
      <c r="C32" s="40"/>
      <c r="D32" s="35"/>
      <c r="E32" s="146" t="s">
        <v>45</v>
      </c>
      <c r="F32" s="39"/>
      <c r="G32" s="39"/>
      <c r="H32" s="128"/>
      <c r="I32" s="43"/>
    </row>
    <row r="33" spans="1:11" ht="22.5" x14ac:dyDescent="0.25">
      <c r="A33" s="41">
        <v>5.0999999999999996</v>
      </c>
      <c r="B33" s="96">
        <v>2.5</v>
      </c>
      <c r="C33" s="34" t="s">
        <v>149</v>
      </c>
      <c r="D33" s="35"/>
      <c r="E33" s="147" t="s">
        <v>126</v>
      </c>
      <c r="F33" s="39" t="s">
        <v>18</v>
      </c>
      <c r="G33" s="57">
        <f>+Hoja2!N39*0.7</f>
        <v>348.47399999999999</v>
      </c>
      <c r="H33" s="139">
        <f>+'[3]5.1.2'!$N$63</f>
        <v>144582</v>
      </c>
      <c r="I33" s="115">
        <f>+H33*G33</f>
        <v>50383067.868000001</v>
      </c>
      <c r="K33" t="s">
        <v>51</v>
      </c>
    </row>
    <row r="34" spans="1:11" ht="24.75" x14ac:dyDescent="0.25">
      <c r="A34" s="12">
        <v>5.2</v>
      </c>
      <c r="B34" s="97">
        <v>2.9</v>
      </c>
      <c r="C34" s="37" t="s">
        <v>149</v>
      </c>
      <c r="D34" s="9" t="s">
        <v>153</v>
      </c>
      <c r="E34" s="147" t="s">
        <v>127</v>
      </c>
      <c r="F34" s="5" t="s">
        <v>18</v>
      </c>
      <c r="G34" s="44">
        <f>+Hoja2!M39*0.8</f>
        <v>82.414400000000001</v>
      </c>
      <c r="H34" s="220">
        <v>185227</v>
      </c>
      <c r="I34" s="185">
        <f t="shared" ref="I34:I53" si="0">ROUND(+H34*G34,0)</f>
        <v>15265372</v>
      </c>
      <c r="J34" s="8"/>
    </row>
    <row r="35" spans="1:11" ht="25.5" thickBot="1" x14ac:dyDescent="0.3">
      <c r="A35" s="209">
        <v>5.3</v>
      </c>
      <c r="B35" s="210">
        <v>2.4</v>
      </c>
      <c r="C35" s="211" t="s">
        <v>151</v>
      </c>
      <c r="D35" s="212" t="s">
        <v>152</v>
      </c>
      <c r="E35" s="152" t="s">
        <v>150</v>
      </c>
      <c r="F35" s="77" t="s">
        <v>18</v>
      </c>
      <c r="G35" s="78">
        <f>+Hoja2!L39*0.8</f>
        <v>91.089600000000019</v>
      </c>
      <c r="H35" s="139">
        <f>+'[3]gravilla gacheta'!$N$63</f>
        <v>141587</v>
      </c>
      <c r="I35" s="186">
        <f t="shared" si="0"/>
        <v>12897103</v>
      </c>
      <c r="J35" s="8"/>
      <c r="K35" t="s">
        <v>46</v>
      </c>
    </row>
    <row r="36" spans="1:11" x14ac:dyDescent="0.25">
      <c r="A36" s="80">
        <v>6</v>
      </c>
      <c r="B36" s="98"/>
      <c r="C36" s="81"/>
      <c r="D36" s="99"/>
      <c r="E36" s="145" t="s">
        <v>47</v>
      </c>
      <c r="F36" s="82"/>
      <c r="G36" s="83"/>
      <c r="H36" s="84"/>
      <c r="I36" s="85"/>
      <c r="J36" s="8"/>
    </row>
    <row r="37" spans="1:11" x14ac:dyDescent="0.25">
      <c r="A37" s="12"/>
      <c r="B37" s="97">
        <v>6.1</v>
      </c>
      <c r="C37" s="37"/>
      <c r="D37" s="20"/>
      <c r="E37" s="146" t="s">
        <v>47</v>
      </c>
      <c r="F37" s="45"/>
      <c r="G37" s="6"/>
      <c r="H37" s="7"/>
      <c r="I37" s="46"/>
      <c r="J37" s="8"/>
    </row>
    <row r="38" spans="1:11" ht="23.25" thickBot="1" x14ac:dyDescent="0.3">
      <c r="A38" s="74">
        <v>6.1</v>
      </c>
      <c r="B38" s="122" t="s">
        <v>123</v>
      </c>
      <c r="C38" s="75" t="s">
        <v>33</v>
      </c>
      <c r="D38" s="100"/>
      <c r="E38" s="140" t="s">
        <v>133</v>
      </c>
      <c r="F38" s="69" t="s">
        <v>18</v>
      </c>
      <c r="G38" s="72">
        <f>+G21+G22+G28+G30-40</f>
        <v>484.96000000000004</v>
      </c>
      <c r="H38" s="7">
        <v>21251</v>
      </c>
      <c r="I38" s="186">
        <f t="shared" si="0"/>
        <v>10305885</v>
      </c>
      <c r="J38" s="8"/>
    </row>
    <row r="39" spans="1:11" ht="22.5" x14ac:dyDescent="0.25">
      <c r="A39" s="80">
        <v>7</v>
      </c>
      <c r="B39" s="123"/>
      <c r="C39" s="81"/>
      <c r="D39" s="99"/>
      <c r="E39" s="145" t="s">
        <v>125</v>
      </c>
      <c r="F39" s="71"/>
      <c r="G39" s="121"/>
      <c r="H39" s="131"/>
      <c r="I39" s="85"/>
      <c r="J39" s="8"/>
    </row>
    <row r="40" spans="1:11" ht="56.25" x14ac:dyDescent="0.25">
      <c r="A40" s="12"/>
      <c r="B40" s="222">
        <v>8.1</v>
      </c>
      <c r="C40" s="37"/>
      <c r="D40" s="20"/>
      <c r="E40" s="146" t="s">
        <v>86</v>
      </c>
      <c r="F40" s="5"/>
      <c r="G40" s="6"/>
      <c r="H40" s="7"/>
      <c r="I40" s="46"/>
      <c r="J40" s="8"/>
    </row>
    <row r="41" spans="1:11" ht="33.75" x14ac:dyDescent="0.25">
      <c r="A41" s="12">
        <v>7.1</v>
      </c>
      <c r="B41" s="96">
        <v>3042</v>
      </c>
      <c r="C41" s="37" t="s">
        <v>19</v>
      </c>
      <c r="D41" s="20"/>
      <c r="E41" s="148" t="s">
        <v>56</v>
      </c>
      <c r="F41" s="5" t="s">
        <v>34</v>
      </c>
      <c r="G41" s="6">
        <f>+Hoja2!B36</f>
        <v>20</v>
      </c>
      <c r="H41" s="7">
        <v>65583</v>
      </c>
      <c r="I41" s="185">
        <f t="shared" si="0"/>
        <v>1311660</v>
      </c>
      <c r="J41" s="8"/>
    </row>
    <row r="42" spans="1:11" x14ac:dyDescent="0.25">
      <c r="A42" s="12">
        <v>7.2</v>
      </c>
      <c r="B42" s="96">
        <v>3.5</v>
      </c>
      <c r="C42" s="37" t="s">
        <v>17</v>
      </c>
      <c r="D42" s="20"/>
      <c r="E42" s="148" t="s">
        <v>148</v>
      </c>
      <c r="F42" s="5" t="s">
        <v>30</v>
      </c>
      <c r="G42" s="6">
        <v>10</v>
      </c>
      <c r="H42" s="7">
        <v>366564</v>
      </c>
      <c r="I42" s="185">
        <f t="shared" si="0"/>
        <v>3665640</v>
      </c>
      <c r="J42" s="8"/>
    </row>
    <row r="43" spans="1:11" ht="22.5" x14ac:dyDescent="0.25">
      <c r="A43" s="12">
        <v>7.3</v>
      </c>
      <c r="B43" s="96">
        <v>3.25</v>
      </c>
      <c r="C43" s="37" t="s">
        <v>17</v>
      </c>
      <c r="D43" s="20"/>
      <c r="E43" s="148" t="s">
        <v>48</v>
      </c>
      <c r="F43" s="5" t="s">
        <v>34</v>
      </c>
      <c r="G43" s="6">
        <f>+Hoja2!I39</f>
        <v>544.44000000000005</v>
      </c>
      <c r="H43" s="7">
        <v>76724</v>
      </c>
      <c r="I43" s="185">
        <f t="shared" si="0"/>
        <v>41771615</v>
      </c>
      <c r="J43" s="8"/>
    </row>
    <row r="44" spans="1:11" ht="22.5" x14ac:dyDescent="0.25">
      <c r="A44" s="89">
        <v>7.4</v>
      </c>
      <c r="B44" s="96">
        <v>3.26</v>
      </c>
      <c r="C44" s="37" t="s">
        <v>17</v>
      </c>
      <c r="D44" s="20"/>
      <c r="E44" s="148" t="s">
        <v>49</v>
      </c>
      <c r="F44" s="5" t="s">
        <v>34</v>
      </c>
      <c r="G44" s="6">
        <f>+Hoja2!J39</f>
        <v>148.65</v>
      </c>
      <c r="H44" s="7">
        <v>107629</v>
      </c>
      <c r="I44" s="46">
        <f t="shared" si="0"/>
        <v>15999051</v>
      </c>
      <c r="J44" s="8"/>
    </row>
    <row r="45" spans="1:11" x14ac:dyDescent="0.25">
      <c r="A45" s="89"/>
      <c r="B45" s="96"/>
      <c r="C45" s="37"/>
      <c r="D45" s="20"/>
      <c r="E45" s="148"/>
      <c r="F45" s="5"/>
      <c r="G45" s="6"/>
      <c r="H45" s="7"/>
      <c r="I45" s="46"/>
      <c r="J45" s="8"/>
    </row>
    <row r="46" spans="1:11" x14ac:dyDescent="0.25">
      <c r="A46" s="90">
        <v>8</v>
      </c>
      <c r="B46" s="102">
        <v>8.3000000000000007</v>
      </c>
      <c r="C46" s="37"/>
      <c r="D46" s="9"/>
      <c r="E46" s="149" t="s">
        <v>21</v>
      </c>
      <c r="F46" s="37"/>
      <c r="G46" s="38"/>
      <c r="H46" s="130"/>
      <c r="I46" s="46"/>
      <c r="J46" s="8"/>
    </row>
    <row r="47" spans="1:11" ht="22.5" x14ac:dyDescent="0.25">
      <c r="A47" s="12">
        <v>8.1</v>
      </c>
      <c r="B47" s="37">
        <v>4.0999999999999996</v>
      </c>
      <c r="C47" s="34" t="s">
        <v>17</v>
      </c>
      <c r="D47" s="10"/>
      <c r="E47" s="148" t="s">
        <v>186</v>
      </c>
      <c r="F47" s="5" t="s">
        <v>20</v>
      </c>
      <c r="G47" s="6">
        <v>26</v>
      </c>
      <c r="H47" s="7">
        <v>1167919</v>
      </c>
      <c r="I47" s="185">
        <f t="shared" si="0"/>
        <v>30365894</v>
      </c>
      <c r="J47" s="8"/>
      <c r="K47" s="86">
        <v>1167919</v>
      </c>
    </row>
    <row r="48" spans="1:11" ht="47.25" customHeight="1" x14ac:dyDescent="0.25">
      <c r="A48" s="12">
        <v>8.1999999999999993</v>
      </c>
      <c r="B48" s="37" t="s">
        <v>84</v>
      </c>
      <c r="C48" s="34" t="s">
        <v>33</v>
      </c>
      <c r="D48" s="10"/>
      <c r="E48" s="147" t="s">
        <v>187</v>
      </c>
      <c r="F48" s="5" t="s">
        <v>20</v>
      </c>
      <c r="G48" s="6">
        <f>26*1.05</f>
        <v>27.3</v>
      </c>
      <c r="H48" s="7">
        <v>1420966</v>
      </c>
      <c r="I48" s="185">
        <f t="shared" si="0"/>
        <v>38792372</v>
      </c>
      <c r="J48" s="8"/>
    </row>
    <row r="49" spans="1:10" ht="23.25" thickBot="1" x14ac:dyDescent="0.3">
      <c r="A49" s="74">
        <v>8.3000000000000007</v>
      </c>
      <c r="B49" s="75" t="s">
        <v>85</v>
      </c>
      <c r="C49" s="66" t="s">
        <v>33</v>
      </c>
      <c r="D49" s="88"/>
      <c r="E49" s="155" t="s">
        <v>200</v>
      </c>
      <c r="F49" s="77" t="s">
        <v>22</v>
      </c>
      <c r="G49" s="78">
        <v>26</v>
      </c>
      <c r="H49" s="79">
        <f>+'[2]Table 1'!$E$331</f>
        <v>2275649</v>
      </c>
      <c r="I49" s="186">
        <f t="shared" si="0"/>
        <v>59166874</v>
      </c>
      <c r="J49" s="8"/>
    </row>
    <row r="50" spans="1:10" x14ac:dyDescent="0.25">
      <c r="A50" s="80">
        <v>9</v>
      </c>
      <c r="B50" s="81"/>
      <c r="C50" s="81"/>
      <c r="D50" s="91"/>
      <c r="E50" s="151" t="s">
        <v>52</v>
      </c>
      <c r="F50" s="81"/>
      <c r="G50" s="92"/>
      <c r="H50" s="132"/>
      <c r="I50" s="187"/>
      <c r="J50" s="8"/>
    </row>
    <row r="51" spans="1:10" ht="22.5" x14ac:dyDescent="0.25">
      <c r="A51" s="12">
        <v>9.1</v>
      </c>
      <c r="B51" s="37" t="s">
        <v>136</v>
      </c>
      <c r="C51" s="37" t="s">
        <v>53</v>
      </c>
      <c r="D51" s="9"/>
      <c r="E51" s="148" t="s">
        <v>181</v>
      </c>
      <c r="F51" s="37" t="s">
        <v>34</v>
      </c>
      <c r="G51" s="38">
        <f>+Hoja2!F39-G52-2</f>
        <v>68.06</v>
      </c>
      <c r="H51" s="7">
        <v>250835</v>
      </c>
      <c r="I51" s="188">
        <f t="shared" si="0"/>
        <v>17071830</v>
      </c>
      <c r="J51" s="8"/>
    </row>
    <row r="52" spans="1:10" ht="22.5" x14ac:dyDescent="0.25">
      <c r="A52" s="12">
        <v>9.1999999999999993</v>
      </c>
      <c r="B52" s="37" t="s">
        <v>137</v>
      </c>
      <c r="C52" s="34" t="s">
        <v>53</v>
      </c>
      <c r="D52" s="11"/>
      <c r="E52" s="148" t="s">
        <v>182</v>
      </c>
      <c r="F52" s="5" t="s">
        <v>34</v>
      </c>
      <c r="G52" s="6">
        <v>20</v>
      </c>
      <c r="H52" s="7">
        <v>250835</v>
      </c>
      <c r="I52" s="185">
        <f t="shared" si="0"/>
        <v>5016700</v>
      </c>
      <c r="J52" s="8"/>
    </row>
    <row r="53" spans="1:10" ht="22.5" x14ac:dyDescent="0.25">
      <c r="A53" s="12">
        <v>9.3000000000000007</v>
      </c>
      <c r="B53" s="37" t="s">
        <v>137</v>
      </c>
      <c r="C53" s="34" t="s">
        <v>53</v>
      </c>
      <c r="D53" s="11"/>
      <c r="E53" s="148" t="s">
        <v>55</v>
      </c>
      <c r="F53" s="37" t="s">
        <v>34</v>
      </c>
      <c r="G53" s="38">
        <f>+Hoja2!F34</f>
        <v>13</v>
      </c>
      <c r="H53" s="130">
        <v>948917</v>
      </c>
      <c r="I53" s="185">
        <f t="shared" si="0"/>
        <v>12335921</v>
      </c>
      <c r="J53" s="8">
        <f>SUM(I17:I52)</f>
        <v>334107997.9990468</v>
      </c>
    </row>
    <row r="54" spans="1:10" ht="56.25" x14ac:dyDescent="0.25">
      <c r="A54" s="12">
        <v>9.4</v>
      </c>
      <c r="B54" s="37" t="s">
        <v>116</v>
      </c>
      <c r="C54" s="34" t="s">
        <v>53</v>
      </c>
      <c r="D54" s="11"/>
      <c r="E54" s="148" t="s">
        <v>185</v>
      </c>
      <c r="F54" s="37" t="s">
        <v>34</v>
      </c>
      <c r="G54" s="38">
        <f>+Hoja2!D31</f>
        <v>15</v>
      </c>
      <c r="H54" s="130">
        <f>+'[4]Hoja 1'!$G$22</f>
        <v>423998.17</v>
      </c>
      <c r="I54" s="185">
        <f t="shared" ref="I54:I58" si="1">ROUND(+H54*G54,0)</f>
        <v>6359973</v>
      </c>
      <c r="J54" s="8"/>
    </row>
    <row r="55" spans="1:10" ht="22.5" x14ac:dyDescent="0.25">
      <c r="A55" s="12">
        <v>9.5</v>
      </c>
      <c r="B55" s="37" t="s">
        <v>189</v>
      </c>
      <c r="C55" s="34" t="s">
        <v>194</v>
      </c>
      <c r="D55" s="11"/>
      <c r="E55" s="148" t="s">
        <v>188</v>
      </c>
      <c r="F55" s="37" t="s">
        <v>18</v>
      </c>
      <c r="G55" s="38">
        <f>3*2*0.2</f>
        <v>1.2000000000000002</v>
      </c>
      <c r="H55" s="130">
        <v>564274</v>
      </c>
      <c r="I55" s="185">
        <f t="shared" si="1"/>
        <v>677129</v>
      </c>
      <c r="J55" s="8"/>
    </row>
    <row r="56" spans="1:10" ht="22.5" x14ac:dyDescent="0.25">
      <c r="A56" s="12">
        <v>9.6</v>
      </c>
      <c r="B56" s="37" t="s">
        <v>192</v>
      </c>
      <c r="C56" s="34" t="s">
        <v>194</v>
      </c>
      <c r="D56" s="11"/>
      <c r="E56" s="148" t="s">
        <v>190</v>
      </c>
      <c r="F56" s="37" t="s">
        <v>18</v>
      </c>
      <c r="G56" s="38">
        <f>6*1.5*0.2</f>
        <v>1.8</v>
      </c>
      <c r="H56" s="130">
        <v>760270</v>
      </c>
      <c r="I56" s="185">
        <f t="shared" si="1"/>
        <v>1368486</v>
      </c>
      <c r="J56" s="8"/>
    </row>
    <row r="57" spans="1:10" ht="22.5" x14ac:dyDescent="0.25">
      <c r="A57" s="12">
        <v>9.6999999999999993</v>
      </c>
      <c r="B57" s="37" t="s">
        <v>193</v>
      </c>
      <c r="C57" s="34" t="s">
        <v>194</v>
      </c>
      <c r="D57" s="11"/>
      <c r="E57" s="148" t="s">
        <v>191</v>
      </c>
      <c r="F57" s="37" t="s">
        <v>18</v>
      </c>
      <c r="G57" s="38">
        <f>2.5*0.9*0.25</f>
        <v>0.5625</v>
      </c>
      <c r="H57" s="130">
        <v>932060</v>
      </c>
      <c r="I57" s="185">
        <f t="shared" si="1"/>
        <v>524284</v>
      </c>
      <c r="J57" s="8"/>
    </row>
    <row r="58" spans="1:10" ht="26.25" customHeight="1" thickBot="1" x14ac:dyDescent="0.3">
      <c r="A58" s="225">
        <v>9.8000000000000007</v>
      </c>
      <c r="B58" s="226" t="s">
        <v>196</v>
      </c>
      <c r="C58" s="200" t="s">
        <v>197</v>
      </c>
      <c r="D58" s="227"/>
      <c r="E58" s="213" t="s">
        <v>195</v>
      </c>
      <c r="F58" s="226" t="s">
        <v>165</v>
      </c>
      <c r="G58" s="228">
        <f>2*127</f>
        <v>254</v>
      </c>
      <c r="H58" s="229">
        <v>8953</v>
      </c>
      <c r="I58" s="185">
        <f t="shared" si="1"/>
        <v>2274062</v>
      </c>
      <c r="J58" s="8"/>
    </row>
    <row r="59" spans="1:10" x14ac:dyDescent="0.25">
      <c r="A59" s="80">
        <v>10</v>
      </c>
      <c r="B59" s="81"/>
      <c r="C59" s="81"/>
      <c r="D59" s="91"/>
      <c r="E59" s="151" t="s">
        <v>95</v>
      </c>
      <c r="F59" s="81"/>
      <c r="G59" s="92"/>
      <c r="H59" s="132"/>
      <c r="I59" s="85"/>
      <c r="J59" s="8"/>
    </row>
    <row r="60" spans="1:10" ht="22.5" x14ac:dyDescent="0.25">
      <c r="A60" s="214"/>
      <c r="B60" s="215">
        <v>4</v>
      </c>
      <c r="C60" s="101"/>
      <c r="D60" s="216"/>
      <c r="E60" s="217" t="s">
        <v>41</v>
      </c>
      <c r="F60" s="101"/>
      <c r="G60" s="218"/>
      <c r="H60" s="219"/>
      <c r="I60" s="17"/>
      <c r="J60" s="8"/>
    </row>
    <row r="61" spans="1:10" x14ac:dyDescent="0.25">
      <c r="A61" s="87"/>
      <c r="B61" s="102">
        <v>4.0999999999999996</v>
      </c>
      <c r="C61" s="37"/>
      <c r="D61" s="9"/>
      <c r="E61" s="149" t="s">
        <v>98</v>
      </c>
      <c r="F61" s="37"/>
      <c r="G61" s="38"/>
      <c r="H61" s="130"/>
      <c r="I61" s="46"/>
      <c r="J61" s="8"/>
    </row>
    <row r="62" spans="1:10" ht="24.75" customHeight="1" thickBot="1" x14ac:dyDescent="0.3">
      <c r="A62" s="223">
        <v>10.1</v>
      </c>
      <c r="B62" s="192" t="s">
        <v>42</v>
      </c>
      <c r="C62" s="192" t="s">
        <v>33</v>
      </c>
      <c r="D62" s="193"/>
      <c r="E62" s="194" t="s">
        <v>96</v>
      </c>
      <c r="F62" s="192" t="s">
        <v>18</v>
      </c>
      <c r="G62" s="195">
        <f>+G64*1.2*0.6</f>
        <v>34.559999999999995</v>
      </c>
      <c r="H62" s="196">
        <v>92044</v>
      </c>
      <c r="I62" s="188">
        <f>+H62*G62</f>
        <v>3181040.6399999997</v>
      </c>
      <c r="J62" s="8"/>
    </row>
    <row r="63" spans="1:10" x14ac:dyDescent="0.25">
      <c r="A63" s="80">
        <v>11</v>
      </c>
      <c r="B63" s="81"/>
      <c r="C63" s="81"/>
      <c r="D63" s="91"/>
      <c r="E63" s="151" t="s">
        <v>100</v>
      </c>
      <c r="F63" s="81"/>
      <c r="G63" s="92"/>
      <c r="H63" s="132"/>
      <c r="I63" s="187"/>
      <c r="J63" s="8"/>
    </row>
    <row r="64" spans="1:10" ht="22.5" x14ac:dyDescent="0.25">
      <c r="A64" s="12">
        <v>11.1</v>
      </c>
      <c r="B64" s="37" t="s">
        <v>102</v>
      </c>
      <c r="C64" s="37" t="s">
        <v>53</v>
      </c>
      <c r="D64" s="9"/>
      <c r="E64" s="148" t="s">
        <v>101</v>
      </c>
      <c r="F64" s="37" t="s">
        <v>34</v>
      </c>
      <c r="G64" s="39">
        <v>48</v>
      </c>
      <c r="H64" s="7">
        <v>50566</v>
      </c>
      <c r="I64" s="185">
        <f>+H64*G64</f>
        <v>2427168</v>
      </c>
      <c r="J64" s="8"/>
    </row>
    <row r="65" spans="1:12" ht="22.5" x14ac:dyDescent="0.25">
      <c r="A65" s="12">
        <v>11.2</v>
      </c>
      <c r="B65" s="37" t="s">
        <v>106</v>
      </c>
      <c r="C65" s="37" t="s">
        <v>53</v>
      </c>
      <c r="D65" s="9"/>
      <c r="E65" s="148" t="s">
        <v>103</v>
      </c>
      <c r="F65" s="38" t="s">
        <v>30</v>
      </c>
      <c r="G65" s="39">
        <v>2</v>
      </c>
      <c r="H65" s="7">
        <v>87232</v>
      </c>
      <c r="I65" s="185">
        <f t="shared" ref="I65:I74" si="2">+H65*G65</f>
        <v>174464</v>
      </c>
      <c r="J65" s="8"/>
    </row>
    <row r="66" spans="1:12" ht="22.5" x14ac:dyDescent="0.25">
      <c r="A66" s="12">
        <v>11.3</v>
      </c>
      <c r="B66" s="37" t="s">
        <v>105</v>
      </c>
      <c r="C66" s="37" t="s">
        <v>53</v>
      </c>
      <c r="D66" s="9"/>
      <c r="E66" s="148" t="s">
        <v>104</v>
      </c>
      <c r="F66" s="38" t="s">
        <v>30</v>
      </c>
      <c r="G66" s="38">
        <v>1</v>
      </c>
      <c r="H66" s="7">
        <v>80131</v>
      </c>
      <c r="I66" s="185">
        <f t="shared" si="2"/>
        <v>80131</v>
      </c>
      <c r="J66" s="8"/>
    </row>
    <row r="67" spans="1:12" ht="22.5" x14ac:dyDescent="0.25">
      <c r="A67" s="12">
        <v>11.4</v>
      </c>
      <c r="B67" s="37" t="s">
        <v>108</v>
      </c>
      <c r="C67" s="37" t="s">
        <v>53</v>
      </c>
      <c r="D67" s="9"/>
      <c r="E67" s="148" t="s">
        <v>107</v>
      </c>
      <c r="F67" s="38" t="s">
        <v>30</v>
      </c>
      <c r="G67" s="38">
        <v>1</v>
      </c>
      <c r="H67" s="7">
        <v>82241</v>
      </c>
      <c r="I67" s="185">
        <f t="shared" si="2"/>
        <v>82241</v>
      </c>
      <c r="J67" s="8"/>
    </row>
    <row r="68" spans="1:12" ht="22.5" x14ac:dyDescent="0.25">
      <c r="A68" s="12">
        <v>11.5</v>
      </c>
      <c r="B68" s="37" t="s">
        <v>110</v>
      </c>
      <c r="C68" s="37" t="s">
        <v>53</v>
      </c>
      <c r="D68" s="9"/>
      <c r="E68" s="148" t="s">
        <v>109</v>
      </c>
      <c r="F68" s="38" t="s">
        <v>30</v>
      </c>
      <c r="G68" s="38">
        <v>2</v>
      </c>
      <c r="H68" s="7">
        <v>12757</v>
      </c>
      <c r="I68" s="185">
        <f t="shared" si="2"/>
        <v>25514</v>
      </c>
      <c r="J68" s="8"/>
    </row>
    <row r="69" spans="1:12" ht="33.75" x14ac:dyDescent="0.25">
      <c r="A69" s="12">
        <v>11.6</v>
      </c>
      <c r="B69" s="37" t="s">
        <v>112</v>
      </c>
      <c r="C69" s="37" t="s">
        <v>53</v>
      </c>
      <c r="D69" s="9"/>
      <c r="E69" s="148" t="s">
        <v>111</v>
      </c>
      <c r="F69" s="38" t="s">
        <v>30</v>
      </c>
      <c r="G69" s="38">
        <v>1</v>
      </c>
      <c r="H69" s="7">
        <v>881069</v>
      </c>
      <c r="I69" s="185">
        <f t="shared" si="2"/>
        <v>881069</v>
      </c>
      <c r="J69" s="8"/>
    </row>
    <row r="70" spans="1:12" ht="22.5" x14ac:dyDescent="0.25">
      <c r="A70" s="12">
        <v>11.7</v>
      </c>
      <c r="B70" s="37" t="s">
        <v>114</v>
      </c>
      <c r="C70" s="37" t="s">
        <v>53</v>
      </c>
      <c r="D70" s="9"/>
      <c r="E70" s="148" t="s">
        <v>113</v>
      </c>
      <c r="F70" s="38" t="s">
        <v>30</v>
      </c>
      <c r="G70" s="38">
        <v>1</v>
      </c>
      <c r="H70" s="7">
        <v>273361</v>
      </c>
      <c r="I70" s="185">
        <f t="shared" si="2"/>
        <v>273361</v>
      </c>
      <c r="J70" s="8"/>
    </row>
    <row r="71" spans="1:12" ht="67.5" x14ac:dyDescent="0.25">
      <c r="A71" s="12">
        <v>11.8</v>
      </c>
      <c r="B71" s="34" t="s">
        <v>115</v>
      </c>
      <c r="C71" s="34" t="s">
        <v>53</v>
      </c>
      <c r="D71" s="161"/>
      <c r="E71" s="147" t="s">
        <v>146</v>
      </c>
      <c r="F71" s="162" t="s">
        <v>30</v>
      </c>
      <c r="G71" s="162">
        <v>1</v>
      </c>
      <c r="H71" s="163">
        <v>311000</v>
      </c>
      <c r="I71" s="189">
        <f t="shared" si="2"/>
        <v>311000</v>
      </c>
      <c r="J71" s="8"/>
    </row>
    <row r="72" spans="1:12" ht="67.5" x14ac:dyDescent="0.25">
      <c r="A72" s="12">
        <v>11.9</v>
      </c>
      <c r="B72" s="34" t="s">
        <v>122</v>
      </c>
      <c r="C72" s="34" t="s">
        <v>117</v>
      </c>
      <c r="D72" s="161"/>
      <c r="E72" s="147" t="s">
        <v>147</v>
      </c>
      <c r="F72" s="162" t="s">
        <v>30</v>
      </c>
      <c r="G72" s="162">
        <v>1</v>
      </c>
      <c r="H72" s="163">
        <f>311000-55000</f>
        <v>256000</v>
      </c>
      <c r="I72" s="189">
        <f t="shared" si="2"/>
        <v>256000</v>
      </c>
      <c r="J72" s="8"/>
    </row>
    <row r="73" spans="1:12" ht="18" customHeight="1" thickBot="1" x14ac:dyDescent="0.3">
      <c r="A73" s="224">
        <v>11.1</v>
      </c>
      <c r="B73" s="37" t="s">
        <v>121</v>
      </c>
      <c r="C73" s="37" t="s">
        <v>53</v>
      </c>
      <c r="D73" s="9"/>
      <c r="E73" s="148" t="s">
        <v>118</v>
      </c>
      <c r="F73" s="38" t="s">
        <v>34</v>
      </c>
      <c r="G73" s="38">
        <v>1</v>
      </c>
      <c r="H73" s="7">
        <v>74754</v>
      </c>
      <c r="I73" s="185">
        <f t="shared" si="2"/>
        <v>74754</v>
      </c>
      <c r="J73" s="8"/>
      <c r="K73">
        <v>3444.68</v>
      </c>
      <c r="L73" s="186">
        <f>+K73*125000</f>
        <v>430585000</v>
      </c>
    </row>
    <row r="74" spans="1:12" ht="34.5" thickBot="1" x14ac:dyDescent="0.3">
      <c r="A74" s="74">
        <v>11.11</v>
      </c>
      <c r="B74" s="75" t="s">
        <v>120</v>
      </c>
      <c r="C74" s="75" t="s">
        <v>53</v>
      </c>
      <c r="D74" s="76"/>
      <c r="E74" s="150" t="s">
        <v>119</v>
      </c>
      <c r="F74" s="93" t="s">
        <v>18</v>
      </c>
      <c r="G74" s="93">
        <v>1.2</v>
      </c>
      <c r="H74" s="79">
        <v>648923</v>
      </c>
      <c r="I74" s="186">
        <f t="shared" si="2"/>
        <v>778707.6</v>
      </c>
      <c r="J74" s="8">
        <f>SUM(I60:I74)</f>
        <v>8545450.2400000002</v>
      </c>
    </row>
    <row r="75" spans="1:12" ht="15.75" thickBot="1" x14ac:dyDescent="0.3">
      <c r="A75" s="116"/>
      <c r="B75" s="117"/>
      <c r="C75" s="117"/>
      <c r="D75" s="118"/>
      <c r="E75" s="160"/>
      <c r="F75" s="117"/>
      <c r="G75" s="119"/>
      <c r="H75" s="133"/>
      <c r="I75" s="120"/>
      <c r="J75" s="8"/>
    </row>
    <row r="76" spans="1:12" ht="15.75" thickBot="1" x14ac:dyDescent="0.3">
      <c r="A76" s="236" t="s">
        <v>92</v>
      </c>
      <c r="B76" s="237"/>
      <c r="C76" s="237"/>
      <c r="D76" s="237"/>
      <c r="E76" s="237"/>
      <c r="F76" s="237"/>
      <c r="G76" s="237"/>
      <c r="H76" s="237"/>
      <c r="I76" s="190">
        <f>SUM(I17:I74)</f>
        <v>366193303.23904681</v>
      </c>
      <c r="K76" s="184">
        <f>SUM(I60:I74)</f>
        <v>8545450.2400000002</v>
      </c>
    </row>
    <row r="77" spans="1:12" ht="15.75" thickBot="1" x14ac:dyDescent="0.3">
      <c r="A77" s="238" t="s">
        <v>23</v>
      </c>
      <c r="B77" s="239"/>
      <c r="C77" s="239"/>
      <c r="D77" s="239"/>
      <c r="E77" s="239"/>
      <c r="F77" s="239"/>
      <c r="G77" s="239"/>
      <c r="H77" s="240"/>
      <c r="I77" s="18"/>
    </row>
    <row r="78" spans="1:12" ht="15.75" thickBot="1" x14ac:dyDescent="0.3">
      <c r="A78" s="238" t="s">
        <v>89</v>
      </c>
      <c r="B78" s="239"/>
      <c r="C78" s="239"/>
      <c r="D78" s="239"/>
      <c r="E78" s="239"/>
      <c r="F78" s="109"/>
      <c r="G78" s="109"/>
      <c r="H78" s="134">
        <f>+[5]AIU!$H$75</f>
        <v>0.2515</v>
      </c>
      <c r="I78" s="112">
        <f>+I76*H78</f>
        <v>92097615.764620274</v>
      </c>
      <c r="K78" s="184">
        <f>+H78*K76</f>
        <v>2149180.7353600003</v>
      </c>
    </row>
    <row r="79" spans="1:12" ht="15.75" customHeight="1" thickBot="1" x14ac:dyDescent="0.3">
      <c r="A79" s="238" t="s">
        <v>90</v>
      </c>
      <c r="B79" s="239"/>
      <c r="C79" s="239"/>
      <c r="D79" s="239"/>
      <c r="E79" s="239"/>
      <c r="F79" s="110"/>
      <c r="G79" s="110"/>
      <c r="H79" s="135">
        <f>+[5]AIU!$H$77</f>
        <v>0.01</v>
      </c>
      <c r="I79" s="113">
        <f>+I76*H79</f>
        <v>3661933.0323904683</v>
      </c>
      <c r="K79" s="184">
        <f>+H79*K76</f>
        <v>85454.502399999998</v>
      </c>
    </row>
    <row r="80" spans="1:12" ht="15.75" customHeight="1" thickBot="1" x14ac:dyDescent="0.3">
      <c r="A80" s="247" t="s">
        <v>24</v>
      </c>
      <c r="B80" s="248"/>
      <c r="C80" s="248"/>
      <c r="D80" s="248"/>
      <c r="E80" s="248"/>
      <c r="F80" s="111"/>
      <c r="G80" s="111"/>
      <c r="H80" s="136">
        <f>+[5]AIU!$H$79</f>
        <v>0.05</v>
      </c>
      <c r="I80" s="114">
        <f>+I76*H80</f>
        <v>18309665.161952343</v>
      </c>
      <c r="K80" s="184">
        <f>+H80*K76</f>
        <v>427272.51200000005</v>
      </c>
    </row>
    <row r="81" spans="1:13" ht="23.25" customHeight="1" thickBot="1" x14ac:dyDescent="0.3">
      <c r="A81" s="238" t="s">
        <v>91</v>
      </c>
      <c r="B81" s="239"/>
      <c r="C81" s="239"/>
      <c r="D81" s="239"/>
      <c r="E81" s="239"/>
      <c r="F81" s="109"/>
      <c r="G81" s="109"/>
      <c r="H81" s="137">
        <f>+[5]AIU!$H$81</f>
        <v>0.3115</v>
      </c>
      <c r="I81" s="94">
        <f>+I80+I79+I78</f>
        <v>114069213.95896308</v>
      </c>
      <c r="K81" s="184">
        <f>+H81*K76</f>
        <v>2661907.74976</v>
      </c>
    </row>
    <row r="82" spans="1:13" ht="25.5" customHeight="1" thickBot="1" x14ac:dyDescent="0.3">
      <c r="A82" s="234" t="s">
        <v>88</v>
      </c>
      <c r="B82" s="235"/>
      <c r="C82" s="235"/>
      <c r="D82" s="235"/>
      <c r="E82" s="235"/>
      <c r="F82" s="235"/>
      <c r="G82" s="235"/>
      <c r="H82" s="138">
        <f>+[5]AIU!$H$132</f>
        <v>2.7E-2</v>
      </c>
      <c r="I82" s="95">
        <f>+I76*H82</f>
        <v>9887219.1874542646</v>
      </c>
      <c r="K82" s="184">
        <f>+H82*K76</f>
        <v>230727.15648000001</v>
      </c>
    </row>
    <row r="83" spans="1:13" ht="15.75" thickBot="1" x14ac:dyDescent="0.3">
      <c r="A83" s="234" t="s">
        <v>87</v>
      </c>
      <c r="B83" s="235"/>
      <c r="C83" s="235"/>
      <c r="D83" s="235"/>
      <c r="E83" s="235"/>
      <c r="F83" s="235"/>
      <c r="G83" s="235"/>
      <c r="H83" s="235"/>
      <c r="I83" s="191">
        <f>ROUND(SUM(I76:I80)+I82,0)</f>
        <v>490149736</v>
      </c>
      <c r="J83" s="13"/>
      <c r="K83" s="16">
        <f>ROUND(SUM(K76:K80)+K82,0)</f>
        <v>11438085</v>
      </c>
      <c r="M83" s="16">
        <f>+I83-K83</f>
        <v>478711651</v>
      </c>
    </row>
    <row r="85" spans="1:13" x14ac:dyDescent="0.25">
      <c r="B85" s="261"/>
      <c r="C85" s="261"/>
      <c r="D85" s="261"/>
      <c r="E85" s="261"/>
      <c r="F85" s="261"/>
      <c r="G85" s="261"/>
      <c r="H85" s="261"/>
      <c r="I85" s="261"/>
    </row>
    <row r="87" spans="1:13" x14ac:dyDescent="0.25">
      <c r="I87" s="2">
        <v>490253400</v>
      </c>
    </row>
    <row r="88" spans="1:13" x14ac:dyDescent="0.25">
      <c r="I88" s="230">
        <f>+I83-I87</f>
        <v>-103664</v>
      </c>
    </row>
  </sheetData>
  <mergeCells count="25">
    <mergeCell ref="E4:I6"/>
    <mergeCell ref="E7:I8"/>
    <mergeCell ref="F9:H9"/>
    <mergeCell ref="F10:H10"/>
    <mergeCell ref="B85:I85"/>
    <mergeCell ref="G14:G15"/>
    <mergeCell ref="H14:H15"/>
    <mergeCell ref="I14:I15"/>
    <mergeCell ref="F12:H12"/>
    <mergeCell ref="A13:I13"/>
    <mergeCell ref="A14:A15"/>
    <mergeCell ref="B14:B15"/>
    <mergeCell ref="C14:D14"/>
    <mergeCell ref="E14:E15"/>
    <mergeCell ref="F14:F15"/>
    <mergeCell ref="A82:G82"/>
    <mergeCell ref="F11:H11"/>
    <mergeCell ref="A83:H83"/>
    <mergeCell ref="A76:H76"/>
    <mergeCell ref="A77:H77"/>
    <mergeCell ref="A11:D12"/>
    <mergeCell ref="A78:E78"/>
    <mergeCell ref="A79:E79"/>
    <mergeCell ref="A81:E81"/>
    <mergeCell ref="A80:E80"/>
  </mergeCells>
  <phoneticPr fontId="15" type="noConversion"/>
  <pageMargins left="0.7" right="0.7" top="0.75" bottom="0.75" header="0.3" footer="0.3"/>
  <pageSetup paperSize="9" scale="60" orientation="portrait" r:id="rId1"/>
  <rowBreaks count="1" manualBreakCount="1">
    <brk id="45" max="8" man="1"/>
  </rowBreaks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16E2F-5615-42D6-9DE1-ED279DA34864}">
  <sheetPr codeName="Hoja2"/>
  <dimension ref="A1:Q41"/>
  <sheetViews>
    <sheetView topLeftCell="A5" workbookViewId="0">
      <selection activeCell="F10" sqref="F10:F17"/>
    </sheetView>
  </sheetViews>
  <sheetFormatPr baseColWidth="10" defaultRowHeight="15" x14ac:dyDescent="0.25"/>
  <cols>
    <col min="1" max="1" width="13.5703125" customWidth="1"/>
    <col min="2" max="2" width="13.28515625" customWidth="1"/>
    <col min="6" max="7" width="12.28515625" customWidth="1"/>
    <col min="8" max="8" width="12" bestFit="1" customWidth="1"/>
    <col min="11" max="11" width="13.140625" customWidth="1"/>
    <col min="12" max="13" width="14.42578125" customWidth="1"/>
  </cols>
  <sheetData>
    <row r="1" spans="1:17" x14ac:dyDescent="0.25">
      <c r="A1" s="278" t="s">
        <v>26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32"/>
    </row>
    <row r="3" spans="1:17" ht="15.75" thickBot="1" x14ac:dyDescent="0.3"/>
    <row r="4" spans="1:17" ht="60.75" thickBot="1" x14ac:dyDescent="0.3">
      <c r="A4" s="29" t="s">
        <v>27</v>
      </c>
      <c r="B4" s="30" t="s">
        <v>76</v>
      </c>
      <c r="C4" s="30" t="s">
        <v>77</v>
      </c>
      <c r="D4" s="30" t="s">
        <v>174</v>
      </c>
      <c r="E4" s="30" t="s">
        <v>58</v>
      </c>
      <c r="F4" s="197" t="s">
        <v>71</v>
      </c>
      <c r="G4" s="197" t="s">
        <v>172</v>
      </c>
      <c r="H4" s="198" t="s">
        <v>25</v>
      </c>
      <c r="I4" s="199" t="s">
        <v>76</v>
      </c>
      <c r="J4" s="30" t="s">
        <v>77</v>
      </c>
      <c r="K4" s="30" t="s">
        <v>145</v>
      </c>
      <c r="L4" s="47" t="s">
        <v>80</v>
      </c>
      <c r="M4" s="47" t="s">
        <v>81</v>
      </c>
      <c r="N4" s="31" t="s">
        <v>28</v>
      </c>
    </row>
    <row r="5" spans="1:17" ht="30" x14ac:dyDescent="0.25">
      <c r="A5" s="25"/>
      <c r="B5" s="26"/>
      <c r="C5" s="26"/>
      <c r="D5" s="26"/>
      <c r="E5" s="26"/>
      <c r="F5" s="26"/>
      <c r="G5" s="26"/>
      <c r="H5" s="27"/>
      <c r="I5" s="26"/>
      <c r="J5" s="26"/>
      <c r="K5" s="51" t="s">
        <v>78</v>
      </c>
      <c r="L5" s="50" t="s">
        <v>79</v>
      </c>
      <c r="M5" s="50" t="s">
        <v>79</v>
      </c>
      <c r="N5" s="28"/>
    </row>
    <row r="6" spans="1:17" x14ac:dyDescent="0.25">
      <c r="A6" s="21" t="s">
        <v>171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52"/>
      <c r="N6" s="22"/>
    </row>
    <row r="7" spans="1:17" x14ac:dyDescent="0.25">
      <c r="A7" s="21" t="s">
        <v>57</v>
      </c>
      <c r="B7" s="33">
        <v>7.52</v>
      </c>
      <c r="C7" s="20"/>
      <c r="D7" s="20"/>
      <c r="E7" s="48" t="s">
        <v>59</v>
      </c>
      <c r="F7" s="20"/>
      <c r="G7" s="20"/>
      <c r="H7" s="20">
        <v>1.2</v>
      </c>
      <c r="I7" s="33">
        <f t="shared" ref="I7:I9" si="0">+B7-H7</f>
        <v>6.3199999999999994</v>
      </c>
      <c r="J7" s="20"/>
      <c r="K7" s="33">
        <f>+I7*0.7*1.25</f>
        <v>5.5299999999999994</v>
      </c>
      <c r="L7" s="33">
        <f>+(0.21-0.04)*I7</f>
        <v>1.0743999999999998</v>
      </c>
      <c r="M7" s="53">
        <f>+L7</f>
        <v>1.0743999999999998</v>
      </c>
      <c r="N7" s="54">
        <f>+(1.25-0.42)*0.5*I7</f>
        <v>2.6227999999999998</v>
      </c>
    </row>
    <row r="8" spans="1:17" x14ac:dyDescent="0.25">
      <c r="A8" s="21" t="s">
        <v>179</v>
      </c>
      <c r="B8" s="33"/>
      <c r="C8" s="20"/>
      <c r="D8" s="20"/>
      <c r="E8" s="20"/>
      <c r="F8" s="20"/>
      <c r="G8" s="20"/>
      <c r="H8" s="20"/>
      <c r="I8" s="33"/>
      <c r="J8" s="20"/>
      <c r="K8" s="20"/>
      <c r="L8" s="20"/>
      <c r="M8" s="52"/>
      <c r="N8" s="22"/>
    </row>
    <row r="9" spans="1:17" x14ac:dyDescent="0.25">
      <c r="A9" s="21" t="s">
        <v>57</v>
      </c>
      <c r="B9" s="20">
        <v>3.17</v>
      </c>
      <c r="C9" s="33"/>
      <c r="D9" s="33"/>
      <c r="E9" s="48" t="s">
        <v>59</v>
      </c>
      <c r="F9" s="20"/>
      <c r="G9" s="20"/>
      <c r="H9" s="20">
        <v>1.2</v>
      </c>
      <c r="I9" s="33">
        <f t="shared" si="0"/>
        <v>1.97</v>
      </c>
      <c r="J9" s="20"/>
      <c r="K9" s="33">
        <f>+I9*0.7*1.25</f>
        <v>1.7237499999999999</v>
      </c>
      <c r="L9" s="33">
        <f>+(0.21-0.04)*I9</f>
        <v>0.33489999999999998</v>
      </c>
      <c r="M9" s="53">
        <f>+L9</f>
        <v>0.33489999999999998</v>
      </c>
      <c r="N9" s="54">
        <f>+(1.25-0.42)*0.5*I9</f>
        <v>0.81755000000000011</v>
      </c>
      <c r="P9" s="55">
        <f>+N9+M9+L9</f>
        <v>1.4873499999999999</v>
      </c>
      <c r="Q9" s="55">
        <f>+K9-P9</f>
        <v>0.23639999999999994</v>
      </c>
    </row>
    <row r="10" spans="1:17" x14ac:dyDescent="0.25">
      <c r="A10" s="21" t="s">
        <v>60</v>
      </c>
      <c r="B10" s="33">
        <v>51.71</v>
      </c>
      <c r="C10" s="33"/>
      <c r="D10" s="33"/>
      <c r="E10" s="48" t="s">
        <v>59</v>
      </c>
      <c r="F10" s="33">
        <v>15.86</v>
      </c>
      <c r="G10" s="33"/>
      <c r="H10" s="20">
        <v>1.2</v>
      </c>
      <c r="I10" s="33">
        <f>+B10-H10</f>
        <v>50.51</v>
      </c>
      <c r="J10" s="20"/>
      <c r="K10" s="33">
        <f t="shared" ref="K10:K31" si="1">+I10*0.7*1.25</f>
        <v>44.196249999999999</v>
      </c>
      <c r="L10" s="33">
        <f t="shared" ref="L10:L23" si="2">+(0.21-0.04)*I10</f>
        <v>8.5866999999999987</v>
      </c>
      <c r="M10" s="53">
        <f t="shared" ref="M10:M24" si="3">+L10</f>
        <v>8.5866999999999987</v>
      </c>
      <c r="N10" s="54">
        <f t="shared" ref="N10:N36" si="4">+(1.25-0.42)*0.5*I10</f>
        <v>20.961650000000002</v>
      </c>
      <c r="P10" s="55">
        <f t="shared" ref="P10:P24" si="5">+N10+M10+L10</f>
        <v>38.13505</v>
      </c>
      <c r="Q10" s="55">
        <f t="shared" ref="Q10:Q24" si="6">+K10-P10</f>
        <v>6.0611999999999995</v>
      </c>
    </row>
    <row r="11" spans="1:17" x14ac:dyDescent="0.25">
      <c r="A11" s="21" t="s">
        <v>61</v>
      </c>
      <c r="B11" s="33">
        <v>41.34</v>
      </c>
      <c r="C11" s="33"/>
      <c r="D11" s="33"/>
      <c r="E11" s="48" t="s">
        <v>59</v>
      </c>
      <c r="F11" s="33"/>
      <c r="G11" s="33"/>
      <c r="H11" s="20">
        <v>1.2</v>
      </c>
      <c r="I11" s="20">
        <f t="shared" ref="I11:I30" si="7">+B11-H11</f>
        <v>40.14</v>
      </c>
      <c r="J11" s="20"/>
      <c r="K11" s="33">
        <f t="shared" si="1"/>
        <v>35.122500000000002</v>
      </c>
      <c r="L11" s="33">
        <f t="shared" si="2"/>
        <v>6.8237999999999994</v>
      </c>
      <c r="M11" s="53">
        <f t="shared" si="3"/>
        <v>6.8237999999999994</v>
      </c>
      <c r="N11" s="54">
        <f t="shared" si="4"/>
        <v>16.658100000000001</v>
      </c>
      <c r="P11" s="55">
        <f t="shared" si="5"/>
        <v>30.305699999999998</v>
      </c>
      <c r="Q11" s="55">
        <f t="shared" si="6"/>
        <v>4.8168000000000042</v>
      </c>
    </row>
    <row r="12" spans="1:17" x14ac:dyDescent="0.25">
      <c r="A12" s="21" t="s">
        <v>180</v>
      </c>
      <c r="B12" s="33"/>
      <c r="C12" s="33"/>
      <c r="D12" s="33"/>
      <c r="E12" s="48"/>
      <c r="F12" s="33"/>
      <c r="G12" s="33"/>
      <c r="H12" s="20"/>
      <c r="I12" s="20">
        <f t="shared" si="7"/>
        <v>0</v>
      </c>
      <c r="J12" s="20"/>
      <c r="K12" s="33"/>
      <c r="L12" s="33"/>
      <c r="M12" s="53"/>
      <c r="N12" s="54"/>
      <c r="P12" s="55"/>
      <c r="Q12" s="55"/>
    </row>
    <row r="13" spans="1:17" x14ac:dyDescent="0.25">
      <c r="A13" s="21" t="s">
        <v>61</v>
      </c>
      <c r="B13" s="33">
        <v>2.5</v>
      </c>
      <c r="C13" s="33"/>
      <c r="D13" s="33"/>
      <c r="E13" s="48" t="s">
        <v>59</v>
      </c>
      <c r="F13" s="33"/>
      <c r="G13" s="33"/>
      <c r="H13" s="20">
        <v>1.2</v>
      </c>
      <c r="I13" s="20">
        <f t="shared" si="7"/>
        <v>1.3</v>
      </c>
      <c r="J13" s="20"/>
      <c r="K13" s="33">
        <f t="shared" si="1"/>
        <v>1.1375</v>
      </c>
      <c r="L13" s="33">
        <f t="shared" si="2"/>
        <v>0.22099999999999997</v>
      </c>
      <c r="M13" s="53">
        <f t="shared" si="3"/>
        <v>0.22099999999999997</v>
      </c>
      <c r="N13" s="54">
        <f t="shared" si="4"/>
        <v>0.53950000000000009</v>
      </c>
      <c r="P13" s="55">
        <f t="shared" si="5"/>
        <v>0.98150000000000004</v>
      </c>
      <c r="Q13" s="55">
        <f t="shared" si="6"/>
        <v>0.15599999999999992</v>
      </c>
    </row>
    <row r="14" spans="1:17" x14ac:dyDescent="0.25">
      <c r="A14" s="21" t="s">
        <v>62</v>
      </c>
      <c r="B14" s="33">
        <v>17.96</v>
      </c>
      <c r="C14" s="33"/>
      <c r="D14" s="33"/>
      <c r="E14" s="48" t="s">
        <v>59</v>
      </c>
      <c r="F14" s="33"/>
      <c r="G14" s="33"/>
      <c r="H14" s="20">
        <v>1.2</v>
      </c>
      <c r="I14" s="20">
        <f t="shared" si="7"/>
        <v>16.760000000000002</v>
      </c>
      <c r="J14" s="20"/>
      <c r="K14" s="33">
        <f t="shared" si="1"/>
        <v>14.665000000000001</v>
      </c>
      <c r="L14" s="33">
        <f t="shared" si="2"/>
        <v>2.8492000000000002</v>
      </c>
      <c r="M14" s="53">
        <f t="shared" si="3"/>
        <v>2.8492000000000002</v>
      </c>
      <c r="N14" s="54">
        <f t="shared" si="4"/>
        <v>6.9554000000000009</v>
      </c>
      <c r="P14" s="55">
        <f t="shared" si="5"/>
        <v>12.6538</v>
      </c>
      <c r="Q14" s="55">
        <f t="shared" si="6"/>
        <v>2.0112000000000005</v>
      </c>
    </row>
    <row r="15" spans="1:17" x14ac:dyDescent="0.25">
      <c r="A15" s="21" t="s">
        <v>63</v>
      </c>
      <c r="B15" s="33">
        <v>23.26</v>
      </c>
      <c r="C15" s="33"/>
      <c r="D15" s="33"/>
      <c r="E15" s="48" t="s">
        <v>59</v>
      </c>
      <c r="F15" s="33"/>
      <c r="G15" s="33"/>
      <c r="H15" s="20">
        <v>1.2</v>
      </c>
      <c r="I15" s="20">
        <f t="shared" si="7"/>
        <v>22.060000000000002</v>
      </c>
      <c r="J15" s="20"/>
      <c r="K15" s="33">
        <f t="shared" si="1"/>
        <v>19.302500000000002</v>
      </c>
      <c r="L15" s="33">
        <f t="shared" si="2"/>
        <v>3.7502</v>
      </c>
      <c r="M15" s="53">
        <f t="shared" si="3"/>
        <v>3.7502</v>
      </c>
      <c r="N15" s="54">
        <f t="shared" si="4"/>
        <v>9.1549000000000014</v>
      </c>
      <c r="P15" s="55">
        <f t="shared" si="5"/>
        <v>16.6553</v>
      </c>
      <c r="Q15" s="55">
        <f t="shared" si="6"/>
        <v>2.6472000000000016</v>
      </c>
    </row>
    <row r="16" spans="1:17" x14ac:dyDescent="0.25">
      <c r="A16" s="21" t="s">
        <v>64</v>
      </c>
      <c r="B16" s="33">
        <v>31.34</v>
      </c>
      <c r="C16" s="33"/>
      <c r="D16" s="33"/>
      <c r="E16" s="48" t="s">
        <v>59</v>
      </c>
      <c r="F16" s="33">
        <v>4.2</v>
      </c>
      <c r="G16" s="33"/>
      <c r="H16" s="20">
        <v>1.2</v>
      </c>
      <c r="I16" s="20">
        <f t="shared" si="7"/>
        <v>30.14</v>
      </c>
      <c r="J16" s="20"/>
      <c r="K16" s="33">
        <f t="shared" si="1"/>
        <v>26.372499999999999</v>
      </c>
      <c r="L16" s="33">
        <f t="shared" si="2"/>
        <v>5.1237999999999992</v>
      </c>
      <c r="M16" s="53">
        <f t="shared" si="3"/>
        <v>5.1237999999999992</v>
      </c>
      <c r="N16" s="54">
        <f t="shared" si="4"/>
        <v>12.508100000000001</v>
      </c>
      <c r="P16" s="55">
        <f t="shared" si="5"/>
        <v>22.755700000000001</v>
      </c>
      <c r="Q16" s="55">
        <f t="shared" si="6"/>
        <v>3.6167999999999978</v>
      </c>
    </row>
    <row r="17" spans="1:17" x14ac:dyDescent="0.25">
      <c r="A17" s="21" t="s">
        <v>65</v>
      </c>
      <c r="B17" s="33">
        <v>57</v>
      </c>
      <c r="C17" s="33"/>
      <c r="D17" s="33"/>
      <c r="E17" s="48" t="s">
        <v>59</v>
      </c>
      <c r="F17" s="33">
        <v>57</v>
      </c>
      <c r="G17" s="33"/>
      <c r="H17" s="20">
        <v>1.2</v>
      </c>
      <c r="I17" s="20">
        <f t="shared" si="7"/>
        <v>55.8</v>
      </c>
      <c r="J17" s="20"/>
      <c r="K17" s="33">
        <f t="shared" si="1"/>
        <v>48.824999999999996</v>
      </c>
      <c r="L17" s="33">
        <f t="shared" si="2"/>
        <v>9.4859999999999989</v>
      </c>
      <c r="M17" s="53">
        <f t="shared" si="3"/>
        <v>9.4859999999999989</v>
      </c>
      <c r="N17" s="54">
        <f t="shared" si="4"/>
        <v>23.157</v>
      </c>
      <c r="P17" s="55">
        <f t="shared" si="5"/>
        <v>42.128999999999998</v>
      </c>
      <c r="Q17" s="55">
        <f t="shared" si="6"/>
        <v>6.695999999999998</v>
      </c>
    </row>
    <row r="18" spans="1:17" x14ac:dyDescent="0.25">
      <c r="A18" s="21" t="s">
        <v>66</v>
      </c>
      <c r="B18" s="33">
        <v>47.11</v>
      </c>
      <c r="C18" s="33"/>
      <c r="D18" s="33"/>
      <c r="E18" s="48" t="s">
        <v>59</v>
      </c>
      <c r="F18" s="33"/>
      <c r="G18" s="33"/>
      <c r="H18" s="20">
        <v>1.2</v>
      </c>
      <c r="I18" s="20">
        <f t="shared" si="7"/>
        <v>45.91</v>
      </c>
      <c r="J18" s="20"/>
      <c r="K18" s="33">
        <f t="shared" si="1"/>
        <v>40.171249999999993</v>
      </c>
      <c r="L18" s="33">
        <f t="shared" ref="L18" si="8">+(0.21-0.04)*I18</f>
        <v>7.8046999999999986</v>
      </c>
      <c r="M18" s="53">
        <f t="shared" ref="M18" si="9">+L18</f>
        <v>7.8046999999999986</v>
      </c>
      <c r="N18" s="54">
        <f t="shared" si="4"/>
        <v>19.05265</v>
      </c>
      <c r="P18" s="55"/>
      <c r="Q18" s="55"/>
    </row>
    <row r="19" spans="1:17" x14ac:dyDescent="0.25">
      <c r="A19" s="21" t="s">
        <v>173</v>
      </c>
      <c r="B19" s="33"/>
      <c r="C19" s="33"/>
      <c r="D19" s="33"/>
      <c r="E19" s="48" t="s">
        <v>59</v>
      </c>
      <c r="F19" s="33"/>
      <c r="G19" s="33"/>
      <c r="H19" s="20"/>
      <c r="I19" s="20"/>
      <c r="J19" s="20"/>
      <c r="K19" s="33"/>
      <c r="L19" s="33"/>
      <c r="M19" s="53"/>
      <c r="N19" s="54"/>
      <c r="P19" s="55"/>
      <c r="Q19" s="55"/>
    </row>
    <row r="20" spans="1:17" x14ac:dyDescent="0.25">
      <c r="A20" s="21" t="s">
        <v>66</v>
      </c>
      <c r="B20" s="33">
        <v>9.2799999999999994</v>
      </c>
      <c r="C20" s="33"/>
      <c r="D20" s="33"/>
      <c r="E20" s="48" t="s">
        <v>59</v>
      </c>
      <c r="F20" s="33"/>
      <c r="G20" s="33"/>
      <c r="H20" s="20">
        <v>1.2</v>
      </c>
      <c r="I20" s="20">
        <f t="shared" si="7"/>
        <v>8.08</v>
      </c>
      <c r="J20" s="20"/>
      <c r="K20" s="33">
        <f t="shared" si="1"/>
        <v>7.0699999999999994</v>
      </c>
      <c r="L20" s="33">
        <f t="shared" si="2"/>
        <v>1.3735999999999999</v>
      </c>
      <c r="M20" s="53">
        <f t="shared" si="3"/>
        <v>1.3735999999999999</v>
      </c>
      <c r="N20" s="54">
        <f t="shared" si="4"/>
        <v>3.3532000000000002</v>
      </c>
      <c r="P20" s="55">
        <f t="shared" si="5"/>
        <v>6.1003999999999996</v>
      </c>
      <c r="Q20" s="55">
        <f t="shared" si="6"/>
        <v>0.9695999999999998</v>
      </c>
    </row>
    <row r="21" spans="1:17" x14ac:dyDescent="0.25">
      <c r="A21" s="21" t="s">
        <v>67</v>
      </c>
      <c r="B21" s="33">
        <v>15.78</v>
      </c>
      <c r="C21" s="33"/>
      <c r="D21" s="33"/>
      <c r="E21" s="48" t="s">
        <v>59</v>
      </c>
      <c r="F21" s="33"/>
      <c r="G21" s="33"/>
      <c r="H21" s="20">
        <v>1.2</v>
      </c>
      <c r="I21" s="20">
        <f t="shared" si="7"/>
        <v>14.58</v>
      </c>
      <c r="J21" s="33"/>
      <c r="K21" s="33">
        <f t="shared" si="1"/>
        <v>12.7575</v>
      </c>
      <c r="L21" s="33">
        <f t="shared" si="2"/>
        <v>2.4785999999999997</v>
      </c>
      <c r="M21" s="53">
        <f t="shared" si="3"/>
        <v>2.4785999999999997</v>
      </c>
      <c r="N21" s="54">
        <f t="shared" si="4"/>
        <v>6.0507000000000009</v>
      </c>
      <c r="P21" s="55">
        <f t="shared" si="5"/>
        <v>11.007900000000001</v>
      </c>
      <c r="Q21" s="55">
        <f t="shared" si="6"/>
        <v>1.7495999999999992</v>
      </c>
    </row>
    <row r="22" spans="1:17" x14ac:dyDescent="0.25">
      <c r="A22" s="21" t="s">
        <v>68</v>
      </c>
      <c r="B22" s="33">
        <v>34.880000000000003</v>
      </c>
      <c r="C22" s="33"/>
      <c r="D22" s="33"/>
      <c r="E22" s="48" t="s">
        <v>59</v>
      </c>
      <c r="F22" s="33"/>
      <c r="G22" s="33"/>
      <c r="H22" s="20">
        <v>1.2</v>
      </c>
      <c r="I22" s="20">
        <f t="shared" si="7"/>
        <v>33.68</v>
      </c>
      <c r="J22" s="33"/>
      <c r="K22" s="33">
        <f t="shared" si="1"/>
        <v>29.469999999999995</v>
      </c>
      <c r="L22" s="33">
        <f t="shared" si="2"/>
        <v>5.7255999999999991</v>
      </c>
      <c r="M22" s="53">
        <f t="shared" si="3"/>
        <v>5.7255999999999991</v>
      </c>
      <c r="N22" s="54">
        <f t="shared" si="4"/>
        <v>13.977200000000002</v>
      </c>
      <c r="P22" s="55">
        <f t="shared" si="5"/>
        <v>25.4284</v>
      </c>
      <c r="Q22" s="55">
        <f t="shared" si="6"/>
        <v>4.0415999999999954</v>
      </c>
    </row>
    <row r="23" spans="1:17" x14ac:dyDescent="0.25">
      <c r="A23" s="21" t="s">
        <v>69</v>
      </c>
      <c r="B23" s="33">
        <v>33.369999999999997</v>
      </c>
      <c r="C23" s="33"/>
      <c r="D23" s="33"/>
      <c r="E23" s="48" t="s">
        <v>59</v>
      </c>
      <c r="F23" s="33"/>
      <c r="G23" s="33"/>
      <c r="H23" s="20">
        <v>1.2</v>
      </c>
      <c r="I23" s="20">
        <f t="shared" si="7"/>
        <v>32.169999999999995</v>
      </c>
      <c r="J23" s="33"/>
      <c r="K23" s="33">
        <f t="shared" si="1"/>
        <v>28.148749999999993</v>
      </c>
      <c r="L23" s="33">
        <f t="shared" si="2"/>
        <v>5.4688999999999988</v>
      </c>
      <c r="M23" s="53">
        <f t="shared" si="3"/>
        <v>5.4688999999999988</v>
      </c>
      <c r="N23" s="54">
        <f t="shared" si="4"/>
        <v>13.350549999999998</v>
      </c>
      <c r="P23" s="55">
        <f t="shared" si="5"/>
        <v>24.288349999999994</v>
      </c>
      <c r="Q23" s="55">
        <f t="shared" si="6"/>
        <v>3.8603999999999985</v>
      </c>
    </row>
    <row r="24" spans="1:17" x14ac:dyDescent="0.25">
      <c r="A24" s="21" t="s">
        <v>70</v>
      </c>
      <c r="B24" s="33">
        <v>13.64</v>
      </c>
      <c r="C24" s="33"/>
      <c r="D24" s="33"/>
      <c r="E24" s="48" t="s">
        <v>59</v>
      </c>
      <c r="F24" s="33"/>
      <c r="G24" s="33"/>
      <c r="H24" s="20">
        <v>1.2</v>
      </c>
      <c r="I24" s="20">
        <f t="shared" si="7"/>
        <v>12.440000000000001</v>
      </c>
      <c r="J24" s="33"/>
      <c r="K24" s="33">
        <f t="shared" si="1"/>
        <v>10.885</v>
      </c>
      <c r="L24" s="33">
        <f>+(0.21-0.04)*I24</f>
        <v>2.1148000000000002</v>
      </c>
      <c r="M24" s="53">
        <f t="shared" si="3"/>
        <v>2.1148000000000002</v>
      </c>
      <c r="N24" s="54">
        <f t="shared" si="4"/>
        <v>5.1626000000000012</v>
      </c>
      <c r="P24" s="55">
        <f t="shared" si="5"/>
        <v>9.3922000000000025</v>
      </c>
      <c r="Q24" s="55">
        <f t="shared" si="6"/>
        <v>1.4927999999999972</v>
      </c>
    </row>
    <row r="25" spans="1:17" x14ac:dyDescent="0.25">
      <c r="A25" s="21" t="s">
        <v>72</v>
      </c>
      <c r="B25" s="33">
        <v>30.67</v>
      </c>
      <c r="C25" s="33"/>
      <c r="D25" s="33"/>
      <c r="E25" s="48" t="s">
        <v>59</v>
      </c>
      <c r="F25" s="33"/>
      <c r="G25" s="33"/>
      <c r="H25" s="20">
        <v>1.2</v>
      </c>
      <c r="I25" s="20">
        <f t="shared" si="7"/>
        <v>29.470000000000002</v>
      </c>
      <c r="J25" s="33"/>
      <c r="K25" s="33">
        <f t="shared" si="1"/>
        <v>25.786250000000003</v>
      </c>
      <c r="L25" s="33">
        <f t="shared" ref="L25:L31" si="10">+(0.21-0.04)*I25</f>
        <v>5.0099</v>
      </c>
      <c r="M25" s="53">
        <f t="shared" ref="M25:M36" si="11">+L25</f>
        <v>5.0099</v>
      </c>
      <c r="N25" s="54">
        <f t="shared" si="4"/>
        <v>12.230050000000002</v>
      </c>
      <c r="P25" s="55"/>
      <c r="Q25" s="55"/>
    </row>
    <row r="26" spans="1:17" x14ac:dyDescent="0.25">
      <c r="A26" s="21" t="s">
        <v>73</v>
      </c>
      <c r="B26" s="33">
        <v>17.64</v>
      </c>
      <c r="C26" s="33"/>
      <c r="D26" s="33"/>
      <c r="E26" s="48" t="s">
        <v>59</v>
      </c>
      <c r="F26" s="33"/>
      <c r="G26" s="33"/>
      <c r="H26" s="20">
        <v>1.2</v>
      </c>
      <c r="I26" s="20">
        <f t="shared" si="7"/>
        <v>16.440000000000001</v>
      </c>
      <c r="J26" s="33"/>
      <c r="K26" s="33">
        <f t="shared" si="1"/>
        <v>14.385000000000002</v>
      </c>
      <c r="L26" s="33">
        <f t="shared" si="10"/>
        <v>2.7948</v>
      </c>
      <c r="M26" s="53">
        <f t="shared" si="11"/>
        <v>2.7948</v>
      </c>
      <c r="N26" s="54">
        <f t="shared" si="4"/>
        <v>6.8226000000000013</v>
      </c>
      <c r="P26" s="55">
        <v>86.82</v>
      </c>
      <c r="Q26" s="55"/>
    </row>
    <row r="27" spans="1:17" x14ac:dyDescent="0.25">
      <c r="A27" s="21" t="s">
        <v>74</v>
      </c>
      <c r="B27" s="33">
        <v>36.46</v>
      </c>
      <c r="C27" s="33"/>
      <c r="D27" s="33"/>
      <c r="E27" s="48" t="s">
        <v>59</v>
      </c>
      <c r="F27" s="33"/>
      <c r="G27" s="33"/>
      <c r="H27" s="20">
        <v>1.2</v>
      </c>
      <c r="I27" s="20">
        <f t="shared" si="7"/>
        <v>35.26</v>
      </c>
      <c r="J27" s="33"/>
      <c r="K27" s="33">
        <f t="shared" si="1"/>
        <v>30.852499999999999</v>
      </c>
      <c r="L27" s="33">
        <f t="shared" si="10"/>
        <v>5.9941999999999993</v>
      </c>
      <c r="M27" s="53">
        <f t="shared" si="11"/>
        <v>5.9941999999999993</v>
      </c>
      <c r="N27" s="54">
        <f t="shared" si="4"/>
        <v>14.632900000000001</v>
      </c>
      <c r="P27" s="55">
        <v>185.06</v>
      </c>
      <c r="Q27" s="55"/>
    </row>
    <row r="28" spans="1:17" x14ac:dyDescent="0.25">
      <c r="A28" s="21" t="s">
        <v>138</v>
      </c>
      <c r="B28" s="33">
        <v>19.32</v>
      </c>
      <c r="C28" s="33"/>
      <c r="D28" s="33"/>
      <c r="E28" s="48" t="s">
        <v>59</v>
      </c>
      <c r="F28" s="33"/>
      <c r="G28" s="33"/>
      <c r="H28" s="20">
        <v>1.2</v>
      </c>
      <c r="I28" s="20">
        <f t="shared" si="7"/>
        <v>18.12</v>
      </c>
      <c r="J28" s="33"/>
      <c r="K28" s="33">
        <f t="shared" si="1"/>
        <v>15.854999999999999</v>
      </c>
      <c r="L28" s="33">
        <f t="shared" si="10"/>
        <v>3.0804</v>
      </c>
      <c r="M28" s="53">
        <f t="shared" si="11"/>
        <v>3.0804</v>
      </c>
      <c r="N28" s="54">
        <f t="shared" si="4"/>
        <v>7.5198000000000009</v>
      </c>
      <c r="P28" s="55"/>
      <c r="Q28" s="55"/>
    </row>
    <row r="29" spans="1:17" x14ac:dyDescent="0.25">
      <c r="A29" s="21" t="s">
        <v>139</v>
      </c>
      <c r="B29" s="33">
        <v>35.369999999999997</v>
      </c>
      <c r="C29" s="33"/>
      <c r="D29" s="33"/>
      <c r="E29" s="48" t="s">
        <v>59</v>
      </c>
      <c r="F29" s="33"/>
      <c r="G29" s="33"/>
      <c r="H29" s="20">
        <v>1.2</v>
      </c>
      <c r="I29" s="20">
        <f t="shared" si="7"/>
        <v>34.169999999999995</v>
      </c>
      <c r="J29" s="33"/>
      <c r="K29" s="33">
        <f t="shared" si="1"/>
        <v>29.898749999999993</v>
      </c>
      <c r="L29" s="33">
        <f t="shared" si="10"/>
        <v>5.8088999999999986</v>
      </c>
      <c r="M29" s="53">
        <f t="shared" si="11"/>
        <v>5.8088999999999986</v>
      </c>
      <c r="N29" s="54">
        <f t="shared" si="4"/>
        <v>14.180549999999998</v>
      </c>
      <c r="P29" s="55"/>
      <c r="Q29" s="55"/>
    </row>
    <row r="30" spans="1:17" x14ac:dyDescent="0.25">
      <c r="A30" s="21" t="s">
        <v>140</v>
      </c>
      <c r="B30" s="33">
        <v>46.64</v>
      </c>
      <c r="C30" s="33"/>
      <c r="D30" s="33"/>
      <c r="E30" s="48" t="s">
        <v>59</v>
      </c>
      <c r="F30" s="33"/>
      <c r="G30" s="33"/>
      <c r="H30" s="20">
        <v>1.2</v>
      </c>
      <c r="I30" s="20">
        <f t="shared" si="7"/>
        <v>45.44</v>
      </c>
      <c r="J30" s="33"/>
      <c r="K30" s="33">
        <f t="shared" si="1"/>
        <v>39.76</v>
      </c>
      <c r="L30" s="33">
        <f t="shared" si="10"/>
        <v>7.7247999999999992</v>
      </c>
      <c r="M30" s="53">
        <f t="shared" si="11"/>
        <v>7.7247999999999992</v>
      </c>
      <c r="N30" s="54">
        <f t="shared" si="4"/>
        <v>18.857600000000001</v>
      </c>
      <c r="P30" s="55"/>
      <c r="Q30" s="55"/>
    </row>
    <row r="31" spans="1:17" x14ac:dyDescent="0.25">
      <c r="A31" s="21" t="s">
        <v>141</v>
      </c>
      <c r="C31" s="33">
        <v>56.4</v>
      </c>
      <c r="D31" s="33">
        <v>15</v>
      </c>
      <c r="E31" s="48" t="s">
        <v>75</v>
      </c>
      <c r="F31" s="33"/>
      <c r="G31" s="33"/>
      <c r="H31" s="20">
        <v>1.2</v>
      </c>
      <c r="I31" s="33"/>
      <c r="J31" s="33">
        <f>+C31-H31</f>
        <v>55.199999999999996</v>
      </c>
      <c r="K31" s="33">
        <f t="shared" si="1"/>
        <v>0</v>
      </c>
      <c r="L31" s="33">
        <f t="shared" si="10"/>
        <v>0</v>
      </c>
      <c r="M31" s="53">
        <f t="shared" si="11"/>
        <v>0</v>
      </c>
      <c r="N31" s="54">
        <f t="shared" si="4"/>
        <v>0</v>
      </c>
      <c r="P31" s="55"/>
      <c r="Q31" s="55"/>
    </row>
    <row r="32" spans="1:17" x14ac:dyDescent="0.25">
      <c r="A32" s="21" t="s">
        <v>142</v>
      </c>
      <c r="B32" s="33"/>
      <c r="C32" s="33">
        <v>14.55</v>
      </c>
      <c r="D32" s="33"/>
      <c r="E32" s="48" t="s">
        <v>75</v>
      </c>
      <c r="F32" s="20"/>
      <c r="G32" s="20"/>
      <c r="H32" s="20">
        <v>1.2</v>
      </c>
      <c r="I32" s="20"/>
      <c r="J32" s="33">
        <f t="shared" ref="J32:J35" si="12">+C32-H32</f>
        <v>13.350000000000001</v>
      </c>
      <c r="K32" s="33">
        <f>+J32*0.7*1.25</f>
        <v>11.68125</v>
      </c>
      <c r="L32" s="33">
        <f t="shared" ref="L32:L35" si="13">+(0.21-0.04)*J32</f>
        <v>2.2694999999999999</v>
      </c>
      <c r="M32" s="53">
        <f t="shared" si="11"/>
        <v>2.2694999999999999</v>
      </c>
      <c r="N32" s="54">
        <f t="shared" si="4"/>
        <v>0</v>
      </c>
      <c r="P32" s="55"/>
      <c r="Q32" s="55"/>
    </row>
    <row r="33" spans="1:17" x14ac:dyDescent="0.25">
      <c r="A33" s="21" t="s">
        <v>143</v>
      </c>
      <c r="B33" s="33"/>
      <c r="C33" s="33">
        <v>35.94</v>
      </c>
      <c r="D33" s="33"/>
      <c r="E33" s="48" t="s">
        <v>75</v>
      </c>
      <c r="F33" s="20"/>
      <c r="G33" s="20"/>
      <c r="H33" s="20">
        <v>1.2</v>
      </c>
      <c r="I33" s="20"/>
      <c r="J33" s="33">
        <f t="shared" si="12"/>
        <v>34.739999999999995</v>
      </c>
      <c r="K33" s="33">
        <f t="shared" ref="K33:K35" si="14">+J33*0.7*1.25</f>
        <v>30.397499999999994</v>
      </c>
      <c r="L33" s="33">
        <f t="shared" si="13"/>
        <v>5.9057999999999984</v>
      </c>
      <c r="M33" s="53">
        <f t="shared" si="11"/>
        <v>5.9057999999999984</v>
      </c>
      <c r="N33" s="54">
        <f t="shared" si="4"/>
        <v>0</v>
      </c>
      <c r="P33" s="55"/>
      <c r="Q33" s="55"/>
    </row>
    <row r="34" spans="1:17" x14ac:dyDescent="0.25">
      <c r="A34" s="21" t="s">
        <v>144</v>
      </c>
      <c r="B34" s="33"/>
      <c r="C34" s="33">
        <v>12.76</v>
      </c>
      <c r="D34" s="33"/>
      <c r="E34" s="48" t="s">
        <v>75</v>
      </c>
      <c r="F34" s="33">
        <v>13</v>
      </c>
      <c r="G34" s="20"/>
      <c r="H34" s="20">
        <v>1.2</v>
      </c>
      <c r="I34" s="20"/>
      <c r="J34" s="33">
        <f t="shared" si="12"/>
        <v>11.56</v>
      </c>
      <c r="K34" s="33">
        <f t="shared" si="14"/>
        <v>10.115</v>
      </c>
      <c r="L34" s="33">
        <f t="shared" si="13"/>
        <v>1.9651999999999998</v>
      </c>
      <c r="M34" s="53">
        <f t="shared" si="11"/>
        <v>1.9651999999999998</v>
      </c>
      <c r="N34" s="54">
        <f t="shared" si="4"/>
        <v>0</v>
      </c>
      <c r="P34" s="55"/>
      <c r="Q34" s="55"/>
    </row>
    <row r="35" spans="1:17" ht="30" x14ac:dyDescent="0.25">
      <c r="A35" s="49" t="s">
        <v>175</v>
      </c>
      <c r="B35" s="33"/>
      <c r="C35" s="33">
        <v>35</v>
      </c>
      <c r="D35" s="33"/>
      <c r="E35" s="48" t="s">
        <v>75</v>
      </c>
      <c r="F35" s="20"/>
      <c r="G35" s="20"/>
      <c r="H35" s="20">
        <v>1.2</v>
      </c>
      <c r="I35" s="20"/>
      <c r="J35" s="33">
        <f t="shared" si="12"/>
        <v>33.799999999999997</v>
      </c>
      <c r="K35" s="33">
        <f t="shared" si="14"/>
        <v>29.574999999999996</v>
      </c>
      <c r="L35" s="33">
        <f t="shared" si="13"/>
        <v>5.7459999999999987</v>
      </c>
      <c r="M35" s="53">
        <f t="shared" si="11"/>
        <v>5.7459999999999987</v>
      </c>
      <c r="N35" s="54">
        <f t="shared" si="4"/>
        <v>0</v>
      </c>
      <c r="P35" s="55"/>
      <c r="Q35" s="55"/>
    </row>
    <row r="36" spans="1:17" x14ac:dyDescent="0.25">
      <c r="A36" s="21" t="s">
        <v>176</v>
      </c>
      <c r="B36" s="33">
        <v>20</v>
      </c>
      <c r="C36" s="33">
        <v>0</v>
      </c>
      <c r="D36" s="33"/>
      <c r="E36" s="48" t="s">
        <v>199</v>
      </c>
      <c r="F36" s="20"/>
      <c r="G36" s="20"/>
      <c r="H36" s="20">
        <v>1.2</v>
      </c>
      <c r="I36" s="20"/>
      <c r="J36" s="33"/>
      <c r="K36" s="33">
        <f>+I36*0.7*1.25</f>
        <v>0</v>
      </c>
      <c r="L36" s="33">
        <f>+(0.21-0.04)*I36</f>
        <v>0</v>
      </c>
      <c r="M36" s="53">
        <f t="shared" si="11"/>
        <v>0</v>
      </c>
      <c r="N36" s="54">
        <f t="shared" si="4"/>
        <v>0</v>
      </c>
      <c r="P36" s="55"/>
      <c r="Q36" s="55"/>
    </row>
    <row r="37" spans="1:17" ht="30" x14ac:dyDescent="0.25">
      <c r="A37" s="49" t="s">
        <v>177</v>
      </c>
      <c r="B37" s="20"/>
      <c r="C37" s="33"/>
      <c r="D37" s="33"/>
      <c r="E37" s="48"/>
      <c r="F37" s="20"/>
      <c r="G37" s="20"/>
      <c r="H37" s="20"/>
      <c r="I37" s="33"/>
      <c r="J37" s="33"/>
      <c r="K37" s="33"/>
      <c r="L37" s="33"/>
      <c r="M37" s="53"/>
      <c r="N37" s="54">
        <f>+P27+P26</f>
        <v>271.88</v>
      </c>
      <c r="P37" s="55"/>
      <c r="Q37" s="55"/>
    </row>
    <row r="38" spans="1:17" ht="45" x14ac:dyDescent="0.25">
      <c r="A38" s="156" t="s">
        <v>178</v>
      </c>
      <c r="B38" s="157"/>
      <c r="C38" s="158"/>
      <c r="D38" s="158"/>
      <c r="E38" s="159"/>
      <c r="F38" s="157"/>
      <c r="G38" s="157"/>
      <c r="H38" s="157"/>
      <c r="I38" s="33"/>
      <c r="J38" s="33"/>
      <c r="K38" s="33"/>
      <c r="L38" s="33"/>
      <c r="M38" s="53"/>
      <c r="N38" s="54">
        <f>4*2*0.25*1.6</f>
        <v>3.2</v>
      </c>
      <c r="P38" s="55"/>
      <c r="Q38" s="55"/>
    </row>
    <row r="39" spans="1:17" ht="15.75" thickBot="1" x14ac:dyDescent="0.3">
      <c r="A39" s="23"/>
      <c r="B39" s="24">
        <f>ROUND(SUM(B7:B37),2)</f>
        <v>595.96</v>
      </c>
      <c r="C39" s="24">
        <f>ROUND(SUM(C9:C37),2)</f>
        <v>154.65</v>
      </c>
      <c r="D39" s="24">
        <f>ROUND(SUM(D9:D37),2)</f>
        <v>15</v>
      </c>
      <c r="E39" s="24"/>
      <c r="F39" s="56">
        <f>ROUND(SUM(F10:F37),2)</f>
        <v>90.06</v>
      </c>
      <c r="G39" s="56"/>
      <c r="H39" s="24">
        <f>COUNT(H7:H36)</f>
        <v>27</v>
      </c>
      <c r="I39" s="24">
        <f>ROUND(SUM(I9:I37),2)</f>
        <v>544.44000000000005</v>
      </c>
      <c r="J39" s="24">
        <f>ROUND(SUM(J9:J37),2)</f>
        <v>148.65</v>
      </c>
      <c r="K39" s="24">
        <f>ROUND(SUM(K9:K37),2)</f>
        <v>558.15</v>
      </c>
      <c r="L39" s="24">
        <f>ROUND(SUM(L9:L37),2)*1.05</f>
        <v>113.86200000000001</v>
      </c>
      <c r="M39" s="24">
        <f>ROUND(SUM(M9:M37),2)*0.95</f>
        <v>103.01799999999999</v>
      </c>
      <c r="N39" s="24">
        <f>ROUND(SUM(N9:N37),2)</f>
        <v>497.82</v>
      </c>
    </row>
    <row r="40" spans="1:17" x14ac:dyDescent="0.25">
      <c r="H40" t="s">
        <v>82</v>
      </c>
      <c r="K40" s="55"/>
    </row>
    <row r="41" spans="1:17" x14ac:dyDescent="0.25">
      <c r="A41" t="s">
        <v>83</v>
      </c>
    </row>
  </sheetData>
  <mergeCells count="1">
    <mergeCell ref="A1:L1"/>
  </mergeCells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1FF87-ECE6-4D02-AD16-2D761691CCBA}">
  <sheetPr codeName="Hoja3"/>
  <dimension ref="A1:AH47"/>
  <sheetViews>
    <sheetView topLeftCell="Z31" workbookViewId="0">
      <selection activeCell="AF40" sqref="AF40:AF47"/>
    </sheetView>
  </sheetViews>
  <sheetFormatPr baseColWidth="10" defaultRowHeight="15" x14ac:dyDescent="0.25"/>
  <cols>
    <col min="1" max="1" width="41" customWidth="1"/>
    <col min="2" max="4" width="15.7109375" bestFit="1" customWidth="1"/>
    <col min="5" max="6" width="14.7109375" bestFit="1" customWidth="1"/>
    <col min="7" max="8" width="15.7109375" bestFit="1" customWidth="1"/>
    <col min="9" max="9" width="15.5703125" bestFit="1" customWidth="1"/>
    <col min="10" max="10" width="16.42578125" customWidth="1"/>
    <col min="11" max="12" width="15.5703125" bestFit="1" customWidth="1"/>
    <col min="13" max="14" width="14.5703125" bestFit="1" customWidth="1"/>
    <col min="15" max="16" width="15.5703125" bestFit="1" customWidth="1"/>
    <col min="17" max="20" width="13" bestFit="1" customWidth="1"/>
    <col min="21" max="21" width="14.7109375" customWidth="1"/>
    <col min="22" max="22" width="13" bestFit="1" customWidth="1"/>
    <col min="23" max="23" width="25.28515625" customWidth="1"/>
    <col min="24" max="24" width="24.42578125" customWidth="1"/>
    <col min="25" max="26" width="14.5703125" bestFit="1" customWidth="1"/>
    <col min="27" max="28" width="16.7109375" bestFit="1" customWidth="1"/>
    <col min="29" max="29" width="20.85546875" customWidth="1"/>
    <col min="31" max="31" width="15.5703125" bestFit="1" customWidth="1"/>
    <col min="32" max="32" width="13" bestFit="1" customWidth="1"/>
  </cols>
  <sheetData>
    <row r="1" spans="1:5" x14ac:dyDescent="0.25">
      <c r="A1" s="165" t="s">
        <v>9</v>
      </c>
      <c r="B1" s="165" t="s">
        <v>10</v>
      </c>
      <c r="C1" s="165" t="s">
        <v>11</v>
      </c>
      <c r="D1" s="165" t="s">
        <v>12</v>
      </c>
      <c r="E1" s="165" t="s">
        <v>13</v>
      </c>
    </row>
    <row r="2" spans="1:5" ht="30" x14ac:dyDescent="0.25">
      <c r="A2" s="166" t="s">
        <v>126</v>
      </c>
      <c r="B2" s="164" t="s">
        <v>18</v>
      </c>
      <c r="C2" s="164">
        <v>217.29</v>
      </c>
      <c r="D2" s="164">
        <v>144582</v>
      </c>
      <c r="E2" s="164">
        <v>31416222.779999997</v>
      </c>
    </row>
    <row r="3" spans="1:5" x14ac:dyDescent="0.25">
      <c r="A3" s="166" t="s">
        <v>127</v>
      </c>
      <c r="B3" s="164" t="s">
        <v>18</v>
      </c>
      <c r="C3" s="164">
        <v>108.67049999999999</v>
      </c>
      <c r="D3" s="164">
        <v>174546</v>
      </c>
      <c r="E3" s="164">
        <v>18968001</v>
      </c>
    </row>
    <row r="4" spans="1:5" ht="30" x14ac:dyDescent="0.25">
      <c r="A4" s="166" t="s">
        <v>150</v>
      </c>
      <c r="B4" s="164" t="s">
        <v>18</v>
      </c>
      <c r="C4" s="164">
        <v>120.10950000000001</v>
      </c>
      <c r="D4" s="164">
        <v>141587</v>
      </c>
      <c r="E4" s="164">
        <v>17005944</v>
      </c>
    </row>
    <row r="5" spans="1:5" ht="45" x14ac:dyDescent="0.25">
      <c r="A5" s="166" t="s">
        <v>56</v>
      </c>
      <c r="B5" s="164" t="s">
        <v>34</v>
      </c>
      <c r="C5" s="164">
        <v>62</v>
      </c>
      <c r="D5" s="164">
        <v>65583</v>
      </c>
      <c r="E5" s="164">
        <v>4066146</v>
      </c>
    </row>
    <row r="6" spans="1:5" x14ac:dyDescent="0.25">
      <c r="A6" s="166" t="s">
        <v>148</v>
      </c>
      <c r="B6" s="164" t="s">
        <v>30</v>
      </c>
      <c r="C6" s="164">
        <v>10</v>
      </c>
      <c r="D6" s="164">
        <v>366564</v>
      </c>
      <c r="E6" s="164">
        <v>3665640</v>
      </c>
    </row>
    <row r="7" spans="1:5" ht="30" x14ac:dyDescent="0.25">
      <c r="A7" s="166" t="s">
        <v>48</v>
      </c>
      <c r="B7" s="164" t="s">
        <v>34</v>
      </c>
      <c r="C7" s="164">
        <v>523.6</v>
      </c>
      <c r="D7" s="164">
        <v>76724</v>
      </c>
      <c r="E7" s="164">
        <v>40172686</v>
      </c>
    </row>
    <row r="8" spans="1:5" ht="54" customHeight="1" x14ac:dyDescent="0.25">
      <c r="A8" s="166" t="s">
        <v>49</v>
      </c>
      <c r="B8" s="164" t="s">
        <v>34</v>
      </c>
      <c r="C8" s="164">
        <v>149.27000000000001</v>
      </c>
      <c r="D8" s="164">
        <v>107629</v>
      </c>
      <c r="E8" s="164">
        <v>16065781</v>
      </c>
    </row>
    <row r="9" spans="1:5" ht="30" x14ac:dyDescent="0.25">
      <c r="A9" s="166" t="s">
        <v>134</v>
      </c>
      <c r="B9" s="164" t="s">
        <v>20</v>
      </c>
      <c r="C9" s="164">
        <v>30</v>
      </c>
      <c r="D9" s="164">
        <v>1520184</v>
      </c>
      <c r="E9" s="164">
        <v>45605520</v>
      </c>
    </row>
    <row r="10" spans="1:5" ht="45" x14ac:dyDescent="0.25">
      <c r="A10" s="166" t="s">
        <v>131</v>
      </c>
      <c r="B10" s="164" t="s">
        <v>20</v>
      </c>
      <c r="C10" s="164">
        <v>37.5</v>
      </c>
      <c r="D10" s="164">
        <v>1420966</v>
      </c>
      <c r="E10" s="164">
        <v>53286225</v>
      </c>
    </row>
    <row r="11" spans="1:5" ht="30" x14ac:dyDescent="0.25">
      <c r="A11" s="166" t="s">
        <v>50</v>
      </c>
      <c r="B11" s="164" t="s">
        <v>22</v>
      </c>
      <c r="C11" s="164">
        <v>30</v>
      </c>
      <c r="D11" s="164">
        <v>2275649</v>
      </c>
      <c r="E11" s="164">
        <v>68269470</v>
      </c>
    </row>
    <row r="12" spans="1:5" x14ac:dyDescent="0.25">
      <c r="A12" s="166" t="s">
        <v>52</v>
      </c>
      <c r="B12" s="164"/>
      <c r="C12" s="164"/>
      <c r="D12" s="164"/>
      <c r="E12" s="164"/>
    </row>
    <row r="13" spans="1:5" ht="30" x14ac:dyDescent="0.25">
      <c r="A13" s="166" t="s">
        <v>54</v>
      </c>
      <c r="B13" s="164" t="s">
        <v>34</v>
      </c>
      <c r="C13" s="164">
        <v>63.5</v>
      </c>
      <c r="D13" s="164">
        <v>245488</v>
      </c>
      <c r="E13" s="164">
        <v>15588488</v>
      </c>
    </row>
    <row r="14" spans="1:5" ht="30" x14ac:dyDescent="0.25">
      <c r="A14" s="166" t="s">
        <v>55</v>
      </c>
      <c r="B14" s="164" t="s">
        <v>34</v>
      </c>
      <c r="C14" s="164">
        <v>20</v>
      </c>
      <c r="D14" s="164">
        <v>245488</v>
      </c>
      <c r="E14" s="164">
        <v>4909760</v>
      </c>
    </row>
    <row r="15" spans="1:5" ht="30" x14ac:dyDescent="0.25">
      <c r="A15" s="166" t="s">
        <v>97</v>
      </c>
      <c r="B15" s="164" t="s">
        <v>34</v>
      </c>
      <c r="C15" s="164">
        <v>130.24161380000001</v>
      </c>
      <c r="D15" s="164">
        <v>41941</v>
      </c>
      <c r="E15" s="164">
        <v>5462463.5243858006</v>
      </c>
    </row>
    <row r="16" spans="1:5" x14ac:dyDescent="0.25">
      <c r="A16" s="166" t="s">
        <v>99</v>
      </c>
      <c r="B16" s="164" t="s">
        <v>18</v>
      </c>
      <c r="C16" s="164">
        <v>96.37879421199996</v>
      </c>
      <c r="D16" s="164">
        <v>174546</v>
      </c>
      <c r="E16" s="164">
        <v>16822533.014527746</v>
      </c>
    </row>
    <row r="17" spans="1:5" x14ac:dyDescent="0.25">
      <c r="A17" s="166" t="s">
        <v>100</v>
      </c>
      <c r="B17" s="164"/>
      <c r="C17" s="164"/>
      <c r="D17" s="164"/>
      <c r="E17" s="164"/>
    </row>
    <row r="18" spans="1:5" ht="30" x14ac:dyDescent="0.25">
      <c r="A18" s="166" t="s">
        <v>101</v>
      </c>
      <c r="B18" s="164" t="s">
        <v>34</v>
      </c>
      <c r="C18" s="164">
        <v>651</v>
      </c>
      <c r="D18" s="164">
        <v>50566</v>
      </c>
      <c r="E18" s="164">
        <v>32918466</v>
      </c>
    </row>
    <row r="19" spans="1:5" ht="30" x14ac:dyDescent="0.25">
      <c r="A19" s="166" t="s">
        <v>103</v>
      </c>
      <c r="B19" s="164" t="s">
        <v>30</v>
      </c>
      <c r="C19" s="164">
        <v>2</v>
      </c>
      <c r="D19" s="164">
        <v>87232</v>
      </c>
      <c r="E19" s="164">
        <v>174464</v>
      </c>
    </row>
    <row r="20" spans="1:5" ht="30" x14ac:dyDescent="0.25">
      <c r="A20" s="166" t="s">
        <v>104</v>
      </c>
      <c r="B20" s="164" t="s">
        <v>30</v>
      </c>
      <c r="C20" s="164">
        <v>11</v>
      </c>
      <c r="D20" s="164">
        <v>80131</v>
      </c>
      <c r="E20" s="164">
        <v>881441</v>
      </c>
    </row>
    <row r="21" spans="1:5" ht="30" x14ac:dyDescent="0.25">
      <c r="A21" s="166" t="s">
        <v>107</v>
      </c>
      <c r="B21" s="164" t="s">
        <v>30</v>
      </c>
      <c r="C21" s="164">
        <v>10</v>
      </c>
      <c r="D21" s="164">
        <v>82241</v>
      </c>
      <c r="E21" s="164">
        <v>822410</v>
      </c>
    </row>
    <row r="22" spans="1:5" ht="30" x14ac:dyDescent="0.25">
      <c r="A22" s="166" t="s">
        <v>109</v>
      </c>
      <c r="B22" s="164" t="s">
        <v>30</v>
      </c>
      <c r="C22" s="164">
        <v>8</v>
      </c>
      <c r="D22" s="164">
        <v>12757</v>
      </c>
      <c r="E22" s="164">
        <v>102056</v>
      </c>
    </row>
    <row r="23" spans="1:5" ht="45" x14ac:dyDescent="0.25">
      <c r="A23" s="166" t="s">
        <v>111</v>
      </c>
      <c r="B23" s="164" t="s">
        <v>30</v>
      </c>
      <c r="C23" s="164">
        <v>1</v>
      </c>
      <c r="D23" s="164">
        <v>881069</v>
      </c>
      <c r="E23" s="164">
        <v>881069</v>
      </c>
    </row>
    <row r="24" spans="1:5" ht="30" x14ac:dyDescent="0.25">
      <c r="A24" s="166" t="s">
        <v>113</v>
      </c>
      <c r="B24" s="164" t="s">
        <v>30</v>
      </c>
      <c r="C24" s="164">
        <v>1</v>
      </c>
      <c r="D24" s="164">
        <v>273361</v>
      </c>
      <c r="E24" s="164">
        <v>273361</v>
      </c>
    </row>
    <row r="25" spans="1:5" ht="105" x14ac:dyDescent="0.25">
      <c r="A25" s="166" t="s">
        <v>146</v>
      </c>
      <c r="B25" s="164" t="s">
        <v>30</v>
      </c>
      <c r="C25" s="164">
        <v>30</v>
      </c>
      <c r="D25" s="164">
        <v>311000</v>
      </c>
      <c r="E25" s="164">
        <v>9330000</v>
      </c>
    </row>
    <row r="26" spans="1:5" ht="90" x14ac:dyDescent="0.25">
      <c r="A26" s="166" t="s">
        <v>156</v>
      </c>
      <c r="B26" s="164" t="s">
        <v>30</v>
      </c>
      <c r="C26" s="164">
        <v>2</v>
      </c>
      <c r="D26" s="164">
        <v>256000</v>
      </c>
      <c r="E26" s="164">
        <v>512000</v>
      </c>
    </row>
    <row r="27" spans="1:5" x14ac:dyDescent="0.25">
      <c r="A27" s="166" t="s">
        <v>118</v>
      </c>
      <c r="B27" s="164" t="s">
        <v>34</v>
      </c>
      <c r="C27" s="164">
        <v>24</v>
      </c>
      <c r="D27" s="164">
        <v>74754</v>
      </c>
      <c r="E27" s="164">
        <v>1794096</v>
      </c>
    </row>
    <row r="28" spans="1:5" ht="45" x14ac:dyDescent="0.25">
      <c r="A28" s="166" t="s">
        <v>119</v>
      </c>
      <c r="B28" s="164" t="s">
        <v>18</v>
      </c>
      <c r="C28" s="164">
        <v>5.04</v>
      </c>
      <c r="D28" s="164">
        <v>648923</v>
      </c>
      <c r="E28" s="164">
        <v>3270571.92</v>
      </c>
    </row>
    <row r="30" spans="1:5" x14ac:dyDescent="0.25">
      <c r="E30">
        <v>510148310.84040356</v>
      </c>
    </row>
    <row r="34" spans="1:34" ht="102" x14ac:dyDescent="0.25">
      <c r="A34" s="165" t="s">
        <v>9</v>
      </c>
      <c r="B34" s="179" t="s">
        <v>126</v>
      </c>
      <c r="C34" s="179" t="s">
        <v>127</v>
      </c>
      <c r="D34" s="179" t="s">
        <v>150</v>
      </c>
      <c r="E34" s="179" t="s">
        <v>56</v>
      </c>
      <c r="F34" s="179" t="s">
        <v>148</v>
      </c>
      <c r="G34" s="179" t="s">
        <v>48</v>
      </c>
      <c r="H34" s="179" t="s">
        <v>49</v>
      </c>
      <c r="I34" s="179" t="s">
        <v>134</v>
      </c>
      <c r="J34" s="179" t="s">
        <v>131</v>
      </c>
      <c r="K34" s="179" t="s">
        <v>50</v>
      </c>
      <c r="L34" s="179" t="s">
        <v>54</v>
      </c>
      <c r="M34" s="179" t="s">
        <v>55</v>
      </c>
      <c r="N34" s="179" t="s">
        <v>97</v>
      </c>
      <c r="O34" s="179" t="s">
        <v>99</v>
      </c>
      <c r="P34" s="179" t="s">
        <v>101</v>
      </c>
      <c r="Q34" s="179" t="s">
        <v>103</v>
      </c>
      <c r="R34" s="179" t="s">
        <v>104</v>
      </c>
      <c r="S34" s="179" t="s">
        <v>107</v>
      </c>
      <c r="T34" s="179" t="s">
        <v>109</v>
      </c>
      <c r="U34" s="179" t="s">
        <v>111</v>
      </c>
      <c r="V34" s="179" t="s">
        <v>113</v>
      </c>
      <c r="W34" s="179" t="s">
        <v>146</v>
      </c>
      <c r="X34" s="179" t="s">
        <v>156</v>
      </c>
      <c r="Y34" s="179" t="s">
        <v>118</v>
      </c>
      <c r="Z34" s="179" t="s">
        <v>119</v>
      </c>
    </row>
    <row r="35" spans="1:34" x14ac:dyDescent="0.25">
      <c r="A35" s="165" t="s">
        <v>10</v>
      </c>
      <c r="B35" s="164" t="s">
        <v>18</v>
      </c>
      <c r="C35" s="164" t="s">
        <v>18</v>
      </c>
      <c r="D35" s="164" t="s">
        <v>18</v>
      </c>
      <c r="E35" s="164" t="s">
        <v>34</v>
      </c>
      <c r="F35" s="164" t="s">
        <v>30</v>
      </c>
      <c r="G35" s="164" t="s">
        <v>34</v>
      </c>
      <c r="H35" s="164" t="s">
        <v>34</v>
      </c>
      <c r="I35" s="164" t="s">
        <v>20</v>
      </c>
      <c r="J35" s="164" t="s">
        <v>20</v>
      </c>
      <c r="K35" s="164" t="s">
        <v>22</v>
      </c>
      <c r="L35" s="164" t="s">
        <v>34</v>
      </c>
      <c r="M35" s="164" t="s">
        <v>34</v>
      </c>
      <c r="N35" s="164" t="s">
        <v>34</v>
      </c>
      <c r="O35" s="164" t="s">
        <v>18</v>
      </c>
      <c r="P35" s="164" t="s">
        <v>34</v>
      </c>
      <c r="Q35" s="164" t="s">
        <v>30</v>
      </c>
      <c r="R35" s="164" t="s">
        <v>30</v>
      </c>
      <c r="S35" s="164" t="s">
        <v>30</v>
      </c>
      <c r="T35" s="164" t="s">
        <v>30</v>
      </c>
      <c r="U35" s="164" t="s">
        <v>30</v>
      </c>
      <c r="V35" s="164" t="s">
        <v>30</v>
      </c>
      <c r="W35" s="164" t="s">
        <v>30</v>
      </c>
      <c r="X35" s="164" t="s">
        <v>30</v>
      </c>
      <c r="Y35" s="164" t="s">
        <v>34</v>
      </c>
      <c r="Z35" s="164" t="s">
        <v>18</v>
      </c>
    </row>
    <row r="36" spans="1:34" x14ac:dyDescent="0.25">
      <c r="A36" s="165" t="s">
        <v>11</v>
      </c>
      <c r="B36" s="164">
        <v>217.29</v>
      </c>
      <c r="C36" s="164">
        <v>108.67049999999999</v>
      </c>
      <c r="D36" s="164">
        <v>120.10950000000001</v>
      </c>
      <c r="E36" s="164">
        <v>62</v>
      </c>
      <c r="F36" s="164">
        <v>10</v>
      </c>
      <c r="G36" s="164">
        <v>523.6</v>
      </c>
      <c r="H36" s="164">
        <v>149.27000000000001</v>
      </c>
      <c r="I36" s="164">
        <v>30</v>
      </c>
      <c r="J36" s="164">
        <v>37.5</v>
      </c>
      <c r="K36" s="164">
        <v>30</v>
      </c>
      <c r="L36" s="164">
        <v>63.5</v>
      </c>
      <c r="M36" s="164">
        <v>20</v>
      </c>
      <c r="N36" s="164">
        <v>130.24161380000001</v>
      </c>
      <c r="O36" s="164">
        <v>96.37879421199996</v>
      </c>
      <c r="P36" s="164">
        <v>651</v>
      </c>
      <c r="Q36" s="164">
        <v>2</v>
      </c>
      <c r="R36" s="164">
        <v>11</v>
      </c>
      <c r="S36" s="164">
        <v>10</v>
      </c>
      <c r="T36" s="164">
        <v>8</v>
      </c>
      <c r="U36" s="164">
        <v>1</v>
      </c>
      <c r="V36" s="164">
        <v>1</v>
      </c>
      <c r="W36" s="164">
        <v>30</v>
      </c>
      <c r="X36" s="164">
        <v>2</v>
      </c>
      <c r="Y36" s="164">
        <v>24</v>
      </c>
      <c r="Z36" s="164">
        <v>5.04</v>
      </c>
    </row>
    <row r="37" spans="1:34" x14ac:dyDescent="0.25">
      <c r="A37" s="165" t="s">
        <v>12</v>
      </c>
      <c r="B37" s="168">
        <v>144582</v>
      </c>
      <c r="C37" s="168">
        <v>174546</v>
      </c>
      <c r="D37" s="168">
        <v>141587</v>
      </c>
      <c r="E37" s="168">
        <v>65583</v>
      </c>
      <c r="F37" s="168">
        <v>366564</v>
      </c>
      <c r="G37" s="168">
        <v>76724</v>
      </c>
      <c r="H37" s="168">
        <v>107629</v>
      </c>
      <c r="I37" s="168">
        <v>1520184</v>
      </c>
      <c r="J37" s="168">
        <v>1420966</v>
      </c>
      <c r="K37" s="168">
        <v>2275649</v>
      </c>
      <c r="L37" s="168">
        <v>245488</v>
      </c>
      <c r="M37" s="168">
        <v>245488</v>
      </c>
      <c r="N37" s="168">
        <v>41941</v>
      </c>
      <c r="O37" s="168">
        <v>174546</v>
      </c>
      <c r="P37" s="168">
        <v>50566</v>
      </c>
      <c r="Q37" s="168">
        <v>87232</v>
      </c>
      <c r="R37" s="168">
        <v>80131</v>
      </c>
      <c r="S37" s="168">
        <v>82241</v>
      </c>
      <c r="T37" s="168">
        <v>12757</v>
      </c>
      <c r="U37" s="168">
        <v>881069</v>
      </c>
      <c r="V37" s="168">
        <v>273361</v>
      </c>
      <c r="W37" s="168">
        <v>311000</v>
      </c>
      <c r="X37" s="168">
        <v>256000</v>
      </c>
      <c r="Y37" s="168">
        <v>74754</v>
      </c>
      <c r="Z37" s="168">
        <v>648923</v>
      </c>
    </row>
    <row r="38" spans="1:34" x14ac:dyDescent="0.25">
      <c r="A38" s="165" t="s">
        <v>13</v>
      </c>
      <c r="B38" s="168">
        <v>31416222.779999997</v>
      </c>
      <c r="C38" s="168">
        <v>18968001</v>
      </c>
      <c r="D38" s="168">
        <v>17005944</v>
      </c>
      <c r="E38" s="168">
        <v>4066146</v>
      </c>
      <c r="F38" s="168">
        <v>3665640</v>
      </c>
      <c r="G38" s="168">
        <v>40172686</v>
      </c>
      <c r="H38" s="168">
        <v>16065781</v>
      </c>
      <c r="I38" s="168">
        <v>45605520</v>
      </c>
      <c r="J38" s="168">
        <v>53286225</v>
      </c>
      <c r="K38" s="168">
        <v>68269470</v>
      </c>
      <c r="L38" s="168">
        <v>15588488</v>
      </c>
      <c r="M38" s="168">
        <v>4909760</v>
      </c>
      <c r="N38" s="168">
        <v>5462463.5243858006</v>
      </c>
      <c r="O38" s="168">
        <v>16822533.014527746</v>
      </c>
      <c r="P38" s="168">
        <v>32918466</v>
      </c>
      <c r="Q38" s="168">
        <v>174464</v>
      </c>
      <c r="R38" s="168">
        <v>881441</v>
      </c>
      <c r="S38" s="168">
        <v>822410</v>
      </c>
      <c r="T38" s="168">
        <v>102056</v>
      </c>
      <c r="U38" s="168">
        <v>881069</v>
      </c>
      <c r="V38" s="168">
        <v>273361</v>
      </c>
      <c r="W38" s="168">
        <v>9330000</v>
      </c>
      <c r="X38" s="168">
        <v>512000</v>
      </c>
      <c r="Y38" s="168">
        <v>1794096</v>
      </c>
      <c r="Z38" s="168">
        <v>3270571.92</v>
      </c>
      <c r="AA38" s="169">
        <f>SUM(B38:Z38)</f>
        <v>392264815.23891354</v>
      </c>
      <c r="AB38">
        <v>510148310.84040356</v>
      </c>
    </row>
    <row r="39" spans="1:34" x14ac:dyDescent="0.25">
      <c r="AC39" s="164" t="s">
        <v>168</v>
      </c>
      <c r="AD39" s="164" t="s">
        <v>163</v>
      </c>
      <c r="AE39" s="164" t="s">
        <v>169</v>
      </c>
    </row>
    <row r="40" spans="1:34" x14ac:dyDescent="0.25">
      <c r="A40" s="180" t="s">
        <v>154</v>
      </c>
      <c r="B40" s="181">
        <f>+B38</f>
        <v>31416222.779999997</v>
      </c>
      <c r="C40" s="181"/>
      <c r="D40" s="181">
        <f>+D38</f>
        <v>17005944</v>
      </c>
      <c r="E40" s="181"/>
      <c r="F40" s="181"/>
      <c r="G40" s="181"/>
      <c r="H40" s="181"/>
      <c r="I40" s="181">
        <f>+I38*0.35</f>
        <v>15961931.999999998</v>
      </c>
      <c r="K40" s="181">
        <f>+$K$38*0.35</f>
        <v>23894314.5</v>
      </c>
      <c r="L40" s="181">
        <f>+$L$38*0.35</f>
        <v>5455970.7999999998</v>
      </c>
      <c r="M40" s="181">
        <f>+$M$38*0.35</f>
        <v>1718416</v>
      </c>
      <c r="N40" s="169">
        <f>+N38</f>
        <v>5462463.5243858006</v>
      </c>
      <c r="Z40" s="181">
        <f>+$Z$38*0.35</f>
        <v>1144700.1719999998</v>
      </c>
      <c r="AA40" s="169">
        <f>SUM(B40:Z40)</f>
        <v>102059963.7763858</v>
      </c>
      <c r="AB40" s="182">
        <f>+AA40/$AA$38</f>
        <v>0.26018128522239492</v>
      </c>
      <c r="AC40" s="180" t="s">
        <v>154</v>
      </c>
      <c r="AD40" t="s">
        <v>164</v>
      </c>
      <c r="AE40" s="183">
        <f>ROUND(+AA40/D37,0)</f>
        <v>721</v>
      </c>
      <c r="AF40" s="181">
        <f>+D37</f>
        <v>141587</v>
      </c>
    </row>
    <row r="41" spans="1:34" x14ac:dyDescent="0.25">
      <c r="A41" s="180" t="s">
        <v>160</v>
      </c>
      <c r="B41" s="181"/>
      <c r="C41" s="181">
        <f>+C38</f>
        <v>18968001</v>
      </c>
      <c r="D41" s="181"/>
      <c r="E41" s="181"/>
      <c r="F41" s="181"/>
      <c r="G41" s="181"/>
      <c r="H41" s="181"/>
      <c r="I41" s="181">
        <f>+$I$38*0.3</f>
        <v>13681656</v>
      </c>
      <c r="J41" s="181">
        <f>+J38*0.1</f>
        <v>5328622.5</v>
      </c>
      <c r="K41" s="181">
        <f>+$K$38*0.3</f>
        <v>20480841</v>
      </c>
      <c r="L41" s="181">
        <f t="shared" ref="L41:L43" si="0">+$L$38*0.25</f>
        <v>3897122</v>
      </c>
      <c r="M41" s="181">
        <f t="shared" ref="M41:M43" si="1">+$M$38*0.25</f>
        <v>1227440</v>
      </c>
      <c r="O41" s="169">
        <f>+O38</f>
        <v>16822533.014527746</v>
      </c>
      <c r="Z41" s="181">
        <f>+$Z$38*0.4</f>
        <v>1308228.7680000002</v>
      </c>
      <c r="AA41" s="169">
        <f t="shared" ref="AA41:AA46" si="2">SUM(B41:Z41)</f>
        <v>81714444.282527745</v>
      </c>
      <c r="AB41" s="182">
        <f t="shared" ref="AB41:AB47" si="3">+AA41/$AA$38</f>
        <v>0.20831448834573296</v>
      </c>
      <c r="AC41" s="180" t="s">
        <v>160</v>
      </c>
      <c r="AD41" t="s">
        <v>164</v>
      </c>
      <c r="AE41" s="183">
        <f>ROUND(+AA41/D37,0)</f>
        <v>577</v>
      </c>
      <c r="AF41" s="181">
        <f>+D37</f>
        <v>141587</v>
      </c>
    </row>
    <row r="42" spans="1:34" x14ac:dyDescent="0.25">
      <c r="A42" s="180" t="s">
        <v>157</v>
      </c>
      <c r="B42" s="181"/>
      <c r="C42" s="181"/>
      <c r="D42" s="181"/>
      <c r="E42" s="181"/>
      <c r="F42" s="181">
        <f>+F38*0.1</f>
        <v>366564</v>
      </c>
      <c r="G42" s="181"/>
      <c r="H42" s="181"/>
      <c r="I42" s="181">
        <f>+$I$38*0.1</f>
        <v>4560552</v>
      </c>
      <c r="J42" s="181"/>
      <c r="K42" s="181">
        <f>+$K$38*0.1</f>
        <v>6826947</v>
      </c>
      <c r="L42" s="181">
        <f>+$L$38*0.15</f>
        <v>2338273.1999999997</v>
      </c>
      <c r="M42" s="181">
        <f>+$M$38*0.15</f>
        <v>736464</v>
      </c>
      <c r="Y42" s="169"/>
      <c r="Z42" s="181">
        <f>+$Z$38*0.15</f>
        <v>490585.78799999994</v>
      </c>
      <c r="AA42" s="169">
        <f t="shared" si="2"/>
        <v>15319385.988</v>
      </c>
      <c r="AB42" s="182">
        <f t="shared" si="3"/>
        <v>3.9053683615925497E-2</v>
      </c>
      <c r="AC42" s="180" t="s">
        <v>157</v>
      </c>
      <c r="AD42" t="s">
        <v>165</v>
      </c>
      <c r="AE42">
        <f>35400/50</f>
        <v>708</v>
      </c>
      <c r="AF42" s="181">
        <f>+AA42/AE42</f>
        <v>21637.550830508473</v>
      </c>
      <c r="AG42">
        <f>+AF42/50</f>
        <v>432.75101661016947</v>
      </c>
      <c r="AH42">
        <f>+AG42/7</f>
        <v>61.821573801452779</v>
      </c>
    </row>
    <row r="43" spans="1:34" x14ac:dyDescent="0.25">
      <c r="A43" s="180" t="s">
        <v>158</v>
      </c>
      <c r="B43" s="181"/>
      <c r="C43" s="181"/>
      <c r="D43" s="181"/>
      <c r="E43" s="181"/>
      <c r="F43" s="181">
        <f>+F38*0.4</f>
        <v>1466256</v>
      </c>
      <c r="G43" s="181"/>
      <c r="H43" s="181"/>
      <c r="I43" s="181">
        <f t="shared" ref="I43" si="4">+$I$38*0.25</f>
        <v>11401380</v>
      </c>
      <c r="J43" s="181">
        <f>+J38*0.2</f>
        <v>10657245</v>
      </c>
      <c r="K43" s="181">
        <f t="shared" ref="K43" si="5">+$K$38*0.25</f>
        <v>17067367.5</v>
      </c>
      <c r="L43" s="181">
        <f t="shared" si="0"/>
        <v>3897122</v>
      </c>
      <c r="M43" s="181">
        <f t="shared" si="1"/>
        <v>1227440</v>
      </c>
      <c r="Y43" s="169">
        <f>+Y38</f>
        <v>1794096</v>
      </c>
      <c r="AA43" s="169">
        <f t="shared" si="2"/>
        <v>47510906.5</v>
      </c>
      <c r="AB43" s="182">
        <f t="shared" si="3"/>
        <v>0.12111946994548292</v>
      </c>
      <c r="AC43" s="180" t="s">
        <v>158</v>
      </c>
      <c r="AD43" t="s">
        <v>165</v>
      </c>
      <c r="AE43">
        <f>ROUND(+AA43/8424,0)</f>
        <v>5640</v>
      </c>
      <c r="AF43" s="181">
        <v>8424</v>
      </c>
    </row>
    <row r="44" spans="1:34" x14ac:dyDescent="0.25">
      <c r="A44" s="180" t="s">
        <v>161</v>
      </c>
      <c r="B44" s="181"/>
      <c r="C44" s="181"/>
      <c r="D44" s="181"/>
      <c r="E44" s="181"/>
      <c r="F44" s="181">
        <f>+F38*0.5</f>
        <v>1832820</v>
      </c>
      <c r="G44" s="181"/>
      <c r="H44" s="181"/>
      <c r="J44" s="181">
        <f>+J38*0.7</f>
        <v>37300357.5</v>
      </c>
      <c r="V44" s="169">
        <f>+V38</f>
        <v>273361</v>
      </c>
      <c r="AA44" s="169">
        <f t="shared" si="2"/>
        <v>39406538.5</v>
      </c>
      <c r="AB44" s="182">
        <f t="shared" si="3"/>
        <v>0.10045901893086939</v>
      </c>
      <c r="AC44" s="180" t="s">
        <v>161</v>
      </c>
      <c r="AD44" t="s">
        <v>166</v>
      </c>
      <c r="AE44">
        <f>ROUND(+AA44/1040,0)</f>
        <v>37891</v>
      </c>
      <c r="AF44" s="181">
        <v>1040</v>
      </c>
    </row>
    <row r="45" spans="1:34" x14ac:dyDescent="0.25">
      <c r="A45" s="180" t="s">
        <v>155</v>
      </c>
      <c r="B45" s="181"/>
      <c r="C45" s="181"/>
      <c r="D45" s="181"/>
      <c r="E45" s="181">
        <f>+E38</f>
        <v>4066146</v>
      </c>
      <c r="F45" s="181"/>
      <c r="G45" s="181">
        <f>+G38</f>
        <v>40172686</v>
      </c>
      <c r="H45" s="181">
        <f>+H38</f>
        <v>16065781</v>
      </c>
      <c r="P45" s="169">
        <f>+P38</f>
        <v>32918466</v>
      </c>
      <c r="AA45" s="169">
        <f t="shared" si="2"/>
        <v>93223079</v>
      </c>
      <c r="AB45" s="182">
        <f t="shared" si="3"/>
        <v>0.23765343048476417</v>
      </c>
      <c r="AC45" s="180" t="s">
        <v>155</v>
      </c>
      <c r="AD45" t="s">
        <v>20</v>
      </c>
      <c r="AE45">
        <f>ROUND(+AA45/AF45,0)</f>
        <v>1241</v>
      </c>
      <c r="AF45" s="181">
        <f>+(H37+G37+E37+P37)/4</f>
        <v>75125.5</v>
      </c>
    </row>
    <row r="46" spans="1:34" x14ac:dyDescent="0.25">
      <c r="A46" s="180" t="s">
        <v>159</v>
      </c>
      <c r="Q46" s="169">
        <f t="shared" ref="Q46:R46" si="6">+Q38</f>
        <v>174464</v>
      </c>
      <c r="R46" s="169">
        <f t="shared" si="6"/>
        <v>881441</v>
      </c>
      <c r="S46" s="169">
        <f>+S38</f>
        <v>822410</v>
      </c>
      <c r="T46" s="169">
        <f t="shared" ref="T46" si="7">+T38</f>
        <v>102056</v>
      </c>
      <c r="U46" s="169"/>
      <c r="W46" s="169">
        <f>+W38</f>
        <v>9330000</v>
      </c>
      <c r="X46" s="169">
        <f>+X38</f>
        <v>512000</v>
      </c>
      <c r="AA46" s="169">
        <f t="shared" si="2"/>
        <v>11822371</v>
      </c>
      <c r="AB46" s="182">
        <f t="shared" si="3"/>
        <v>3.0138749489421947E-2</v>
      </c>
      <c r="AC46" s="180" t="s">
        <v>159</v>
      </c>
      <c r="AD46" t="s">
        <v>167</v>
      </c>
      <c r="AE46">
        <f>ROUND(+AA46/AF46,0)</f>
        <v>139</v>
      </c>
      <c r="AF46" s="181">
        <v>85000</v>
      </c>
    </row>
    <row r="47" spans="1:34" x14ac:dyDescent="0.25">
      <c r="A47" s="180" t="s">
        <v>162</v>
      </c>
      <c r="U47" s="169">
        <f>+U38</f>
        <v>881069</v>
      </c>
      <c r="AA47" s="169">
        <f>SUM(B47:Z47)</f>
        <v>881069</v>
      </c>
      <c r="AB47" s="182">
        <f t="shared" si="3"/>
        <v>2.2461076440500392E-3</v>
      </c>
      <c r="AC47" s="180" t="s">
        <v>162</v>
      </c>
      <c r="AD47" t="s">
        <v>167</v>
      </c>
      <c r="AE47">
        <v>1</v>
      </c>
      <c r="AF47" s="181">
        <f>+AA47</f>
        <v>881069</v>
      </c>
    </row>
  </sheetData>
  <autoFilter ref="A1:E1" xr:uid="{61A1FF87-ECE6-4D02-AD16-2D761691CCBA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78851-6B51-43F4-AC79-D543A7A48A34}">
  <sheetPr codeName="Hoja4"/>
  <dimension ref="A1:F37"/>
  <sheetViews>
    <sheetView workbookViewId="0">
      <selection activeCell="E2" sqref="E2"/>
    </sheetView>
  </sheetViews>
  <sheetFormatPr baseColWidth="10" defaultRowHeight="15" x14ac:dyDescent="0.25"/>
  <cols>
    <col min="1" max="1" width="46.5703125" customWidth="1"/>
    <col min="4" max="4" width="15.5703125" bestFit="1" customWidth="1"/>
    <col min="5" max="5" width="17.7109375" customWidth="1"/>
    <col min="6" max="6" width="18.42578125" customWidth="1"/>
  </cols>
  <sheetData>
    <row r="1" spans="1:6" x14ac:dyDescent="0.25">
      <c r="A1" s="165" t="s">
        <v>9</v>
      </c>
      <c r="B1" s="165" t="s">
        <v>10</v>
      </c>
      <c r="C1" s="165" t="s">
        <v>11</v>
      </c>
      <c r="D1" s="165" t="s">
        <v>12</v>
      </c>
    </row>
    <row r="2" spans="1:6" x14ac:dyDescent="0.25">
      <c r="A2" s="175" t="s">
        <v>126</v>
      </c>
      <c r="B2" s="176" t="s">
        <v>18</v>
      </c>
      <c r="C2" s="177">
        <v>217.29</v>
      </c>
      <c r="D2" s="178">
        <v>144582</v>
      </c>
      <c r="E2" s="169">
        <f>+D2*C2</f>
        <v>31416222.779999997</v>
      </c>
      <c r="F2" s="170"/>
    </row>
    <row r="3" spans="1:6" x14ac:dyDescent="0.25">
      <c r="A3" s="175" t="s">
        <v>127</v>
      </c>
      <c r="B3" s="176" t="s">
        <v>18</v>
      </c>
      <c r="C3" s="177">
        <v>108.67049999999999</v>
      </c>
      <c r="D3" s="178">
        <v>174546</v>
      </c>
      <c r="E3" s="169">
        <f t="shared" ref="E3:E36" si="0">+D3*C3</f>
        <v>18968001.092999998</v>
      </c>
    </row>
    <row r="4" spans="1:6" x14ac:dyDescent="0.25">
      <c r="A4" s="175" t="s">
        <v>150</v>
      </c>
      <c r="B4" s="176" t="s">
        <v>18</v>
      </c>
      <c r="C4" s="177">
        <v>120.10950000000001</v>
      </c>
      <c r="D4" s="178">
        <v>141587</v>
      </c>
      <c r="E4" s="169">
        <f t="shared" si="0"/>
        <v>17005943.776500002</v>
      </c>
    </row>
    <row r="5" spans="1:6" ht="30" x14ac:dyDescent="0.25">
      <c r="A5" s="175" t="s">
        <v>97</v>
      </c>
      <c r="B5" s="176" t="s">
        <v>34</v>
      </c>
      <c r="C5" s="177">
        <v>130.24161380000001</v>
      </c>
      <c r="D5" s="178">
        <v>41941</v>
      </c>
      <c r="E5" s="169">
        <f t="shared" si="0"/>
        <v>5462463.5243858006</v>
      </c>
    </row>
    <row r="6" spans="1:6" x14ac:dyDescent="0.25">
      <c r="A6" s="175" t="s">
        <v>99</v>
      </c>
      <c r="B6" s="176" t="s">
        <v>18</v>
      </c>
      <c r="C6" s="177">
        <v>96.37879421199996</v>
      </c>
      <c r="D6" s="178">
        <v>174546</v>
      </c>
      <c r="E6" s="169">
        <f t="shared" si="0"/>
        <v>16822533.014527746</v>
      </c>
    </row>
    <row r="7" spans="1:6" x14ac:dyDescent="0.25">
      <c r="A7" s="175" t="s">
        <v>148</v>
      </c>
      <c r="B7" s="176" t="s">
        <v>30</v>
      </c>
      <c r="C7" s="177">
        <v>10</v>
      </c>
      <c r="D7" s="178">
        <v>366564</v>
      </c>
      <c r="E7" s="169">
        <f t="shared" si="0"/>
        <v>3665640</v>
      </c>
    </row>
    <row r="8" spans="1:6" x14ac:dyDescent="0.25">
      <c r="A8" s="175" t="s">
        <v>21</v>
      </c>
      <c r="B8" s="176"/>
      <c r="C8" s="177"/>
      <c r="D8" s="178"/>
      <c r="E8" s="169">
        <f t="shared" si="0"/>
        <v>0</v>
      </c>
    </row>
    <row r="9" spans="1:6" ht="30" x14ac:dyDescent="0.25">
      <c r="A9" s="175" t="s">
        <v>134</v>
      </c>
      <c r="B9" s="176" t="s">
        <v>20</v>
      </c>
      <c r="C9" s="177">
        <v>30</v>
      </c>
      <c r="D9" s="178">
        <v>1520184</v>
      </c>
      <c r="E9" s="169">
        <f t="shared" si="0"/>
        <v>45605520</v>
      </c>
    </row>
    <row r="10" spans="1:6" ht="45" x14ac:dyDescent="0.25">
      <c r="A10" s="175" t="s">
        <v>131</v>
      </c>
      <c r="B10" s="176" t="s">
        <v>20</v>
      </c>
      <c r="C10" s="177">
        <v>37.5</v>
      </c>
      <c r="D10" s="178">
        <v>1420966</v>
      </c>
      <c r="E10" s="169">
        <f t="shared" si="0"/>
        <v>53286225</v>
      </c>
    </row>
    <row r="11" spans="1:6" ht="30" x14ac:dyDescent="0.25">
      <c r="A11" s="175" t="s">
        <v>54</v>
      </c>
      <c r="B11" s="176" t="s">
        <v>34</v>
      </c>
      <c r="C11" s="177">
        <v>63.5</v>
      </c>
      <c r="D11" s="178">
        <v>245488</v>
      </c>
      <c r="E11" s="169">
        <f t="shared" si="0"/>
        <v>15588488</v>
      </c>
    </row>
    <row r="12" spans="1:6" ht="30" x14ac:dyDescent="0.25">
      <c r="A12" s="175" t="s">
        <v>55</v>
      </c>
      <c r="B12" s="176" t="s">
        <v>34</v>
      </c>
      <c r="C12" s="177">
        <v>20</v>
      </c>
      <c r="D12" s="178">
        <v>245488</v>
      </c>
      <c r="E12" s="169">
        <f t="shared" si="0"/>
        <v>4909760</v>
      </c>
    </row>
    <row r="13" spans="1:6" ht="30" x14ac:dyDescent="0.25">
      <c r="A13" s="166" t="s">
        <v>113</v>
      </c>
      <c r="B13" s="164" t="s">
        <v>30</v>
      </c>
      <c r="C13" s="167">
        <v>1</v>
      </c>
      <c r="D13" s="168">
        <v>273361</v>
      </c>
      <c r="E13" s="169">
        <f t="shared" si="0"/>
        <v>273361</v>
      </c>
    </row>
    <row r="14" spans="1:6" ht="30" x14ac:dyDescent="0.25">
      <c r="A14" s="166" t="s">
        <v>119</v>
      </c>
      <c r="B14" s="164" t="s">
        <v>18</v>
      </c>
      <c r="C14" s="167">
        <v>5.04</v>
      </c>
      <c r="D14" s="168">
        <v>648923</v>
      </c>
      <c r="E14" s="169">
        <f t="shared" si="0"/>
        <v>3270571.92</v>
      </c>
    </row>
    <row r="15" spans="1:6" ht="45" x14ac:dyDescent="0.25">
      <c r="A15" s="171" t="s">
        <v>56</v>
      </c>
      <c r="B15" s="172" t="s">
        <v>34</v>
      </c>
      <c r="C15" s="173">
        <v>62</v>
      </c>
      <c r="D15" s="174">
        <v>65583</v>
      </c>
      <c r="E15" s="169">
        <f t="shared" si="0"/>
        <v>4066146</v>
      </c>
    </row>
    <row r="16" spans="1:6" x14ac:dyDescent="0.25">
      <c r="A16" s="171" t="s">
        <v>148</v>
      </c>
      <c r="B16" s="172" t="s">
        <v>30</v>
      </c>
      <c r="C16" s="173">
        <v>10</v>
      </c>
      <c r="D16" s="174">
        <v>366564</v>
      </c>
      <c r="E16" s="169">
        <f t="shared" si="0"/>
        <v>3665640</v>
      </c>
    </row>
    <row r="17" spans="1:5" ht="30" x14ac:dyDescent="0.25">
      <c r="A17" s="171" t="s">
        <v>48</v>
      </c>
      <c r="B17" s="172" t="s">
        <v>34</v>
      </c>
      <c r="C17" s="173">
        <v>523.6</v>
      </c>
      <c r="D17" s="174">
        <v>76724</v>
      </c>
      <c r="E17" s="169">
        <f t="shared" si="0"/>
        <v>40172686.399999999</v>
      </c>
    </row>
    <row r="18" spans="1:5" ht="30" x14ac:dyDescent="0.25">
      <c r="A18" s="171" t="s">
        <v>49</v>
      </c>
      <c r="B18" s="172" t="s">
        <v>34</v>
      </c>
      <c r="C18" s="173">
        <v>149.27000000000001</v>
      </c>
      <c r="D18" s="174">
        <v>107629</v>
      </c>
      <c r="E18" s="169">
        <f t="shared" si="0"/>
        <v>16065780.830000002</v>
      </c>
    </row>
    <row r="19" spans="1:5" x14ac:dyDescent="0.25">
      <c r="A19" s="171" t="s">
        <v>21</v>
      </c>
      <c r="B19" s="172"/>
      <c r="C19" s="173"/>
      <c r="D19" s="174"/>
      <c r="E19" s="169">
        <f t="shared" si="0"/>
        <v>0</v>
      </c>
    </row>
    <row r="20" spans="1:5" ht="30" x14ac:dyDescent="0.25">
      <c r="A20" s="171" t="s">
        <v>134</v>
      </c>
      <c r="B20" s="172" t="s">
        <v>20</v>
      </c>
      <c r="C20" s="173">
        <v>30</v>
      </c>
      <c r="D20" s="174">
        <v>1520184</v>
      </c>
      <c r="E20" s="169">
        <f t="shared" si="0"/>
        <v>45605520</v>
      </c>
    </row>
    <row r="21" spans="1:5" ht="45" x14ac:dyDescent="0.25">
      <c r="A21" s="171" t="s">
        <v>131</v>
      </c>
      <c r="B21" s="172" t="s">
        <v>20</v>
      </c>
      <c r="C21" s="173">
        <v>37.5</v>
      </c>
      <c r="D21" s="174">
        <v>1420966</v>
      </c>
      <c r="E21" s="169">
        <f t="shared" si="0"/>
        <v>53286225</v>
      </c>
    </row>
    <row r="22" spans="1:5" ht="30" x14ac:dyDescent="0.25">
      <c r="A22" s="171" t="s">
        <v>50</v>
      </c>
      <c r="B22" s="172" t="s">
        <v>22</v>
      </c>
      <c r="C22" s="173">
        <v>30</v>
      </c>
      <c r="D22" s="174">
        <v>2275649</v>
      </c>
      <c r="E22" s="169">
        <f t="shared" si="0"/>
        <v>68269470</v>
      </c>
    </row>
    <row r="23" spans="1:5" x14ac:dyDescent="0.25">
      <c r="A23" s="171" t="s">
        <v>52</v>
      </c>
      <c r="B23" s="172"/>
      <c r="C23" s="173"/>
      <c r="D23" s="174"/>
      <c r="E23" s="169">
        <f t="shared" si="0"/>
        <v>0</v>
      </c>
    </row>
    <row r="24" spans="1:5" ht="30" x14ac:dyDescent="0.25">
      <c r="A24" s="171" t="s">
        <v>54</v>
      </c>
      <c r="B24" s="172" t="s">
        <v>34</v>
      </c>
      <c r="C24" s="173">
        <v>63.5</v>
      </c>
      <c r="D24" s="174">
        <v>245488</v>
      </c>
      <c r="E24" s="169">
        <f t="shared" si="0"/>
        <v>15588488</v>
      </c>
    </row>
    <row r="25" spans="1:5" ht="30" x14ac:dyDescent="0.25">
      <c r="A25" s="171" t="s">
        <v>55</v>
      </c>
      <c r="B25" s="172" t="s">
        <v>34</v>
      </c>
      <c r="C25" s="173">
        <v>20</v>
      </c>
      <c r="D25" s="174">
        <v>245488</v>
      </c>
      <c r="E25" s="169">
        <f t="shared" si="0"/>
        <v>4909760</v>
      </c>
    </row>
    <row r="26" spans="1:5" ht="30" x14ac:dyDescent="0.25">
      <c r="A26" s="166" t="s">
        <v>101</v>
      </c>
      <c r="B26" s="164" t="s">
        <v>34</v>
      </c>
      <c r="C26" s="167">
        <v>651</v>
      </c>
      <c r="D26" s="168">
        <v>50566</v>
      </c>
      <c r="E26" s="169">
        <f t="shared" si="0"/>
        <v>32918466</v>
      </c>
    </row>
    <row r="27" spans="1:5" ht="30" x14ac:dyDescent="0.25">
      <c r="A27" s="166" t="s">
        <v>103</v>
      </c>
      <c r="B27" s="164" t="s">
        <v>30</v>
      </c>
      <c r="C27" s="167">
        <v>2</v>
      </c>
      <c r="D27" s="168">
        <v>87232</v>
      </c>
      <c r="E27" s="169">
        <f t="shared" si="0"/>
        <v>174464</v>
      </c>
    </row>
    <row r="28" spans="1:5" ht="30" x14ac:dyDescent="0.25">
      <c r="A28" s="166" t="s">
        <v>104</v>
      </c>
      <c r="B28" s="164" t="s">
        <v>30</v>
      </c>
      <c r="C28" s="167">
        <v>11</v>
      </c>
      <c r="D28" s="168">
        <v>80131</v>
      </c>
      <c r="E28" s="169">
        <f t="shared" si="0"/>
        <v>881441</v>
      </c>
    </row>
    <row r="29" spans="1:5" ht="30" x14ac:dyDescent="0.25">
      <c r="A29" s="166" t="s">
        <v>107</v>
      </c>
      <c r="B29" s="164" t="s">
        <v>30</v>
      </c>
      <c r="C29" s="167">
        <v>10</v>
      </c>
      <c r="D29" s="168">
        <v>82241</v>
      </c>
      <c r="E29" s="169">
        <f t="shared" si="0"/>
        <v>822410</v>
      </c>
    </row>
    <row r="30" spans="1:5" ht="30" x14ac:dyDescent="0.25">
      <c r="A30" s="166" t="s">
        <v>109</v>
      </c>
      <c r="B30" s="164" t="s">
        <v>30</v>
      </c>
      <c r="C30" s="167">
        <v>8</v>
      </c>
      <c r="D30" s="168">
        <v>12757</v>
      </c>
      <c r="E30" s="169">
        <f t="shared" si="0"/>
        <v>102056</v>
      </c>
    </row>
    <row r="31" spans="1:5" ht="45" x14ac:dyDescent="0.25">
      <c r="A31" s="166" t="s">
        <v>111</v>
      </c>
      <c r="B31" s="164" t="s">
        <v>30</v>
      </c>
      <c r="C31" s="167">
        <v>1</v>
      </c>
      <c r="D31" s="168">
        <v>881069</v>
      </c>
      <c r="E31" s="169">
        <f t="shared" si="0"/>
        <v>881069</v>
      </c>
    </row>
    <row r="32" spans="1:5" ht="30" x14ac:dyDescent="0.25">
      <c r="A32" s="166" t="s">
        <v>113</v>
      </c>
      <c r="B32" s="164" t="s">
        <v>30</v>
      </c>
      <c r="C32" s="167">
        <v>1</v>
      </c>
      <c r="D32" s="168">
        <v>273361</v>
      </c>
      <c r="E32" s="169">
        <f t="shared" si="0"/>
        <v>273361</v>
      </c>
    </row>
    <row r="33" spans="1:5" ht="90" x14ac:dyDescent="0.25">
      <c r="A33" s="166" t="s">
        <v>146</v>
      </c>
      <c r="B33" s="164" t="s">
        <v>30</v>
      </c>
      <c r="C33" s="167">
        <v>30</v>
      </c>
      <c r="D33" s="168">
        <v>311000</v>
      </c>
      <c r="E33" s="169">
        <f t="shared" si="0"/>
        <v>9330000</v>
      </c>
    </row>
    <row r="34" spans="1:5" ht="90" x14ac:dyDescent="0.25">
      <c r="A34" s="166" t="s">
        <v>156</v>
      </c>
      <c r="B34" s="164" t="s">
        <v>30</v>
      </c>
      <c r="C34" s="167">
        <v>2</v>
      </c>
      <c r="D34" s="168">
        <v>256000</v>
      </c>
      <c r="E34" s="169">
        <f t="shared" si="0"/>
        <v>512000</v>
      </c>
    </row>
    <row r="35" spans="1:5" x14ac:dyDescent="0.25">
      <c r="A35" s="166" t="s">
        <v>118</v>
      </c>
      <c r="B35" s="164" t="s">
        <v>34</v>
      </c>
      <c r="C35" s="167">
        <v>24</v>
      </c>
      <c r="D35" s="168">
        <v>74754</v>
      </c>
      <c r="E35" s="169">
        <f t="shared" si="0"/>
        <v>1794096</v>
      </c>
    </row>
    <row r="36" spans="1:5" ht="30" x14ac:dyDescent="0.25">
      <c r="A36" s="166" t="s">
        <v>119</v>
      </c>
      <c r="B36" s="164" t="s">
        <v>18</v>
      </c>
      <c r="C36" s="167">
        <v>5.04</v>
      </c>
      <c r="D36" s="168">
        <v>648923</v>
      </c>
      <c r="E36" s="169">
        <f t="shared" si="0"/>
        <v>3270571.92</v>
      </c>
    </row>
    <row r="37" spans="1:5" x14ac:dyDescent="0.25">
      <c r="D37" s="169">
        <f>SUM(D2:D36)</f>
        <v>14480485</v>
      </c>
      <c r="E37" s="169">
        <f>SUM(E2:E36)</f>
        <v>518864381.25841355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FCB4B-753D-4E53-8E9C-8F4A4725A30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PRESUP</vt:lpstr>
      <vt:lpstr>Hoja2</vt:lpstr>
      <vt:lpstr>ponderacion</vt:lpstr>
      <vt:lpstr>BIENES RELEVANTES PASO 1</vt:lpstr>
      <vt:lpstr>Hoja5</vt:lpstr>
      <vt:lpstr>PRESUP!Área_de_impresión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2023-06-28T18:16:15Z</dcterms:created>
  <dcterms:modified xsi:type="dcterms:W3CDTF">2026-08-25T17:57:24Z</dcterms:modified>
</cp:coreProperties>
</file>