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fileSharing readOnlyRecommended="1"/>
  <workbookPr codeName="ThisWorkbook" defaultThemeVersion="124226"/>
  <mc:AlternateContent xmlns:mc="http://schemas.openxmlformats.org/markup-compatibility/2006">
    <mc:Choice Requires="x15">
      <x15ac:absPath xmlns:x15ac="http://schemas.microsoft.com/office/spreadsheetml/2010/11/ac" url="C:\D\CAS 2026\EVIDENCIAS\AGO\PORH SUAREZ DEF\"/>
    </mc:Choice>
  </mc:AlternateContent>
  <xr:revisionPtr revIDLastSave="0" documentId="13_ncr:1_{B4D6A84A-5404-4037-A295-F0D267B06BA8}" xr6:coauthVersionLast="47" xr6:coauthVersionMax="47" xr10:uidLastSave="{00000000-0000-0000-0000-000000000000}"/>
  <workbookProtection workbookAlgorithmName="SHA-512" workbookHashValue="Q+z5YvDmE+PSjI+AbKE8tSnWS8EPC0LUMFCN0gUT1gYQYMq/46IIaCs3E2G3PBpobSxxUDO31lw9szoELbaYiQ==" workbookSaltValue="DW/7Th519jS8v2fxJsX55Q==" workbookSpinCount="100000" lockStructure="1"/>
  <bookViews>
    <workbookView xWindow="-98" yWindow="-98" windowWidth="19396" windowHeight="11475" tabRatio="871" xr2:uid="{00000000-000D-0000-FFFF-FFFF00000000}"/>
  </bookViews>
  <sheets>
    <sheet name="TABLERO CONTROL" sheetId="78" r:id="rId1"/>
    <sheet name="DISTRIBUCIÓN" sheetId="46" r:id="rId2"/>
    <sheet name="PLAN DE CARGAS" sheetId="71" r:id="rId3"/>
    <sheet name="RESUMEN PLAN DE CARGAS" sheetId="72" r:id="rId4"/>
    <sheet name="VIÁTICOS-TRANSP" sheetId="49" r:id="rId5"/>
    <sheet name="ECONÓMICA" sheetId="87" r:id="rId6"/>
    <sheet name="ENTREGABLES" sheetId="22" r:id="rId7"/>
    <sheet name="(%) DE AVANCE CONSULTORÍA" sheetId="75" r:id="rId8"/>
    <sheet name="CRONOGRAMA CONSULTORÍA" sheetId="24" r:id="rId9"/>
    <sheet name="INTERVENTORÍA" sheetId="89" r:id="rId10"/>
    <sheet name="ENTREGABLES INTERVENTORÍA" sheetId="52" r:id="rId11"/>
    <sheet name="CRONOGRAMA INTERVENTORÍA" sheetId="77" r:id="rId12"/>
    <sheet name="(%) DE AVANCE INTERVENTORÍA" sheetId="76" r:id="rId13"/>
    <sheet name="FM" sheetId="17" r:id="rId14"/>
    <sheet name="2.1 - Transporte" sheetId="82" r:id="rId15"/>
    <sheet name="2.2 - Viáticos" sheetId="81" r:id="rId16"/>
    <sheet name="2.3 - Socialización" sheetId="79" r:id="rId17"/>
    <sheet name="2.4 - (A,B,C y D) LABORATORIO" sheetId="84" r:id="rId18"/>
    <sheet name="2.5 (A,B y C) - HIDROBIOLOGÍA" sheetId="83" r:id="rId19"/>
    <sheet name="2.6 - LABORATORIO - VTOs" sheetId="85" r:id="rId20"/>
    <sheet name="2.7 - (A,B y C) logis_Monitoreo" sheetId="86" r:id="rId21"/>
    <sheet name="2.8 - Ofer-Deman-Ind" sheetId="65" r:id="rId22"/>
    <sheet name="2.9 - Zonas de Recarga" sheetId="66" r:id="rId23"/>
    <sheet name="2.10 - Impresiones" sheetId="67" r:id="rId24"/>
  </sheets>
  <definedNames>
    <definedName name="_xlnm._FilterDatabase" localSheetId="2" hidden="1">'PLAN DE CARGAS'!$B$1:$B$290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4" i="71" l="1"/>
  <c r="C6" i="78" l="1"/>
  <c r="B5" i="17" l="1"/>
  <c r="I4" i="79"/>
  <c r="J4" i="79" s="1"/>
  <c r="J5" i="79" s="1"/>
  <c r="I3" i="79"/>
  <c r="J3" i="79" s="1"/>
  <c r="H4" i="67"/>
  <c r="I4" i="67" s="1"/>
  <c r="H5" i="67"/>
  <c r="I5" i="67" s="1"/>
  <c r="H6" i="67"/>
  <c r="I6" i="67" s="1"/>
  <c r="H7" i="67"/>
  <c r="I7" i="67" s="1"/>
  <c r="H3" i="67"/>
  <c r="I3" i="67" s="1"/>
  <c r="K3" i="79" l="1"/>
  <c r="H5" i="65"/>
  <c r="H4" i="65" l="1"/>
  <c r="K7" i="83" l="1"/>
  <c r="P9" i="84"/>
  <c r="AI9" i="84" s="1"/>
  <c r="Q9" i="84"/>
  <c r="G28" i="78"/>
  <c r="A1" i="66"/>
  <c r="A1" i="65"/>
  <c r="A1" i="79"/>
  <c r="A1" i="81"/>
  <c r="A1" i="82"/>
  <c r="A3" i="46"/>
  <c r="E125" i="46"/>
  <c r="A126" i="46"/>
  <c r="A125" i="46"/>
  <c r="E116" i="46"/>
  <c r="E117" i="46"/>
  <c r="E118" i="46"/>
  <c r="E119" i="46"/>
  <c r="E120" i="46"/>
  <c r="E115" i="46"/>
  <c r="D116" i="46"/>
  <c r="D117" i="46"/>
  <c r="D118" i="46"/>
  <c r="D119" i="46"/>
  <c r="D120" i="46"/>
  <c r="D115" i="46"/>
  <c r="C116" i="46"/>
  <c r="C117" i="46"/>
  <c r="C118" i="46"/>
  <c r="C119" i="46"/>
  <c r="C120" i="46"/>
  <c r="C115" i="46"/>
  <c r="B116" i="46"/>
  <c r="B117" i="46"/>
  <c r="B118" i="46"/>
  <c r="B119" i="46"/>
  <c r="B120" i="46"/>
  <c r="B115" i="46"/>
  <c r="A116" i="46"/>
  <c r="A117" i="46"/>
  <c r="A118" i="46"/>
  <c r="A119" i="46"/>
  <c r="A120" i="46"/>
  <c r="A115" i="46"/>
  <c r="A1" i="89"/>
  <c r="G17" i="89"/>
  <c r="E31" i="87"/>
  <c r="B30" i="87"/>
  <c r="B29" i="87"/>
  <c r="B28" i="87"/>
  <c r="B27" i="87"/>
  <c r="C4" i="78"/>
  <c r="AJ9" i="84" l="1"/>
  <c r="AH9" i="84"/>
  <c r="E21" i="87" l="1"/>
  <c r="E22" i="87"/>
  <c r="E23" i="87"/>
  <c r="D5" i="46"/>
  <c r="D6" i="46"/>
  <c r="D7" i="46"/>
  <c r="D8" i="46"/>
  <c r="D9" i="46"/>
  <c r="D10" i="46"/>
  <c r="D4" i="46"/>
  <c r="B5" i="46"/>
  <c r="B6" i="46"/>
  <c r="B7" i="46"/>
  <c r="B8" i="46"/>
  <c r="B9" i="46"/>
  <c r="B10" i="46"/>
  <c r="B4" i="46"/>
  <c r="A5" i="46"/>
  <c r="A6" i="46"/>
  <c r="A7" i="46"/>
  <c r="A8" i="46"/>
  <c r="A9" i="46"/>
  <c r="A10" i="46"/>
  <c r="A18" i="46"/>
  <c r="A19" i="46"/>
  <c r="A27" i="46"/>
  <c r="A28" i="46"/>
  <c r="A29" i="46"/>
  <c r="A30" i="46"/>
  <c r="A31" i="46"/>
  <c r="A32" i="46"/>
  <c r="A33" i="46"/>
  <c r="A17" i="46"/>
  <c r="E32" i="87"/>
  <c r="E30" i="87"/>
  <c r="E29" i="87"/>
  <c r="E28" i="87"/>
  <c r="E26" i="87"/>
  <c r="B26" i="87"/>
  <c r="A26" i="46" s="1"/>
  <c r="E25" i="87"/>
  <c r="B25" i="87"/>
  <c r="A25" i="46" s="1"/>
  <c r="E24" i="87"/>
  <c r="B24" i="87"/>
  <c r="A24" i="46" s="1"/>
  <c r="B23" i="87"/>
  <c r="A23" i="46" s="1"/>
  <c r="B22" i="87"/>
  <c r="A22" i="46" s="1"/>
  <c r="B21" i="87"/>
  <c r="A21" i="46" s="1"/>
  <c r="E20" i="87"/>
  <c r="B20" i="87"/>
  <c r="A20" i="46" s="1"/>
  <c r="AD10" i="84"/>
  <c r="AD11" i="84"/>
  <c r="AD12" i="84"/>
  <c r="AD13" i="84"/>
  <c r="AD14" i="84"/>
  <c r="AD15" i="84"/>
  <c r="AD16" i="84"/>
  <c r="AD17" i="84"/>
  <c r="AD18" i="84"/>
  <c r="AD19" i="84"/>
  <c r="AD20" i="84"/>
  <c r="AD21" i="84"/>
  <c r="AD22" i="84"/>
  <c r="AD23" i="84"/>
  <c r="AD24" i="84"/>
  <c r="AD25" i="84"/>
  <c r="AD26" i="84"/>
  <c r="AD27" i="84"/>
  <c r="AD28" i="84"/>
  <c r="AD29" i="84"/>
  <c r="AD30" i="84"/>
  <c r="AD31" i="84"/>
  <c r="AD32" i="84"/>
  <c r="AD33" i="84"/>
  <c r="AD34" i="84"/>
  <c r="AD35" i="84"/>
  <c r="AD36" i="84"/>
  <c r="AD37" i="84"/>
  <c r="AD38" i="84"/>
  <c r="AD39" i="84"/>
  <c r="AD40" i="84"/>
  <c r="AD41" i="84"/>
  <c r="AD42" i="84"/>
  <c r="AD43" i="84"/>
  <c r="AD44" i="84"/>
  <c r="AD45" i="84"/>
  <c r="AD46" i="84"/>
  <c r="AD47" i="84"/>
  <c r="AD48" i="84"/>
  <c r="AD49" i="84"/>
  <c r="AD50" i="84"/>
  <c r="AD51" i="84"/>
  <c r="AD52" i="84"/>
  <c r="AD9" i="84"/>
  <c r="E7" i="84"/>
  <c r="S16" i="84"/>
  <c r="R16" i="84" s="1"/>
  <c r="S9" i="84"/>
  <c r="P10" i="84"/>
  <c r="AJ10" i="84" s="1"/>
  <c r="Q10" i="84"/>
  <c r="P11" i="84"/>
  <c r="Q11" i="84"/>
  <c r="P12" i="84"/>
  <c r="AL12" i="84" s="1"/>
  <c r="Q12" i="84"/>
  <c r="P13" i="84"/>
  <c r="Q13" i="84"/>
  <c r="P14" i="84"/>
  <c r="AJ14" i="84" s="1"/>
  <c r="Q14" i="84"/>
  <c r="P15" i="84"/>
  <c r="Q15" i="84"/>
  <c r="P16" i="84"/>
  <c r="AL16" i="84" s="1"/>
  <c r="Q16" i="84"/>
  <c r="P17" i="84"/>
  <c r="Q17" i="84"/>
  <c r="P18" i="84"/>
  <c r="AJ18" i="84" s="1"/>
  <c r="Q18" i="84"/>
  <c r="P19" i="84"/>
  <c r="Q19" i="84"/>
  <c r="P20" i="84"/>
  <c r="AL20" i="84" s="1"/>
  <c r="Q20" i="84"/>
  <c r="P21" i="84"/>
  <c r="Q21" i="84"/>
  <c r="P22" i="84"/>
  <c r="AJ22" i="84" s="1"/>
  <c r="Q22" i="84"/>
  <c r="P23" i="84"/>
  <c r="Q23" i="84"/>
  <c r="P24" i="84"/>
  <c r="AL24" i="84" s="1"/>
  <c r="Q24" i="84"/>
  <c r="P25" i="84"/>
  <c r="Q25" i="84"/>
  <c r="P26" i="84"/>
  <c r="AJ26" i="84" s="1"/>
  <c r="Q26" i="84"/>
  <c r="P27" i="84"/>
  <c r="Q27" i="84"/>
  <c r="P28" i="84"/>
  <c r="AL28" i="84" s="1"/>
  <c r="Q28" i="84"/>
  <c r="P29" i="84"/>
  <c r="Q29" i="84"/>
  <c r="P30" i="84"/>
  <c r="AJ30" i="84" s="1"/>
  <c r="Q30" i="84"/>
  <c r="P31" i="84"/>
  <c r="Q31" i="84"/>
  <c r="P32" i="84"/>
  <c r="AL32" i="84" s="1"/>
  <c r="Q32" i="84"/>
  <c r="P33" i="84"/>
  <c r="Q33" i="84"/>
  <c r="P34" i="84"/>
  <c r="AJ34" i="84" s="1"/>
  <c r="Q34" i="84"/>
  <c r="P35" i="84"/>
  <c r="Q35" i="84"/>
  <c r="P36" i="84"/>
  <c r="AL36" i="84" s="1"/>
  <c r="Q36" i="84"/>
  <c r="P37" i="84"/>
  <c r="Q37" i="84"/>
  <c r="P38" i="84"/>
  <c r="AJ38" i="84" s="1"/>
  <c r="Q38" i="84"/>
  <c r="P39" i="84"/>
  <c r="Q39" i="84"/>
  <c r="P40" i="84"/>
  <c r="AL40" i="84" s="1"/>
  <c r="Q40" i="84"/>
  <c r="P41" i="84"/>
  <c r="Q41" i="84"/>
  <c r="P42" i="84"/>
  <c r="AJ42" i="84" s="1"/>
  <c r="Q42" i="84"/>
  <c r="P43" i="84"/>
  <c r="Q43" i="84"/>
  <c r="P44" i="84"/>
  <c r="AL44" i="84" s="1"/>
  <c r="Q44" i="84"/>
  <c r="P45" i="84"/>
  <c r="Q45" i="84"/>
  <c r="P46" i="84"/>
  <c r="AJ46" i="84" s="1"/>
  <c r="Q46" i="84"/>
  <c r="P47" i="84"/>
  <c r="Q47" i="84"/>
  <c r="P48" i="84"/>
  <c r="AL48" i="84" s="1"/>
  <c r="Q48" i="84"/>
  <c r="P49" i="84"/>
  <c r="Q49" i="84"/>
  <c r="P50" i="84"/>
  <c r="AJ50" i="84" s="1"/>
  <c r="Q50" i="84"/>
  <c r="P51" i="84"/>
  <c r="Q51" i="84"/>
  <c r="P52" i="84"/>
  <c r="S52" i="84" s="1"/>
  <c r="R52" i="84" s="1"/>
  <c r="Q52" i="84"/>
  <c r="S32" i="84" l="1"/>
  <c r="R32" i="84" s="1"/>
  <c r="V34" i="84"/>
  <c r="W14" i="84"/>
  <c r="S24" i="84"/>
  <c r="R24" i="84" s="1"/>
  <c r="V18" i="84"/>
  <c r="S48" i="84"/>
  <c r="R48" i="84" s="1"/>
  <c r="W46" i="84"/>
  <c r="S40" i="84"/>
  <c r="R40" i="84" s="1"/>
  <c r="V50" i="84"/>
  <c r="W30" i="84"/>
  <c r="S44" i="84"/>
  <c r="R44" i="84" s="1"/>
  <c r="S36" i="84"/>
  <c r="R36" i="84" s="1"/>
  <c r="S28" i="84"/>
  <c r="R28" i="84" s="1"/>
  <c r="S20" i="84"/>
  <c r="R20" i="84" s="1"/>
  <c r="S12" i="84"/>
  <c r="R12" i="84" s="1"/>
  <c r="V42" i="84"/>
  <c r="V26" i="84"/>
  <c r="V10" i="84"/>
  <c r="W38" i="84"/>
  <c r="W22" i="84"/>
  <c r="AK40" i="84"/>
  <c r="AK24" i="84"/>
  <c r="S50" i="84"/>
  <c r="R50" i="84" s="1"/>
  <c r="S42" i="84"/>
  <c r="R42" i="84" s="1"/>
  <c r="S34" i="84"/>
  <c r="R34" i="84" s="1"/>
  <c r="S26" i="84"/>
  <c r="R26" i="84" s="1"/>
  <c r="S18" i="84"/>
  <c r="R18" i="84" s="1"/>
  <c r="S10" i="84"/>
  <c r="R10" i="84" s="1"/>
  <c r="V38" i="84"/>
  <c r="V22" i="84"/>
  <c r="W50" i="84"/>
  <c r="W34" i="84"/>
  <c r="W18" i="84"/>
  <c r="AK52" i="84"/>
  <c r="AK36" i="84"/>
  <c r="AK20" i="84"/>
  <c r="AK48" i="84"/>
  <c r="AK32" i="84"/>
  <c r="AK16" i="84"/>
  <c r="S46" i="84"/>
  <c r="R46" i="84" s="1"/>
  <c r="S38" i="84"/>
  <c r="R38" i="84" s="1"/>
  <c r="S30" i="84"/>
  <c r="R30" i="84" s="1"/>
  <c r="S22" i="84"/>
  <c r="R22" i="84" s="1"/>
  <c r="S14" i="84"/>
  <c r="R14" i="84" s="1"/>
  <c r="V46" i="84"/>
  <c r="V30" i="84"/>
  <c r="V14" i="84"/>
  <c r="W42" i="84"/>
  <c r="W26" i="84"/>
  <c r="W10" i="84"/>
  <c r="AK44" i="84"/>
  <c r="AK28" i="84"/>
  <c r="AK12" i="84"/>
  <c r="AK51" i="84"/>
  <c r="W51" i="84"/>
  <c r="V51" i="84"/>
  <c r="AL51" i="84"/>
  <c r="S51" i="84"/>
  <c r="R51" i="84" s="1"/>
  <c r="U51" i="84"/>
  <c r="T51" i="84" s="1"/>
  <c r="AJ49" i="84"/>
  <c r="S49" i="84"/>
  <c r="R49" i="84" s="1"/>
  <c r="AK49" i="84"/>
  <c r="W49" i="84"/>
  <c r="V49" i="84"/>
  <c r="U49" i="84"/>
  <c r="T49" i="84" s="1"/>
  <c r="AK47" i="84"/>
  <c r="W47" i="84"/>
  <c r="V47" i="84"/>
  <c r="AL47" i="84"/>
  <c r="S47" i="84"/>
  <c r="R47" i="84" s="1"/>
  <c r="U47" i="84"/>
  <c r="T47" i="84" s="1"/>
  <c r="AJ45" i="84"/>
  <c r="S45" i="84"/>
  <c r="R45" i="84" s="1"/>
  <c r="AK45" i="84"/>
  <c r="W45" i="84"/>
  <c r="V45" i="84"/>
  <c r="U45" i="84"/>
  <c r="T45" i="84" s="1"/>
  <c r="AK43" i="84"/>
  <c r="W43" i="84"/>
  <c r="V43" i="84"/>
  <c r="AL43" i="84"/>
  <c r="S43" i="84"/>
  <c r="R43" i="84" s="1"/>
  <c r="U43" i="84"/>
  <c r="T43" i="84" s="1"/>
  <c r="AJ41" i="84"/>
  <c r="S41" i="84"/>
  <c r="R41" i="84" s="1"/>
  <c r="AK41" i="84"/>
  <c r="W41" i="84"/>
  <c r="V41" i="84"/>
  <c r="U41" i="84"/>
  <c r="T41" i="84" s="1"/>
  <c r="AK39" i="84"/>
  <c r="W39" i="84"/>
  <c r="V39" i="84"/>
  <c r="AL39" i="84"/>
  <c r="S39" i="84"/>
  <c r="R39" i="84" s="1"/>
  <c r="U39" i="84"/>
  <c r="T39" i="84" s="1"/>
  <c r="AL37" i="84"/>
  <c r="AJ37" i="84"/>
  <c r="S37" i="84"/>
  <c r="R37" i="84" s="1"/>
  <c r="AK37" i="84"/>
  <c r="W37" i="84"/>
  <c r="V37" i="84"/>
  <c r="U37" i="84"/>
  <c r="T37" i="84" s="1"/>
  <c r="AK35" i="84"/>
  <c r="W35" i="84"/>
  <c r="V35" i="84"/>
  <c r="AL35" i="84"/>
  <c r="S35" i="84"/>
  <c r="R35" i="84" s="1"/>
  <c r="U35" i="84"/>
  <c r="T35" i="84" s="1"/>
  <c r="AJ35" i="84"/>
  <c r="AJ33" i="84"/>
  <c r="S33" i="84"/>
  <c r="R33" i="84" s="1"/>
  <c r="AK33" i="84"/>
  <c r="W33" i="84"/>
  <c r="V33" i="84"/>
  <c r="U33" i="84"/>
  <c r="T33" i="84" s="1"/>
  <c r="AL33" i="84"/>
  <c r="AK31" i="84"/>
  <c r="W31" i="84"/>
  <c r="V31" i="84"/>
  <c r="AL31" i="84"/>
  <c r="S31" i="84"/>
  <c r="R31" i="84" s="1"/>
  <c r="U31" i="84"/>
  <c r="T31" i="84" s="1"/>
  <c r="AJ31" i="84"/>
  <c r="AJ29" i="84"/>
  <c r="S29" i="84"/>
  <c r="R29" i="84" s="1"/>
  <c r="AL29" i="84"/>
  <c r="AK29" i="84"/>
  <c r="W29" i="84"/>
  <c r="V29" i="84"/>
  <c r="U29" i="84"/>
  <c r="T29" i="84" s="1"/>
  <c r="AK27" i="84"/>
  <c r="W27" i="84"/>
  <c r="V27" i="84"/>
  <c r="AL27" i="84"/>
  <c r="S27" i="84"/>
  <c r="R27" i="84" s="1"/>
  <c r="U27" i="84"/>
  <c r="T27" i="84" s="1"/>
  <c r="AJ27" i="84"/>
  <c r="AL25" i="84"/>
  <c r="AJ25" i="84"/>
  <c r="S25" i="84"/>
  <c r="R25" i="84" s="1"/>
  <c r="AK25" i="84"/>
  <c r="W25" i="84"/>
  <c r="V25" i="84"/>
  <c r="U25" i="84"/>
  <c r="T25" i="84" s="1"/>
  <c r="AK23" i="84"/>
  <c r="W23" i="84"/>
  <c r="V23" i="84"/>
  <c r="AJ23" i="84"/>
  <c r="AL23" i="84"/>
  <c r="S23" i="84"/>
  <c r="R23" i="84" s="1"/>
  <c r="U23" i="84"/>
  <c r="T23" i="84" s="1"/>
  <c r="AL21" i="84"/>
  <c r="AJ21" i="84"/>
  <c r="S21" i="84"/>
  <c r="R21" i="84" s="1"/>
  <c r="AK21" i="84"/>
  <c r="W21" i="84"/>
  <c r="V21" i="84"/>
  <c r="U21" i="84"/>
  <c r="T21" i="84" s="1"/>
  <c r="AK19" i="84"/>
  <c r="W19" i="84"/>
  <c r="V19" i="84"/>
  <c r="AJ19" i="84"/>
  <c r="AL19" i="84"/>
  <c r="S19" i="84"/>
  <c r="R19" i="84" s="1"/>
  <c r="U19" i="84"/>
  <c r="T19" i="84" s="1"/>
  <c r="AJ17" i="84"/>
  <c r="S17" i="84"/>
  <c r="R17" i="84" s="1"/>
  <c r="AL17" i="84"/>
  <c r="AK17" i="84"/>
  <c r="W17" i="84"/>
  <c r="V17" i="84"/>
  <c r="U17" i="84"/>
  <c r="T17" i="84" s="1"/>
  <c r="AK15" i="84"/>
  <c r="W15" i="84"/>
  <c r="V15" i="84"/>
  <c r="AL15" i="84"/>
  <c r="S15" i="84"/>
  <c r="R15" i="84" s="1"/>
  <c r="U15" i="84"/>
  <c r="T15" i="84" s="1"/>
  <c r="AJ15" i="84"/>
  <c r="AJ13" i="84"/>
  <c r="S13" i="84"/>
  <c r="R13" i="84" s="1"/>
  <c r="AK13" i="84"/>
  <c r="W13" i="84"/>
  <c r="V13" i="84"/>
  <c r="U13" i="84"/>
  <c r="T13" i="84" s="1"/>
  <c r="AL13" i="84"/>
  <c r="AK11" i="84"/>
  <c r="W11" i="84"/>
  <c r="V11" i="84"/>
  <c r="AJ11" i="84"/>
  <c r="AL11" i="84"/>
  <c r="S11" i="84"/>
  <c r="R11" i="84" s="1"/>
  <c r="U11" i="84"/>
  <c r="T11" i="84" s="1"/>
  <c r="AL49" i="84"/>
  <c r="AJ39" i="84"/>
  <c r="AJ43" i="84"/>
  <c r="AJ47" i="84"/>
  <c r="AL41" i="84"/>
  <c r="AJ51" i="84"/>
  <c r="AL45" i="84"/>
  <c r="V9" i="84"/>
  <c r="W9" i="84"/>
  <c r="AK9" i="84"/>
  <c r="AJ52" i="84"/>
  <c r="AL50" i="84"/>
  <c r="AJ48" i="84"/>
  <c r="AL46" i="84"/>
  <c r="AJ44" i="84"/>
  <c r="AL42" i="84"/>
  <c r="AJ40" i="84"/>
  <c r="AL38" i="84"/>
  <c r="AJ36" i="84"/>
  <c r="AL34" i="84"/>
  <c r="AJ32" i="84"/>
  <c r="AL30" i="84"/>
  <c r="AJ28" i="84"/>
  <c r="AL26" i="84"/>
  <c r="AJ24" i="84"/>
  <c r="AL22" i="84"/>
  <c r="AJ20" i="84"/>
  <c r="AL18" i="84"/>
  <c r="AJ16" i="84"/>
  <c r="AL14" i="84"/>
  <c r="AJ12" i="84"/>
  <c r="AL10" i="84"/>
  <c r="V52" i="84"/>
  <c r="V48" i="84"/>
  <c r="V44" i="84"/>
  <c r="V40" i="84"/>
  <c r="V36" i="84"/>
  <c r="V32" i="84"/>
  <c r="V28" i="84"/>
  <c r="V24" i="84"/>
  <c r="V20" i="84"/>
  <c r="V16" i="84"/>
  <c r="V12" i="84"/>
  <c r="W52" i="84"/>
  <c r="W48" i="84"/>
  <c r="W44" i="84"/>
  <c r="W40" i="84"/>
  <c r="W36" i="84"/>
  <c r="W32" i="84"/>
  <c r="W28" i="84"/>
  <c r="W24" i="84"/>
  <c r="W20" i="84"/>
  <c r="W16" i="84"/>
  <c r="W12" i="84"/>
  <c r="AL9" i="84"/>
  <c r="AK50" i="84"/>
  <c r="AK46" i="84"/>
  <c r="AK42" i="84"/>
  <c r="AK38" i="84"/>
  <c r="AK34" i="84"/>
  <c r="AK30" i="84"/>
  <c r="AK26" i="84"/>
  <c r="AK22" i="84"/>
  <c r="AK18" i="84"/>
  <c r="AK14" i="84"/>
  <c r="AK10" i="84"/>
  <c r="U50" i="84"/>
  <c r="T50" i="84" s="1"/>
  <c r="U48" i="84"/>
  <c r="T48" i="84" s="1"/>
  <c r="U46" i="84"/>
  <c r="T46" i="84" s="1"/>
  <c r="U44" i="84"/>
  <c r="T44" i="84" s="1"/>
  <c r="U42" i="84"/>
  <c r="T42" i="84" s="1"/>
  <c r="U40" i="84"/>
  <c r="T40" i="84" s="1"/>
  <c r="U38" i="84"/>
  <c r="T38" i="84" s="1"/>
  <c r="U36" i="84"/>
  <c r="T36" i="84" s="1"/>
  <c r="U34" i="84"/>
  <c r="T34" i="84" s="1"/>
  <c r="U32" i="84"/>
  <c r="T32" i="84" s="1"/>
  <c r="U30" i="84"/>
  <c r="T30" i="84" s="1"/>
  <c r="U28" i="84"/>
  <c r="T28" i="84" s="1"/>
  <c r="U26" i="84"/>
  <c r="T26" i="84" s="1"/>
  <c r="U24" i="84"/>
  <c r="T24" i="84" s="1"/>
  <c r="U22" i="84"/>
  <c r="T22" i="84" s="1"/>
  <c r="U20" i="84"/>
  <c r="T20" i="84" s="1"/>
  <c r="U18" i="84"/>
  <c r="T18" i="84" s="1"/>
  <c r="U16" i="84"/>
  <c r="T16" i="84" s="1"/>
  <c r="U14" i="84"/>
  <c r="T14" i="84" s="1"/>
  <c r="U12" i="84"/>
  <c r="T12" i="84" s="1"/>
  <c r="U10" i="84"/>
  <c r="T10" i="84" s="1"/>
  <c r="AL52" i="84"/>
  <c r="U52" i="84"/>
  <c r="T52" i="84" s="1"/>
  <c r="U9" i="84"/>
  <c r="Q7" i="85"/>
  <c r="P8" i="85"/>
  <c r="AK8" i="85" s="1"/>
  <c r="P9" i="85"/>
  <c r="AK9" i="85" s="1"/>
  <c r="P10" i="85"/>
  <c r="AK10" i="85" s="1"/>
  <c r="P11" i="85"/>
  <c r="AK11" i="85" s="1"/>
  <c r="P12" i="85"/>
  <c r="AK12" i="85" s="1"/>
  <c r="P13" i="85"/>
  <c r="AK13" i="85" s="1"/>
  <c r="P14" i="85"/>
  <c r="AK14" i="85" s="1"/>
  <c r="P15" i="85"/>
  <c r="AK15" i="85" s="1"/>
  <c r="P16" i="85"/>
  <c r="AK16" i="85" s="1"/>
  <c r="P17" i="85"/>
  <c r="AK17" i="85" s="1"/>
  <c r="P18" i="85"/>
  <c r="AK18" i="85" s="1"/>
  <c r="P19" i="85"/>
  <c r="AK19" i="85" s="1"/>
  <c r="P20" i="85"/>
  <c r="AK20" i="85" s="1"/>
  <c r="P21" i="85"/>
  <c r="AK21" i="85" s="1"/>
  <c r="P22" i="85"/>
  <c r="AK22" i="85" s="1"/>
  <c r="P23" i="85"/>
  <c r="AK23" i="85" s="1"/>
  <c r="P24" i="85"/>
  <c r="AK24" i="85" s="1"/>
  <c r="P25" i="85"/>
  <c r="AK25" i="85" s="1"/>
  <c r="P26" i="85"/>
  <c r="AK26" i="85" s="1"/>
  <c r="P27" i="85"/>
  <c r="AK27" i="85" s="1"/>
  <c r="P28" i="85"/>
  <c r="AK28" i="85" s="1"/>
  <c r="P29" i="85"/>
  <c r="AK29" i="85" s="1"/>
  <c r="P30" i="85"/>
  <c r="AK30" i="85" s="1"/>
  <c r="P31" i="85"/>
  <c r="AK31" i="85" s="1"/>
  <c r="P32" i="85"/>
  <c r="AK32" i="85" s="1"/>
  <c r="P33" i="85"/>
  <c r="AK33" i="85" s="1"/>
  <c r="P34" i="85"/>
  <c r="AK34" i="85" s="1"/>
  <c r="P35" i="85"/>
  <c r="AK35" i="85" s="1"/>
  <c r="P36" i="85"/>
  <c r="AK36" i="85" s="1"/>
  <c r="P37" i="85"/>
  <c r="AK37" i="85" s="1"/>
  <c r="P38" i="85"/>
  <c r="AK38" i="85" s="1"/>
  <c r="P39" i="85"/>
  <c r="AK39" i="85" s="1"/>
  <c r="P40" i="85"/>
  <c r="AK40" i="85" s="1"/>
  <c r="P41" i="85"/>
  <c r="AK41" i="85" s="1"/>
  <c r="P42" i="85"/>
  <c r="AK42" i="85" s="1"/>
  <c r="P43" i="85"/>
  <c r="AK43" i="85" s="1"/>
  <c r="P44" i="85"/>
  <c r="AK44" i="85" s="1"/>
  <c r="P45" i="85"/>
  <c r="AK45" i="85" s="1"/>
  <c r="P46" i="85"/>
  <c r="AK46" i="85" s="1"/>
  <c r="P47" i="85"/>
  <c r="AK47" i="85" s="1"/>
  <c r="P7" i="85"/>
  <c r="AK7" i="85" s="1"/>
  <c r="J17" i="83"/>
  <c r="J18" i="83"/>
  <c r="J16" i="83"/>
  <c r="J15" i="83"/>
  <c r="Y9" i="84" l="1"/>
  <c r="AN9" i="84"/>
  <c r="AM9" i="84"/>
  <c r="T9" i="84"/>
  <c r="AC9" i="84"/>
  <c r="AE9" i="84" s="1"/>
  <c r="AT9" i="84" s="1"/>
  <c r="AO9" i="84"/>
  <c r="AL42" i="85"/>
  <c r="AJ42" i="85"/>
  <c r="U45" i="85"/>
  <c r="T45" i="85" s="1"/>
  <c r="AJ45" i="85"/>
  <c r="U37" i="85"/>
  <c r="T37" i="85" s="1"/>
  <c r="AJ37" i="85"/>
  <c r="U29" i="85"/>
  <c r="T29" i="85" s="1"/>
  <c r="AJ29" i="85"/>
  <c r="U21" i="85"/>
  <c r="T21" i="85" s="1"/>
  <c r="AJ21" i="85"/>
  <c r="U13" i="85"/>
  <c r="T13" i="85" s="1"/>
  <c r="AJ13" i="85"/>
  <c r="S44" i="85"/>
  <c r="R44" i="85" s="1"/>
  <c r="AJ44" i="85"/>
  <c r="S40" i="85"/>
  <c r="R40" i="85" s="1"/>
  <c r="AJ40" i="85"/>
  <c r="S36" i="85"/>
  <c r="R36" i="85" s="1"/>
  <c r="AJ36" i="85"/>
  <c r="S32" i="85"/>
  <c r="R32" i="85" s="1"/>
  <c r="AJ32" i="85"/>
  <c r="S28" i="85"/>
  <c r="R28" i="85" s="1"/>
  <c r="AJ28" i="85"/>
  <c r="S24" i="85"/>
  <c r="R24" i="85" s="1"/>
  <c r="AJ24" i="85"/>
  <c r="S20" i="85"/>
  <c r="R20" i="85" s="1"/>
  <c r="AJ20" i="85"/>
  <c r="S16" i="85"/>
  <c r="R16" i="85" s="1"/>
  <c r="AJ16" i="85"/>
  <c r="S12" i="85"/>
  <c r="R12" i="85" s="1"/>
  <c r="AJ12" i="85"/>
  <c r="S8" i="85"/>
  <c r="R8" i="85" s="1"/>
  <c r="AJ8" i="85"/>
  <c r="AL34" i="85"/>
  <c r="AJ34" i="85"/>
  <c r="AL26" i="85"/>
  <c r="AJ26" i="85"/>
  <c r="AL18" i="85"/>
  <c r="AJ18" i="85"/>
  <c r="U41" i="85"/>
  <c r="T41" i="85" s="1"/>
  <c r="AJ41" i="85"/>
  <c r="U33" i="85"/>
  <c r="T33" i="85" s="1"/>
  <c r="AJ33" i="85"/>
  <c r="U25" i="85"/>
  <c r="T25" i="85" s="1"/>
  <c r="AJ25" i="85"/>
  <c r="U17" i="85"/>
  <c r="T17" i="85" s="1"/>
  <c r="AJ17" i="85"/>
  <c r="AL47" i="85"/>
  <c r="AJ47" i="85"/>
  <c r="AL43" i="85"/>
  <c r="AJ43" i="85"/>
  <c r="AL39" i="85"/>
  <c r="AJ39" i="85"/>
  <c r="AL35" i="85"/>
  <c r="AJ35" i="85"/>
  <c r="AL31" i="85"/>
  <c r="AJ31" i="85"/>
  <c r="AL27" i="85"/>
  <c r="AJ27" i="85"/>
  <c r="AL23" i="85"/>
  <c r="AJ23" i="85"/>
  <c r="AL19" i="85"/>
  <c r="AJ19" i="85"/>
  <c r="AL15" i="85"/>
  <c r="AJ15" i="85"/>
  <c r="AL11" i="85"/>
  <c r="AJ11" i="85"/>
  <c r="AL38" i="85"/>
  <c r="AJ38" i="85"/>
  <c r="AL10" i="85"/>
  <c r="AJ10" i="85"/>
  <c r="S46" i="85"/>
  <c r="R46" i="85" s="1"/>
  <c r="AJ46" i="85"/>
  <c r="AL30" i="85"/>
  <c r="AJ30" i="85"/>
  <c r="AL22" i="85"/>
  <c r="AJ22" i="85"/>
  <c r="AL14" i="85"/>
  <c r="AJ14" i="85"/>
  <c r="U9" i="85"/>
  <c r="T9" i="85" s="1"/>
  <c r="AJ9" i="85"/>
  <c r="S7" i="85"/>
  <c r="R7" i="85" s="1"/>
  <c r="AJ7" i="85"/>
  <c r="S47" i="85"/>
  <c r="S31" i="85"/>
  <c r="R31" i="85" s="1"/>
  <c r="S15" i="85"/>
  <c r="R15" i="85" s="1"/>
  <c r="U40" i="85"/>
  <c r="T40" i="85" s="1"/>
  <c r="S43" i="85"/>
  <c r="R43" i="85" s="1"/>
  <c r="S27" i="85"/>
  <c r="R27" i="85" s="1"/>
  <c r="S11" i="85"/>
  <c r="R11" i="85" s="1"/>
  <c r="U36" i="85"/>
  <c r="T36" i="85" s="1"/>
  <c r="S39" i="85"/>
  <c r="R39" i="85" s="1"/>
  <c r="S23" i="85"/>
  <c r="R23" i="85" s="1"/>
  <c r="U7" i="85"/>
  <c r="T7" i="85" s="1"/>
  <c r="U32" i="85"/>
  <c r="T32" i="85" s="1"/>
  <c r="S35" i="85"/>
  <c r="R35" i="85" s="1"/>
  <c r="S19" i="85"/>
  <c r="R19" i="85" s="1"/>
  <c r="U44" i="85"/>
  <c r="T44" i="85" s="1"/>
  <c r="U28" i="85"/>
  <c r="T28" i="85" s="1"/>
  <c r="U24" i="85"/>
  <c r="T24" i="85" s="1"/>
  <c r="U20" i="85"/>
  <c r="T20" i="85" s="1"/>
  <c r="U16" i="85"/>
  <c r="T16" i="85" s="1"/>
  <c r="U12" i="85"/>
  <c r="T12" i="85" s="1"/>
  <c r="U8" i="85"/>
  <c r="T8" i="85" s="1"/>
  <c r="V45" i="85"/>
  <c r="V41" i="85"/>
  <c r="V37" i="85"/>
  <c r="V33" i="85"/>
  <c r="V29" i="85"/>
  <c r="V25" i="85"/>
  <c r="V21" i="85"/>
  <c r="V17" i="85"/>
  <c r="V13" i="85"/>
  <c r="V9" i="85"/>
  <c r="W45" i="85"/>
  <c r="W41" i="85"/>
  <c r="W37" i="85"/>
  <c r="W33" i="85"/>
  <c r="W29" i="85"/>
  <c r="W25" i="85"/>
  <c r="W21" i="85"/>
  <c r="W17" i="85"/>
  <c r="W13" i="85"/>
  <c r="W9" i="85"/>
  <c r="AI7" i="85"/>
  <c r="AL45" i="85"/>
  <c r="AL41" i="85"/>
  <c r="AL37" i="85"/>
  <c r="AL33" i="85"/>
  <c r="AL29" i="85"/>
  <c r="AL25" i="85"/>
  <c r="AL21" i="85"/>
  <c r="AL17" i="85"/>
  <c r="AL13" i="85"/>
  <c r="AL9" i="85"/>
  <c r="R47" i="85"/>
  <c r="S42" i="85"/>
  <c r="R42" i="85" s="1"/>
  <c r="S38" i="85"/>
  <c r="R38" i="85" s="1"/>
  <c r="S34" i="85"/>
  <c r="R34" i="85" s="1"/>
  <c r="S30" i="85"/>
  <c r="R30" i="85" s="1"/>
  <c r="S26" i="85"/>
  <c r="R26" i="85" s="1"/>
  <c r="S22" i="85"/>
  <c r="R22" i="85" s="1"/>
  <c r="S18" i="85"/>
  <c r="R18" i="85" s="1"/>
  <c r="S14" i="85"/>
  <c r="R14" i="85" s="1"/>
  <c r="S10" i="85"/>
  <c r="R10" i="85" s="1"/>
  <c r="U47" i="85"/>
  <c r="U43" i="85"/>
  <c r="T43" i="85" s="1"/>
  <c r="U39" i="85"/>
  <c r="T39" i="85" s="1"/>
  <c r="U35" i="85"/>
  <c r="T35" i="85" s="1"/>
  <c r="U31" i="85"/>
  <c r="T31" i="85" s="1"/>
  <c r="U27" i="85"/>
  <c r="T27" i="85" s="1"/>
  <c r="U23" i="85"/>
  <c r="T23" i="85" s="1"/>
  <c r="U19" i="85"/>
  <c r="T19" i="85" s="1"/>
  <c r="U15" i="85"/>
  <c r="T15" i="85" s="1"/>
  <c r="U11" i="85"/>
  <c r="T11" i="85" s="1"/>
  <c r="V7" i="85"/>
  <c r="V44" i="85"/>
  <c r="V40" i="85"/>
  <c r="V36" i="85"/>
  <c r="V32" i="85"/>
  <c r="V28" i="85"/>
  <c r="V24" i="85"/>
  <c r="V20" i="85"/>
  <c r="V16" i="85"/>
  <c r="V12" i="85"/>
  <c r="V8" i="85"/>
  <c r="W44" i="85"/>
  <c r="W40" i="85"/>
  <c r="W36" i="85"/>
  <c r="W32" i="85"/>
  <c r="W28" i="85"/>
  <c r="W24" i="85"/>
  <c r="W20" i="85"/>
  <c r="W16" i="85"/>
  <c r="W12" i="85"/>
  <c r="W8" i="85"/>
  <c r="AL7" i="85"/>
  <c r="AM7" i="85" s="1"/>
  <c r="AL44" i="85"/>
  <c r="AL40" i="85"/>
  <c r="AL36" i="85"/>
  <c r="AL32" i="85"/>
  <c r="AL28" i="85"/>
  <c r="AL24" i="85"/>
  <c r="AL20" i="85"/>
  <c r="AL16" i="85"/>
  <c r="AL12" i="85"/>
  <c r="AL8" i="85"/>
  <c r="S45" i="85"/>
  <c r="R45" i="85" s="1"/>
  <c r="S41" i="85"/>
  <c r="R41" i="85" s="1"/>
  <c r="S37" i="85"/>
  <c r="R37" i="85" s="1"/>
  <c r="S33" i="85"/>
  <c r="R33" i="85" s="1"/>
  <c r="S29" i="85"/>
  <c r="R29" i="85" s="1"/>
  <c r="S25" i="85"/>
  <c r="R25" i="85" s="1"/>
  <c r="S21" i="85"/>
  <c r="R21" i="85" s="1"/>
  <c r="S17" i="85"/>
  <c r="R17" i="85" s="1"/>
  <c r="S13" i="85"/>
  <c r="R13" i="85" s="1"/>
  <c r="S9" i="85"/>
  <c r="R9" i="85" s="1"/>
  <c r="T47" i="85"/>
  <c r="U42" i="85"/>
  <c r="T42" i="85" s="1"/>
  <c r="U38" i="85"/>
  <c r="T38" i="85" s="1"/>
  <c r="U34" i="85"/>
  <c r="T34" i="85" s="1"/>
  <c r="U30" i="85"/>
  <c r="T30" i="85" s="1"/>
  <c r="U26" i="85"/>
  <c r="T26" i="85" s="1"/>
  <c r="U22" i="85"/>
  <c r="T22" i="85" s="1"/>
  <c r="U18" i="85"/>
  <c r="T18" i="85" s="1"/>
  <c r="U14" i="85"/>
  <c r="T14" i="85" s="1"/>
  <c r="U10" i="85"/>
  <c r="T10" i="85" s="1"/>
  <c r="V47" i="85"/>
  <c r="V43" i="85"/>
  <c r="V39" i="85"/>
  <c r="V35" i="85"/>
  <c r="V31" i="85"/>
  <c r="V27" i="85"/>
  <c r="V23" i="85"/>
  <c r="V19" i="85"/>
  <c r="V15" i="85"/>
  <c r="V11" i="85"/>
  <c r="W7" i="85"/>
  <c r="W43" i="85"/>
  <c r="W39" i="85"/>
  <c r="W35" i="85"/>
  <c r="W31" i="85"/>
  <c r="W27" i="85"/>
  <c r="W23" i="85"/>
  <c r="W19" i="85"/>
  <c r="W15" i="85"/>
  <c r="W11" i="85"/>
  <c r="V46" i="85"/>
  <c r="V42" i="85"/>
  <c r="V38" i="85"/>
  <c r="V34" i="85"/>
  <c r="V30" i="85"/>
  <c r="V26" i="85"/>
  <c r="V22" i="85"/>
  <c r="V18" i="85"/>
  <c r="V14" i="85"/>
  <c r="V10" i="85"/>
  <c r="W46" i="85"/>
  <c r="W42" i="85"/>
  <c r="W38" i="85"/>
  <c r="W34" i="85"/>
  <c r="W30" i="85"/>
  <c r="W26" i="85"/>
  <c r="W22" i="85"/>
  <c r="W18" i="85"/>
  <c r="W14" i="85"/>
  <c r="W10" i="85"/>
  <c r="AL46" i="85"/>
  <c r="U46" i="85"/>
  <c r="T46" i="85" s="1"/>
  <c r="AA11" i="86"/>
  <c r="N11" i="86"/>
  <c r="M11" i="86"/>
  <c r="AA10" i="86"/>
  <c r="N10" i="86"/>
  <c r="M10" i="86"/>
  <c r="AT10" i="86" s="1"/>
  <c r="AA9" i="86"/>
  <c r="N9" i="86"/>
  <c r="M9" i="86"/>
  <c r="AS9" i="86" s="1"/>
  <c r="Y7" i="85" l="1"/>
  <c r="X7" i="85"/>
  <c r="AF10" i="86"/>
  <c r="AM10" i="86" s="1"/>
  <c r="AN10" i="86" s="1"/>
  <c r="AE9" i="86"/>
  <c r="S10" i="86"/>
  <c r="AI9" i="86"/>
  <c r="AJ9" i="86" s="1"/>
  <c r="T10" i="86"/>
  <c r="AH10" i="86"/>
  <c r="S9" i="86"/>
  <c r="AQ9" i="86"/>
  <c r="P10" i="86"/>
  <c r="O10" i="86" s="1"/>
  <c r="AP10" i="86"/>
  <c r="AT9" i="86"/>
  <c r="R10" i="86"/>
  <c r="Q10" i="86" s="1"/>
  <c r="AD10" i="86"/>
  <c r="AS10" i="86"/>
  <c r="P9" i="86"/>
  <c r="O9" i="86" s="1"/>
  <c r="T9" i="86"/>
  <c r="AF9" i="86"/>
  <c r="AM9" i="86" s="1"/>
  <c r="AO9" i="86" s="1"/>
  <c r="AG10" i="86"/>
  <c r="AR10" i="86"/>
  <c r="R11" i="86"/>
  <c r="Q11" i="86" s="1"/>
  <c r="AD11" i="86"/>
  <c r="AH11" i="86"/>
  <c r="AP11" i="86"/>
  <c r="AS11" i="86"/>
  <c r="AG11" i="86"/>
  <c r="AG9" i="86"/>
  <c r="AR9" i="86"/>
  <c r="S11" i="86"/>
  <c r="AE11" i="86"/>
  <c r="AI11" i="86"/>
  <c r="AQ11" i="86"/>
  <c r="AT11" i="86"/>
  <c r="AR11" i="86"/>
  <c r="R9" i="86"/>
  <c r="Q9" i="86" s="1"/>
  <c r="AD9" i="86"/>
  <c r="AH9" i="86"/>
  <c r="AP9" i="86"/>
  <c r="AE10" i="86"/>
  <c r="AI10" i="86"/>
  <c r="AQ10" i="86"/>
  <c r="P11" i="86"/>
  <c r="O11" i="86" s="1"/>
  <c r="T11" i="86"/>
  <c r="AF11" i="86"/>
  <c r="AM11" i="86" s="1"/>
  <c r="AN11" i="86" s="1"/>
  <c r="AO10" i="86" l="1"/>
  <c r="AO11" i="86"/>
  <c r="AL9" i="86"/>
  <c r="V10" i="86"/>
  <c r="C7" i="86"/>
  <c r="AL11" i="86"/>
  <c r="Z10" i="86"/>
  <c r="C3" i="86"/>
  <c r="AK9" i="86"/>
  <c r="U10" i="86"/>
  <c r="AL10" i="86"/>
  <c r="C5" i="86"/>
  <c r="C4" i="86" s="1"/>
  <c r="Z11" i="86"/>
  <c r="AN9" i="86"/>
  <c r="AJ10" i="86"/>
  <c r="AK10" i="86"/>
  <c r="U11" i="86"/>
  <c r="V11" i="86"/>
  <c r="Z9" i="86"/>
  <c r="AJ11" i="86"/>
  <c r="AK11" i="86"/>
  <c r="V9" i="86"/>
  <c r="U9" i="86"/>
  <c r="J29" i="46" l="1"/>
  <c r="G29" i="87"/>
  <c r="Z29" i="46"/>
  <c r="G28" i="87"/>
  <c r="J28" i="46"/>
  <c r="C6" i="86"/>
  <c r="AB10" i="86"/>
  <c r="AC10" i="86"/>
  <c r="AC9" i="86"/>
  <c r="AB9" i="86"/>
  <c r="AC11" i="86"/>
  <c r="AB11" i="86"/>
  <c r="J30" i="46" l="1"/>
  <c r="G30" i="87"/>
  <c r="Z30" i="46"/>
  <c r="W10" i="86"/>
  <c r="X10" i="86"/>
  <c r="Y10" i="86"/>
  <c r="W11" i="86"/>
  <c r="X11" i="86"/>
  <c r="Y11" i="86"/>
  <c r="W9" i="86"/>
  <c r="Y9" i="86"/>
  <c r="X9" i="86"/>
  <c r="E5" i="85"/>
  <c r="AD47" i="85"/>
  <c r="Q47" i="85"/>
  <c r="AD46" i="85"/>
  <c r="Q46" i="85"/>
  <c r="AH46" i="85"/>
  <c r="AD45" i="85"/>
  <c r="Q45" i="85"/>
  <c r="AD44" i="85"/>
  <c r="Q44" i="85"/>
  <c r="AD43" i="85"/>
  <c r="Q43" i="85"/>
  <c r="AD42" i="85"/>
  <c r="Q42" i="85"/>
  <c r="AI42" i="85"/>
  <c r="AD41" i="85"/>
  <c r="Q41" i="85"/>
  <c r="AD40" i="85"/>
  <c r="Q40" i="85"/>
  <c r="AD39" i="85"/>
  <c r="Q39" i="85"/>
  <c r="AH39" i="85"/>
  <c r="AD38" i="85"/>
  <c r="Q38" i="85"/>
  <c r="AH38" i="85"/>
  <c r="AD37" i="85"/>
  <c r="Q37" i="85"/>
  <c r="AD36" i="85"/>
  <c r="Q36" i="85"/>
  <c r="AD35" i="85"/>
  <c r="Q35" i="85"/>
  <c r="AD34" i="85"/>
  <c r="Q34" i="85"/>
  <c r="AD33" i="85"/>
  <c r="Q33" i="85"/>
  <c r="AD32" i="85"/>
  <c r="Q32" i="85"/>
  <c r="AD31" i="85"/>
  <c r="Q31" i="85"/>
  <c r="AD30" i="85"/>
  <c r="Q30" i="85"/>
  <c r="AD29" i="85"/>
  <c r="Q29" i="85"/>
  <c r="AD28" i="85"/>
  <c r="Q28" i="85"/>
  <c r="AD27" i="85"/>
  <c r="Q27" i="85"/>
  <c r="AI27" i="85"/>
  <c r="AD26" i="85"/>
  <c r="Q26" i="85"/>
  <c r="AD25" i="85"/>
  <c r="Q25" i="85"/>
  <c r="AD24" i="85"/>
  <c r="Q24" i="85"/>
  <c r="AD23" i="85"/>
  <c r="Q23" i="85"/>
  <c r="AD22" i="85"/>
  <c r="Q22" i="85"/>
  <c r="AH22" i="85"/>
  <c r="AD21" i="85"/>
  <c r="Q21" i="85"/>
  <c r="AD20" i="85"/>
  <c r="Q20" i="85"/>
  <c r="AD19" i="85"/>
  <c r="Q19" i="85"/>
  <c r="AI19" i="85"/>
  <c r="AD18" i="85"/>
  <c r="Q18" i="85"/>
  <c r="AI18" i="85"/>
  <c r="AD17" i="85"/>
  <c r="Q17" i="85"/>
  <c r="AD16" i="85"/>
  <c r="Q16" i="85"/>
  <c r="AD15" i="85"/>
  <c r="Q15" i="85"/>
  <c r="AD14" i="85"/>
  <c r="Q14" i="85"/>
  <c r="AI14" i="85"/>
  <c r="AD13" i="85"/>
  <c r="Q13" i="85"/>
  <c r="AD12" i="85"/>
  <c r="Q12" i="85"/>
  <c r="AD11" i="85"/>
  <c r="Q11" i="85"/>
  <c r="AM11" i="85"/>
  <c r="AD10" i="85"/>
  <c r="Q10" i="85"/>
  <c r="AH10" i="85"/>
  <c r="AD9" i="85"/>
  <c r="Q9" i="85"/>
  <c r="AD8" i="85"/>
  <c r="Q8" i="85"/>
  <c r="AD7" i="85"/>
  <c r="AM46" i="85" l="1"/>
  <c r="X39" i="85"/>
  <c r="AI11" i="85"/>
  <c r="X10" i="85"/>
  <c r="X14" i="85"/>
  <c r="AN11" i="85"/>
  <c r="AM18" i="85"/>
  <c r="AH23" i="85"/>
  <c r="AM14" i="85"/>
  <c r="AM23" i="85"/>
  <c r="AM27" i="85"/>
  <c r="AI39" i="85"/>
  <c r="AH15" i="85"/>
  <c r="X18" i="85"/>
  <c r="AI10" i="85"/>
  <c r="AH11" i="85"/>
  <c r="AI15" i="85"/>
  <c r="X29" i="85"/>
  <c r="AM42" i="85"/>
  <c r="AM26" i="85"/>
  <c r="AN15" i="85"/>
  <c r="X37" i="85"/>
  <c r="AM41" i="85"/>
  <c r="AH7" i="85"/>
  <c r="X31" i="85"/>
  <c r="AM31" i="85"/>
  <c r="AI35" i="85"/>
  <c r="AH31" i="85"/>
  <c r="AH35" i="85"/>
  <c r="X40" i="85"/>
  <c r="AM15" i="85"/>
  <c r="AI23" i="85"/>
  <c r="AH30" i="85"/>
  <c r="AI31" i="85"/>
  <c r="AH34" i="85"/>
  <c r="AM35" i="85"/>
  <c r="AM39" i="85"/>
  <c r="AH26" i="85"/>
  <c r="AH27" i="85"/>
  <c r="AH41" i="85"/>
  <c r="AH42" i="85"/>
  <c r="AH14" i="85"/>
  <c r="AH18" i="85"/>
  <c r="AI47" i="85"/>
  <c r="AI32" i="85"/>
  <c r="AH32" i="85"/>
  <c r="AI12" i="85"/>
  <c r="AH12" i="85"/>
  <c r="AI8" i="85"/>
  <c r="AH8" i="85"/>
  <c r="AI16" i="85"/>
  <c r="AH16" i="85"/>
  <c r="AO16" i="85"/>
  <c r="X21" i="85"/>
  <c r="AH19" i="85"/>
  <c r="AI20" i="85"/>
  <c r="AH20" i="85"/>
  <c r="AI28" i="85"/>
  <c r="AH28" i="85"/>
  <c r="AI36" i="85"/>
  <c r="AH36" i="85"/>
  <c r="AI24" i="85"/>
  <c r="AH24" i="85"/>
  <c r="AM10" i="85"/>
  <c r="X25" i="85"/>
  <c r="X33" i="85"/>
  <c r="AH9" i="85"/>
  <c r="AH13" i="85"/>
  <c r="AH17" i="85"/>
  <c r="AH44" i="85"/>
  <c r="AI44" i="85"/>
  <c r="AI9" i="85"/>
  <c r="AI13" i="85"/>
  <c r="AI17" i="85"/>
  <c r="AP17" i="85" s="1"/>
  <c r="AQ17" i="85" s="1"/>
  <c r="AI21" i="85"/>
  <c r="AI22" i="85"/>
  <c r="AI25" i="85"/>
  <c r="AI26" i="85"/>
  <c r="AI29" i="85"/>
  <c r="AI30" i="85"/>
  <c r="AI33" i="85"/>
  <c r="AI34" i="85"/>
  <c r="AI37" i="85"/>
  <c r="AI38" i="85"/>
  <c r="AI40" i="85"/>
  <c r="AI41" i="85"/>
  <c r="AO41" i="85"/>
  <c r="AH21" i="85"/>
  <c r="Y21" i="85"/>
  <c r="AH25" i="85"/>
  <c r="Y25" i="85"/>
  <c r="AH29" i="85"/>
  <c r="AH33" i="85"/>
  <c r="Y33" i="85"/>
  <c r="AH37" i="85"/>
  <c r="AH40" i="85"/>
  <c r="AH43" i="85"/>
  <c r="AI43" i="85"/>
  <c r="AH45" i="85"/>
  <c r="AI45" i="85"/>
  <c r="AI46" i="85"/>
  <c r="AH47" i="85"/>
  <c r="W47" i="85"/>
  <c r="AN46" i="85" l="1"/>
  <c r="AC11" i="85"/>
  <c r="AE11" i="85" s="1"/>
  <c r="AU11" i="85" s="1"/>
  <c r="AC23" i="85"/>
  <c r="AE23" i="85" s="1"/>
  <c r="AU23" i="85" s="1"/>
  <c r="AO37" i="85"/>
  <c r="AP37" i="85" s="1"/>
  <c r="Y39" i="85"/>
  <c r="AO42" i="85"/>
  <c r="AP42" i="85" s="1"/>
  <c r="AR42" i="85" s="1"/>
  <c r="AC27" i="85"/>
  <c r="AE27" i="85" s="1"/>
  <c r="AN23" i="85"/>
  <c r="Y15" i="85"/>
  <c r="AO23" i="85"/>
  <c r="AP23" i="85" s="1"/>
  <c r="AQ23" i="85" s="1"/>
  <c r="Y11" i="85"/>
  <c r="AN10" i="85"/>
  <c r="AC7" i="85"/>
  <c r="AE7" i="85" s="1"/>
  <c r="AU7" i="85" s="1"/>
  <c r="AO25" i="85"/>
  <c r="AP25" i="85" s="1"/>
  <c r="AO11" i="85"/>
  <c r="AP11" i="85" s="1"/>
  <c r="AN39" i="85"/>
  <c r="Y37" i="85"/>
  <c r="AC14" i="85"/>
  <c r="AE14" i="85" s="1"/>
  <c r="AO12" i="85"/>
  <c r="AP12" i="85" s="1"/>
  <c r="AR12" i="85" s="1"/>
  <c r="AC18" i="85"/>
  <c r="AE18" i="85" s="1"/>
  <c r="AN31" i="85"/>
  <c r="Y14" i="85"/>
  <c r="Y10" i="85"/>
  <c r="AN7" i="85"/>
  <c r="AC40" i="85"/>
  <c r="AF40" i="85" s="1"/>
  <c r="AA40" i="85" s="1"/>
  <c r="AC17" i="85"/>
  <c r="AF17" i="85" s="1"/>
  <c r="Z17" i="85" s="1"/>
  <c r="AN18" i="85"/>
  <c r="AN14" i="85"/>
  <c r="AO27" i="85"/>
  <c r="AP27" i="85" s="1"/>
  <c r="AQ27" i="85" s="1"/>
  <c r="AO18" i="85"/>
  <c r="AP18" i="85" s="1"/>
  <c r="AQ18" i="85" s="1"/>
  <c r="AC35" i="85"/>
  <c r="AE35" i="85" s="1"/>
  <c r="AS35" i="85" s="1"/>
  <c r="AO7" i="85"/>
  <c r="AP7" i="85" s="1"/>
  <c r="AQ7" i="85" s="1"/>
  <c r="AC42" i="85"/>
  <c r="AF42" i="85" s="1"/>
  <c r="Z42" i="85" s="1"/>
  <c r="Y31" i="85"/>
  <c r="AO34" i="85"/>
  <c r="AP34" i="85" s="1"/>
  <c r="AO46" i="85"/>
  <c r="AP46" i="85" s="1"/>
  <c r="Y40" i="85"/>
  <c r="AN27" i="85"/>
  <c r="AO14" i="85"/>
  <c r="AP14" i="85" s="1"/>
  <c r="AQ14" i="85" s="1"/>
  <c r="Y18" i="85"/>
  <c r="AN41" i="85"/>
  <c r="AN26" i="85"/>
  <c r="AC31" i="85"/>
  <c r="AE31" i="85" s="1"/>
  <c r="AS31" i="85" s="1"/>
  <c r="AO29" i="85"/>
  <c r="AP29" i="85" s="1"/>
  <c r="AC15" i="85"/>
  <c r="AE15" i="85" s="1"/>
  <c r="AS15" i="85" s="1"/>
  <c r="AC10" i="85"/>
  <c r="AE10" i="85" s="1"/>
  <c r="AS10" i="85" s="1"/>
  <c r="AO31" i="85"/>
  <c r="AP31" i="85" s="1"/>
  <c r="AR31" i="85" s="1"/>
  <c r="AO40" i="85"/>
  <c r="AP40" i="85" s="1"/>
  <c r="AO33" i="85"/>
  <c r="AP33" i="85" s="1"/>
  <c r="Y29" i="85"/>
  <c r="AC25" i="85"/>
  <c r="AF25" i="85" s="1"/>
  <c r="AB25" i="85" s="1"/>
  <c r="AO21" i="85"/>
  <c r="AP21" i="85" s="1"/>
  <c r="AO38" i="85"/>
  <c r="AP38" i="85" s="1"/>
  <c r="AO26" i="85"/>
  <c r="AP26" i="85" s="1"/>
  <c r="AC13" i="85"/>
  <c r="AF13" i="85" s="1"/>
  <c r="AG13" i="85" s="1"/>
  <c r="AO10" i="85"/>
  <c r="AP10" i="85" s="1"/>
  <c r="AR10" i="85" s="1"/>
  <c r="X23" i="85"/>
  <c r="Y23" i="85"/>
  <c r="AM34" i="85"/>
  <c r="AN34" i="85"/>
  <c r="X35" i="85"/>
  <c r="Y35" i="85"/>
  <c r="AC45" i="85"/>
  <c r="X15" i="85"/>
  <c r="X42" i="85"/>
  <c r="Y42" i="85"/>
  <c r="AM22" i="85"/>
  <c r="AN22" i="85"/>
  <c r="AM38" i="85"/>
  <c r="AN38" i="85"/>
  <c r="AC21" i="85"/>
  <c r="AF21" i="85" s="1"/>
  <c r="AA21" i="85" s="1"/>
  <c r="AN42" i="85"/>
  <c r="AO35" i="85"/>
  <c r="AP35" i="85" s="1"/>
  <c r="AQ35" i="85" s="1"/>
  <c r="AR17" i="85"/>
  <c r="AO22" i="85"/>
  <c r="AP22" i="85" s="1"/>
  <c r="AO15" i="85"/>
  <c r="AP15" i="85" s="1"/>
  <c r="X11" i="85"/>
  <c r="AO24" i="85"/>
  <c r="AP24" i="85" s="1"/>
  <c r="AO28" i="85"/>
  <c r="AP28" i="85" s="1"/>
  <c r="AC39" i="85"/>
  <c r="X27" i="85"/>
  <c r="Y27" i="85"/>
  <c r="AO44" i="85"/>
  <c r="AP44" i="85" s="1"/>
  <c r="AC47" i="85"/>
  <c r="AO39" i="85"/>
  <c r="AP39" i="85" s="1"/>
  <c r="AQ39" i="85" s="1"/>
  <c r="AC37" i="85"/>
  <c r="AF37" i="85" s="1"/>
  <c r="AB37" i="85" s="1"/>
  <c r="AO17" i="85"/>
  <c r="AN35" i="85"/>
  <c r="AO30" i="85"/>
  <c r="AP30" i="85" s="1"/>
  <c r="AO36" i="85"/>
  <c r="AP36" i="85" s="1"/>
  <c r="AM30" i="85"/>
  <c r="AN30" i="85"/>
  <c r="AC46" i="85"/>
  <c r="AN45" i="85"/>
  <c r="AM45" i="85"/>
  <c r="Y41" i="85"/>
  <c r="X41" i="85"/>
  <c r="AC38" i="85"/>
  <c r="Y34" i="85"/>
  <c r="X34" i="85"/>
  <c r="AC30" i="85"/>
  <c r="Y26" i="85"/>
  <c r="X26" i="85"/>
  <c r="AC22" i="85"/>
  <c r="AN9" i="85"/>
  <c r="AM9" i="85"/>
  <c r="AC12" i="85"/>
  <c r="AN47" i="85"/>
  <c r="AM47" i="85"/>
  <c r="AN40" i="85"/>
  <c r="AM40" i="85"/>
  <c r="AC29" i="85"/>
  <c r="AN25" i="85"/>
  <c r="AM25" i="85"/>
  <c r="AO13" i="85"/>
  <c r="AP13" i="85" s="1"/>
  <c r="Y45" i="85"/>
  <c r="X45" i="85"/>
  <c r="X13" i="85"/>
  <c r="Y13" i="85"/>
  <c r="AC9" i="85"/>
  <c r="AM44" i="85"/>
  <c r="AN44" i="85"/>
  <c r="Y44" i="85"/>
  <c r="X44" i="85"/>
  <c r="AN20" i="85"/>
  <c r="AM20" i="85"/>
  <c r="Y20" i="85"/>
  <c r="X20" i="85"/>
  <c r="AC20" i="85"/>
  <c r="AO19" i="85"/>
  <c r="AP19" i="85" s="1"/>
  <c r="AC8" i="85"/>
  <c r="AM12" i="85"/>
  <c r="AN12" i="85"/>
  <c r="Y12" i="85"/>
  <c r="X12" i="85"/>
  <c r="AN32" i="85"/>
  <c r="AM32" i="85"/>
  <c r="Y32" i="85"/>
  <c r="X32" i="85"/>
  <c r="AC32" i="85"/>
  <c r="AC43" i="85"/>
  <c r="AN37" i="85"/>
  <c r="AM37" i="85"/>
  <c r="AO47" i="85"/>
  <c r="AP47" i="85" s="1"/>
  <c r="Y46" i="85"/>
  <c r="X46" i="85"/>
  <c r="AO43" i="85"/>
  <c r="AP43" i="85" s="1"/>
  <c r="AC33" i="85"/>
  <c r="AN29" i="85"/>
  <c r="AM29" i="85"/>
  <c r="AO9" i="85"/>
  <c r="AP9" i="85" s="1"/>
  <c r="AC41" i="85"/>
  <c r="Y38" i="85"/>
  <c r="X38" i="85"/>
  <c r="AC34" i="85"/>
  <c r="Y30" i="85"/>
  <c r="X30" i="85"/>
  <c r="AC26" i="85"/>
  <c r="Y22" i="85"/>
  <c r="X22" i="85"/>
  <c r="X17" i="85"/>
  <c r="Y17" i="85"/>
  <c r="AC44" i="85"/>
  <c r="AN17" i="85"/>
  <c r="AM17" i="85"/>
  <c r="AN24" i="85"/>
  <c r="AM24" i="85"/>
  <c r="Y24" i="85"/>
  <c r="X24" i="85"/>
  <c r="AC24" i="85"/>
  <c r="AN36" i="85"/>
  <c r="AM36" i="85"/>
  <c r="Y36" i="85"/>
  <c r="X36" i="85"/>
  <c r="AC36" i="85"/>
  <c r="AN28" i="85"/>
  <c r="AM28" i="85"/>
  <c r="Y28" i="85"/>
  <c r="X28" i="85"/>
  <c r="AC28" i="85"/>
  <c r="AC19" i="85"/>
  <c r="AN19" i="85"/>
  <c r="AM19" i="85"/>
  <c r="X19" i="85"/>
  <c r="Y19" i="85"/>
  <c r="AC16" i="85"/>
  <c r="AP16" i="85"/>
  <c r="AM8" i="85"/>
  <c r="AN8" i="85"/>
  <c r="Y8" i="85"/>
  <c r="X8" i="85"/>
  <c r="AO45" i="85"/>
  <c r="AP45" i="85" s="1"/>
  <c r="AN21" i="85"/>
  <c r="AM21" i="85"/>
  <c r="X9" i="85"/>
  <c r="Y9" i="85"/>
  <c r="Y47" i="85"/>
  <c r="X47" i="85"/>
  <c r="AM43" i="85"/>
  <c r="AN43" i="85"/>
  <c r="Y43" i="85"/>
  <c r="X43" i="85"/>
  <c r="AN33" i="85"/>
  <c r="AM33" i="85"/>
  <c r="AP41" i="85"/>
  <c r="AN13" i="85"/>
  <c r="AM13" i="85"/>
  <c r="AO20" i="85"/>
  <c r="AP20" i="85" s="1"/>
  <c r="AM16" i="85"/>
  <c r="AN16" i="85"/>
  <c r="Y16" i="85"/>
  <c r="X16" i="85"/>
  <c r="AO8" i="85"/>
  <c r="AP8" i="85" s="1"/>
  <c r="AO32" i="85"/>
  <c r="AP32" i="85" s="1"/>
  <c r="AQ47" i="85" l="1"/>
  <c r="AR47" i="85"/>
  <c r="AF47" i="85"/>
  <c r="AE47" i="85"/>
  <c r="AT11" i="85"/>
  <c r="AQ42" i="85"/>
  <c r="AS23" i="85"/>
  <c r="AF11" i="85"/>
  <c r="AG11" i="85" s="1"/>
  <c r="AR18" i="85"/>
  <c r="AT23" i="85"/>
  <c r="AW23" i="85"/>
  <c r="AF23" i="85"/>
  <c r="AA23" i="85" s="1"/>
  <c r="AS11" i="85"/>
  <c r="AW11" i="85"/>
  <c r="AA17" i="85"/>
  <c r="AV11" i="85"/>
  <c r="AR16" i="85"/>
  <c r="AQ16" i="85"/>
  <c r="AS7" i="85"/>
  <c r="AF7" i="85"/>
  <c r="AG7" i="85" s="1"/>
  <c r="AT7" i="85"/>
  <c r="AU27" i="85"/>
  <c r="AT27" i="85"/>
  <c r="AE42" i="85"/>
  <c r="AV42" i="85" s="1"/>
  <c r="AQ11" i="85"/>
  <c r="AF27" i="85"/>
  <c r="AG27" i="85" s="1"/>
  <c r="AQ10" i="85"/>
  <c r="AU10" i="85"/>
  <c r="AT35" i="85"/>
  <c r="AQ31" i="85"/>
  <c r="AR11" i="85"/>
  <c r="AR7" i="85"/>
  <c r="AB40" i="85"/>
  <c r="AW7" i="85"/>
  <c r="AU18" i="85"/>
  <c r="AS18" i="85"/>
  <c r="AW18" i="85"/>
  <c r="AV18" i="85"/>
  <c r="AV7" i="85"/>
  <c r="AR39" i="85"/>
  <c r="AB17" i="85"/>
  <c r="AG17" i="85"/>
  <c r="AF18" i="85"/>
  <c r="AE17" i="85"/>
  <c r="AW17" i="85" s="1"/>
  <c r="AT14" i="85"/>
  <c r="AU14" i="85"/>
  <c r="AW14" i="85"/>
  <c r="AV14" i="85"/>
  <c r="AS14" i="85"/>
  <c r="AT15" i="85"/>
  <c r="AG40" i="85"/>
  <c r="AV27" i="85"/>
  <c r="AR27" i="85"/>
  <c r="AR14" i="85"/>
  <c r="AW15" i="85"/>
  <c r="Z40" i="85"/>
  <c r="AT18" i="85"/>
  <c r="AE40" i="85"/>
  <c r="AU40" i="85" s="1"/>
  <c r="AS27" i="85"/>
  <c r="AV31" i="85"/>
  <c r="AF14" i="85"/>
  <c r="AA14" i="85" s="1"/>
  <c r="AU15" i="85"/>
  <c r="Z18" i="85"/>
  <c r="AF15" i="85"/>
  <c r="AG15" i="85" s="1"/>
  <c r="AW27" i="85"/>
  <c r="AV15" i="85"/>
  <c r="AW35" i="85"/>
  <c r="AT10" i="85"/>
  <c r="AR35" i="85"/>
  <c r="AV10" i="85"/>
  <c r="AV23" i="85"/>
  <c r="AE25" i="85"/>
  <c r="AT25" i="85" s="1"/>
  <c r="AA37" i="85"/>
  <c r="AR23" i="85"/>
  <c r="AF35" i="85"/>
  <c r="Z35" i="85" s="1"/>
  <c r="AV35" i="85"/>
  <c r="AW10" i="85"/>
  <c r="AU35" i="85"/>
  <c r="AF31" i="85"/>
  <c r="Z31" i="85" s="1"/>
  <c r="AF10" i="85"/>
  <c r="Z10" i="85" s="1"/>
  <c r="Z25" i="85"/>
  <c r="AW31" i="85"/>
  <c r="AE13" i="85"/>
  <c r="AA13" i="85"/>
  <c r="AG25" i="85"/>
  <c r="AA25" i="85"/>
  <c r="AT31" i="85"/>
  <c r="AB13" i="85"/>
  <c r="AU31" i="85"/>
  <c r="AQ12" i="85"/>
  <c r="Z13" i="85"/>
  <c r="AQ24" i="85"/>
  <c r="AR24" i="85"/>
  <c r="AQ36" i="85"/>
  <c r="AR36" i="85"/>
  <c r="AQ28" i="85"/>
  <c r="AR28" i="85"/>
  <c r="AB21" i="85"/>
  <c r="AG21" i="85"/>
  <c r="AA42" i="85"/>
  <c r="AB42" i="85"/>
  <c r="Z21" i="85"/>
  <c r="AG42" i="85"/>
  <c r="Z37" i="85"/>
  <c r="AG37" i="85"/>
  <c r="AE21" i="85"/>
  <c r="AV21" i="85" s="1"/>
  <c r="AE37" i="85"/>
  <c r="AV37" i="85" s="1"/>
  <c r="AE39" i="85"/>
  <c r="AF39" i="85"/>
  <c r="AQ15" i="85"/>
  <c r="AR15" i="85"/>
  <c r="AE45" i="85"/>
  <c r="AF45" i="85"/>
  <c r="AR45" i="85"/>
  <c r="AQ45" i="85"/>
  <c r="AR9" i="85"/>
  <c r="AQ9" i="85"/>
  <c r="AQ32" i="85"/>
  <c r="AR32" i="85"/>
  <c r="AQ8" i="85"/>
  <c r="AR8" i="85"/>
  <c r="AQ20" i="85"/>
  <c r="AR20" i="85"/>
  <c r="AQ29" i="85"/>
  <c r="AR29" i="85"/>
  <c r="AQ13" i="85"/>
  <c r="AR13" i="85"/>
  <c r="AR22" i="85"/>
  <c r="AQ22" i="85"/>
  <c r="AR38" i="85"/>
  <c r="AQ38" i="85"/>
  <c r="AR34" i="85"/>
  <c r="AQ34" i="85"/>
  <c r="AF19" i="85"/>
  <c r="AE19" i="85"/>
  <c r="AE36" i="85"/>
  <c r="AF36" i="85"/>
  <c r="AE26" i="85"/>
  <c r="AF26" i="85"/>
  <c r="AE43" i="85"/>
  <c r="AF43" i="85"/>
  <c r="AE32" i="85"/>
  <c r="AF32" i="85"/>
  <c r="AE20" i="85"/>
  <c r="AF20" i="85"/>
  <c r="AQ25" i="85"/>
  <c r="AR25" i="85"/>
  <c r="AR40" i="85"/>
  <c r="AQ40" i="85"/>
  <c r="AR46" i="85"/>
  <c r="AQ46" i="85"/>
  <c r="AQ21" i="85"/>
  <c r="AR21" i="85"/>
  <c r="AQ37" i="85"/>
  <c r="AR37" i="85"/>
  <c r="AR43" i="85"/>
  <c r="AQ43" i="85"/>
  <c r="AE24" i="85"/>
  <c r="AF24" i="85"/>
  <c r="AE44" i="85"/>
  <c r="AF44" i="85"/>
  <c r="AF34" i="85"/>
  <c r="AE34" i="85"/>
  <c r="AF33" i="85"/>
  <c r="AE33" i="85"/>
  <c r="AF8" i="85"/>
  <c r="AE8" i="85"/>
  <c r="AF9" i="85"/>
  <c r="AE9" i="85"/>
  <c r="AR30" i="85"/>
  <c r="AQ30" i="85"/>
  <c r="AF22" i="85"/>
  <c r="AE22" i="85"/>
  <c r="AF30" i="85"/>
  <c r="AE30" i="85"/>
  <c r="AF38" i="85"/>
  <c r="AE38" i="85"/>
  <c r="AE46" i="85"/>
  <c r="AF46" i="85"/>
  <c r="AR26" i="85"/>
  <c r="AQ26" i="85"/>
  <c r="AR41" i="85"/>
  <c r="AQ41" i="85"/>
  <c r="AF16" i="85"/>
  <c r="AE16" i="85"/>
  <c r="AE28" i="85"/>
  <c r="AF28" i="85"/>
  <c r="AF41" i="85"/>
  <c r="AE41" i="85"/>
  <c r="AQ19" i="85"/>
  <c r="AR19" i="85"/>
  <c r="AQ44" i="85"/>
  <c r="AR44" i="85"/>
  <c r="AQ33" i="85"/>
  <c r="AR33" i="85"/>
  <c r="AF29" i="85"/>
  <c r="AE29" i="85"/>
  <c r="AF12" i="85"/>
  <c r="AE12" i="85"/>
  <c r="AW47" i="85" l="1"/>
  <c r="AV47" i="85"/>
  <c r="AT47" i="85"/>
  <c r="AS47" i="85"/>
  <c r="AU47" i="85"/>
  <c r="AG47" i="85"/>
  <c r="AB47" i="85"/>
  <c r="AA47" i="85"/>
  <c r="Z47" i="85"/>
  <c r="Z11" i="85"/>
  <c r="AB11" i="85"/>
  <c r="AA11" i="85"/>
  <c r="AA27" i="85"/>
  <c r="AB23" i="85"/>
  <c r="AG23" i="85"/>
  <c r="AW40" i="85"/>
  <c r="Z23" i="85"/>
  <c r="AB27" i="85"/>
  <c r="AS40" i="85"/>
  <c r="AS42" i="85"/>
  <c r="AA7" i="85"/>
  <c r="AB7" i="85"/>
  <c r="Z7" i="85"/>
  <c r="AT42" i="85"/>
  <c r="AU16" i="85"/>
  <c r="AV16" i="85"/>
  <c r="AU42" i="85"/>
  <c r="AB15" i="85"/>
  <c r="AB35" i="85"/>
  <c r="AV17" i="85"/>
  <c r="Z15" i="85"/>
  <c r="AT17" i="85"/>
  <c r="Z27" i="85"/>
  <c r="AW42" i="85"/>
  <c r="AS17" i="85"/>
  <c r="AG35" i="85"/>
  <c r="AS37" i="85"/>
  <c r="AU37" i="85"/>
  <c r="AA31" i="85"/>
  <c r="AT37" i="85"/>
  <c r="AB10" i="85"/>
  <c r="AW25" i="85"/>
  <c r="AA15" i="85"/>
  <c r="AA35" i="85"/>
  <c r="AW37" i="85"/>
  <c r="AG10" i="85"/>
  <c r="AU17" i="85"/>
  <c r="AA10" i="85"/>
  <c r="AG14" i="85"/>
  <c r="AA18" i="85"/>
  <c r="AB18" i="85"/>
  <c r="AG18" i="85"/>
  <c r="AG31" i="85"/>
  <c r="AV40" i="85"/>
  <c r="Z14" i="85"/>
  <c r="AS25" i="85"/>
  <c r="AT40" i="85"/>
  <c r="AB14" i="85"/>
  <c r="AV25" i="85"/>
  <c r="AU25" i="85"/>
  <c r="AB31" i="85"/>
  <c r="AS21" i="85"/>
  <c r="AU21" i="85"/>
  <c r="AU13" i="85"/>
  <c r="AS13" i="85"/>
  <c r="AW13" i="85"/>
  <c r="AT13" i="85"/>
  <c r="AV13" i="85"/>
  <c r="AT21" i="85"/>
  <c r="AA39" i="85"/>
  <c r="Z39" i="85"/>
  <c r="AB39" i="85"/>
  <c r="AG39" i="85"/>
  <c r="AT45" i="85"/>
  <c r="AU45" i="85"/>
  <c r="AW45" i="85"/>
  <c r="AS45" i="85"/>
  <c r="AW21" i="85"/>
  <c r="AV45" i="85"/>
  <c r="AU39" i="85"/>
  <c r="AW39" i="85"/>
  <c r="AV39" i="85"/>
  <c r="AT39" i="85"/>
  <c r="AS39" i="85"/>
  <c r="AB45" i="85"/>
  <c r="AA45" i="85"/>
  <c r="Z45" i="85"/>
  <c r="AG45" i="85"/>
  <c r="AV22" i="85"/>
  <c r="AT22" i="85"/>
  <c r="AS22" i="85"/>
  <c r="AW22" i="85"/>
  <c r="AU22" i="85"/>
  <c r="AV34" i="85"/>
  <c r="AT34" i="85"/>
  <c r="AW34" i="85"/>
  <c r="AS34" i="85"/>
  <c r="AU34" i="85"/>
  <c r="AU32" i="85"/>
  <c r="AV32" i="85"/>
  <c r="AW32" i="85"/>
  <c r="AS32" i="85"/>
  <c r="AT32" i="85"/>
  <c r="AS43" i="85"/>
  <c r="AW43" i="85"/>
  <c r="AT43" i="85"/>
  <c r="AU43" i="85"/>
  <c r="AV43" i="85"/>
  <c r="AV36" i="85"/>
  <c r="AW36" i="85"/>
  <c r="AS36" i="85"/>
  <c r="AT36" i="85"/>
  <c r="AU36" i="85"/>
  <c r="Z28" i="85"/>
  <c r="AG28" i="85"/>
  <c r="AB28" i="85"/>
  <c r="AA28" i="85"/>
  <c r="AV38" i="85"/>
  <c r="AT38" i="85"/>
  <c r="AS38" i="85"/>
  <c r="AW38" i="85"/>
  <c r="AU38" i="85"/>
  <c r="AG24" i="85"/>
  <c r="AB24" i="85"/>
  <c r="Z24" i="85"/>
  <c r="AA24" i="85"/>
  <c r="AU29" i="85"/>
  <c r="AT29" i="85"/>
  <c r="AS29" i="85"/>
  <c r="AV29" i="85"/>
  <c r="AW29" i="85"/>
  <c r="AV28" i="85"/>
  <c r="AW28" i="85"/>
  <c r="AS28" i="85"/>
  <c r="AT28" i="85"/>
  <c r="AU28" i="85"/>
  <c r="AT46" i="85"/>
  <c r="AW46" i="85"/>
  <c r="AS46" i="85"/>
  <c r="AV46" i="85"/>
  <c r="AU46" i="85"/>
  <c r="AG38" i="85"/>
  <c r="AB38" i="85"/>
  <c r="AA38" i="85"/>
  <c r="Z38" i="85"/>
  <c r="AG22" i="85"/>
  <c r="AB22" i="85"/>
  <c r="AA22" i="85"/>
  <c r="Z22" i="85"/>
  <c r="AB8" i="85"/>
  <c r="AA8" i="85"/>
  <c r="AG8" i="85"/>
  <c r="Z8" i="85"/>
  <c r="AG34" i="85"/>
  <c r="AB34" i="85"/>
  <c r="AA34" i="85"/>
  <c r="Z34" i="85"/>
  <c r="AV24" i="85"/>
  <c r="AW24" i="85"/>
  <c r="AS24" i="85"/>
  <c r="AT24" i="85"/>
  <c r="AU24" i="85"/>
  <c r="Z20" i="85"/>
  <c r="AA20" i="85"/>
  <c r="AG20" i="85"/>
  <c r="AB20" i="85"/>
  <c r="AG26" i="85"/>
  <c r="AB26" i="85"/>
  <c r="AA26" i="85"/>
  <c r="Z26" i="85"/>
  <c r="AT19" i="85"/>
  <c r="AU19" i="85"/>
  <c r="AW19" i="85"/>
  <c r="AS19" i="85"/>
  <c r="AV19" i="85"/>
  <c r="AB46" i="85"/>
  <c r="AG46" i="85"/>
  <c r="AA46" i="85"/>
  <c r="Z46" i="85"/>
  <c r="AU8" i="85"/>
  <c r="AT8" i="85"/>
  <c r="AV8" i="85"/>
  <c r="AW8" i="85"/>
  <c r="AS8" i="85"/>
  <c r="AU12" i="85"/>
  <c r="AW12" i="85"/>
  <c r="AS12" i="85"/>
  <c r="AT12" i="85"/>
  <c r="AV12" i="85"/>
  <c r="AB29" i="85"/>
  <c r="AG29" i="85"/>
  <c r="Z29" i="85"/>
  <c r="AA29" i="85"/>
  <c r="AV41" i="85"/>
  <c r="AS41" i="85"/>
  <c r="AT41" i="85"/>
  <c r="AW41" i="85"/>
  <c r="AU41" i="85"/>
  <c r="AW16" i="85"/>
  <c r="AS16" i="85"/>
  <c r="AT16" i="85"/>
  <c r="AV30" i="85"/>
  <c r="AT30" i="85"/>
  <c r="AS30" i="85"/>
  <c r="AW30" i="85"/>
  <c r="AU30" i="85"/>
  <c r="AV9" i="85"/>
  <c r="AS9" i="85"/>
  <c r="AT9" i="85"/>
  <c r="AW9" i="85"/>
  <c r="AU9" i="85"/>
  <c r="AU33" i="85"/>
  <c r="AV33" i="85"/>
  <c r="AT33" i="85"/>
  <c r="AS33" i="85"/>
  <c r="AW33" i="85"/>
  <c r="AG44" i="85"/>
  <c r="AA44" i="85"/>
  <c r="Z44" i="85"/>
  <c r="AB44" i="85"/>
  <c r="AU20" i="85"/>
  <c r="AV20" i="85"/>
  <c r="AW20" i="85"/>
  <c r="AS20" i="85"/>
  <c r="AT20" i="85"/>
  <c r="AV26" i="85"/>
  <c r="AT26" i="85"/>
  <c r="AW26" i="85"/>
  <c r="AS26" i="85"/>
  <c r="AU26" i="85"/>
  <c r="Z19" i="85"/>
  <c r="AB19" i="85"/>
  <c r="AG19" i="85"/>
  <c r="AA19" i="85"/>
  <c r="Z12" i="85"/>
  <c r="AA12" i="85"/>
  <c r="AG12" i="85"/>
  <c r="AB12" i="85"/>
  <c r="AG41" i="85"/>
  <c r="AB41" i="85"/>
  <c r="AA41" i="85"/>
  <c r="Z41" i="85"/>
  <c r="AG16" i="85"/>
  <c r="AB16" i="85"/>
  <c r="Z16" i="85"/>
  <c r="AA16" i="85"/>
  <c r="AG30" i="85"/>
  <c r="AB30" i="85"/>
  <c r="AA30" i="85"/>
  <c r="Z30" i="85"/>
  <c r="AG9" i="85"/>
  <c r="AA9" i="85"/>
  <c r="Z9" i="85"/>
  <c r="AB9" i="85"/>
  <c r="AB33" i="85"/>
  <c r="AG33" i="85"/>
  <c r="Z33" i="85"/>
  <c r="AA33" i="85"/>
  <c r="AU44" i="85"/>
  <c r="AV44" i="85"/>
  <c r="AS44" i="85"/>
  <c r="AW44" i="85"/>
  <c r="AT44" i="85"/>
  <c r="AA32" i="85"/>
  <c r="AG32" i="85"/>
  <c r="AB32" i="85"/>
  <c r="Z32" i="85"/>
  <c r="Z43" i="85"/>
  <c r="AG43" i="85"/>
  <c r="AA43" i="85"/>
  <c r="AB43" i="85"/>
  <c r="Z36" i="85"/>
  <c r="AG36" i="85"/>
  <c r="AB36" i="85"/>
  <c r="AA36" i="85"/>
  <c r="C3" i="85" l="1"/>
  <c r="C4" i="85"/>
  <c r="K19" i="83"/>
  <c r="L19" i="83"/>
  <c r="Y19" i="83"/>
  <c r="Y18" i="83"/>
  <c r="L18" i="83"/>
  <c r="K18" i="83"/>
  <c r="Y17" i="83"/>
  <c r="L17" i="83"/>
  <c r="K17" i="83"/>
  <c r="Y16" i="83"/>
  <c r="L16" i="83"/>
  <c r="K16" i="83"/>
  <c r="Y15" i="83"/>
  <c r="L15" i="83"/>
  <c r="K15" i="83"/>
  <c r="Y14" i="83"/>
  <c r="L14" i="83"/>
  <c r="K14" i="83"/>
  <c r="Y13" i="83"/>
  <c r="L13" i="83"/>
  <c r="K13" i="83"/>
  <c r="Y12" i="83"/>
  <c r="L12" i="83"/>
  <c r="K12" i="83"/>
  <c r="Y11" i="83"/>
  <c r="L11" i="83"/>
  <c r="K11" i="83"/>
  <c r="Y10" i="83"/>
  <c r="L10" i="83"/>
  <c r="K10" i="83"/>
  <c r="Y9" i="83"/>
  <c r="L9" i="83"/>
  <c r="K9" i="83"/>
  <c r="Y8" i="83"/>
  <c r="L8" i="83"/>
  <c r="K8" i="83"/>
  <c r="Y7" i="83"/>
  <c r="L7" i="83"/>
  <c r="AE8" i="83" l="1"/>
  <c r="P16" i="83"/>
  <c r="O16" i="83" s="1"/>
  <c r="AE16" i="83"/>
  <c r="AC7" i="83"/>
  <c r="AE7" i="83"/>
  <c r="R7" i="83"/>
  <c r="S7" i="83" s="1"/>
  <c r="AD11" i="83"/>
  <c r="AE11" i="83"/>
  <c r="AL15" i="83"/>
  <c r="AE15" i="83"/>
  <c r="AC10" i="83"/>
  <c r="AE10" i="83"/>
  <c r="AD14" i="83"/>
  <c r="AE14" i="83"/>
  <c r="AQ18" i="83"/>
  <c r="AE18" i="83"/>
  <c r="AE12" i="83"/>
  <c r="AE9" i="83"/>
  <c r="AP13" i="83"/>
  <c r="AE13" i="83"/>
  <c r="AP17" i="83"/>
  <c r="AE17" i="83"/>
  <c r="O17" i="83"/>
  <c r="N19" i="83"/>
  <c r="AE19" i="83"/>
  <c r="O19" i="83"/>
  <c r="M19" i="83"/>
  <c r="AQ19" i="83"/>
  <c r="V19" i="83"/>
  <c r="C5" i="85"/>
  <c r="AF19" i="83"/>
  <c r="AC19" i="83"/>
  <c r="P19" i="83"/>
  <c r="AG19" i="83"/>
  <c r="AH19" i="83" s="1"/>
  <c r="AM19" i="83"/>
  <c r="AL19" i="83"/>
  <c r="AD19" i="83"/>
  <c r="R19" i="83"/>
  <c r="AP19" i="83"/>
  <c r="Q19" i="83"/>
  <c r="N11" i="83"/>
  <c r="M11" i="83" s="1"/>
  <c r="Q17" i="83"/>
  <c r="AG18" i="83"/>
  <c r="AH18" i="83" s="1"/>
  <c r="AF13" i="83"/>
  <c r="R14" i="83"/>
  <c r="S14" i="83" s="1"/>
  <c r="AG17" i="83"/>
  <c r="AH17" i="83" s="1"/>
  <c r="N18" i="83"/>
  <c r="M18" i="83" s="1"/>
  <c r="AL18" i="83"/>
  <c r="AP15" i="83"/>
  <c r="N7" i="83"/>
  <c r="M7" i="83" s="1"/>
  <c r="AD7" i="83"/>
  <c r="P13" i="83"/>
  <c r="O13" i="83" s="1"/>
  <c r="AG13" i="83"/>
  <c r="AH13" i="83" s="1"/>
  <c r="V15" i="83"/>
  <c r="V18" i="83"/>
  <c r="P7" i="83"/>
  <c r="AF7" i="83"/>
  <c r="Q13" i="83"/>
  <c r="AG14" i="83"/>
  <c r="AH14" i="83" s="1"/>
  <c r="AG10" i="83"/>
  <c r="AH10" i="83" s="1"/>
  <c r="AQ17" i="83"/>
  <c r="AG7" i="83"/>
  <c r="Q8" i="83"/>
  <c r="N10" i="83"/>
  <c r="M10" i="83" s="1"/>
  <c r="AQ13" i="83"/>
  <c r="N14" i="83"/>
  <c r="M14" i="83" s="1"/>
  <c r="AC14" i="83"/>
  <c r="AD15" i="83"/>
  <c r="AC17" i="83"/>
  <c r="Q18" i="83"/>
  <c r="AC18" i="83"/>
  <c r="AD8" i="83"/>
  <c r="Q10" i="83"/>
  <c r="AD10" i="83"/>
  <c r="R10" i="83"/>
  <c r="S10" i="83" s="1"/>
  <c r="Q7" i="83"/>
  <c r="P10" i="83"/>
  <c r="O10" i="83" s="1"/>
  <c r="AC13" i="83"/>
  <c r="Q14" i="83"/>
  <c r="N15" i="83"/>
  <c r="M15" i="83" s="1"/>
  <c r="P17" i="83"/>
  <c r="AF17" i="83"/>
  <c r="R18" i="83"/>
  <c r="S18" i="83" s="1"/>
  <c r="AD18" i="83"/>
  <c r="AD9" i="83"/>
  <c r="R9" i="83"/>
  <c r="N9" i="83"/>
  <c r="M9" i="83" s="1"/>
  <c r="N8" i="83"/>
  <c r="M8" i="83" s="1"/>
  <c r="R8" i="83"/>
  <c r="Q9" i="83"/>
  <c r="P12" i="83"/>
  <c r="O12" i="83" s="1"/>
  <c r="AG8" i="83"/>
  <c r="AC8" i="83"/>
  <c r="AF8" i="83"/>
  <c r="AC9" i="83"/>
  <c r="AD12" i="83"/>
  <c r="R12" i="83"/>
  <c r="N12" i="83"/>
  <c r="M12" i="83" s="1"/>
  <c r="AG12" i="83"/>
  <c r="AC12" i="83"/>
  <c r="Q12" i="83"/>
  <c r="AF12" i="83"/>
  <c r="AL16" i="83"/>
  <c r="AD16" i="83"/>
  <c r="V16" i="83"/>
  <c r="R16" i="83"/>
  <c r="N16" i="83"/>
  <c r="M16" i="83" s="1"/>
  <c r="AG16" i="83"/>
  <c r="AC16" i="83"/>
  <c r="Q16" i="83"/>
  <c r="AQ16" i="83"/>
  <c r="AF16" i="83"/>
  <c r="AM16" i="83"/>
  <c r="P9" i="83"/>
  <c r="O9" i="83" s="1"/>
  <c r="AG9" i="83"/>
  <c r="P8" i="83"/>
  <c r="O8" i="83" s="1"/>
  <c r="AF9" i="83"/>
  <c r="AG11" i="83"/>
  <c r="AC11" i="83"/>
  <c r="Q11" i="83"/>
  <c r="AF11" i="83"/>
  <c r="P11" i="83"/>
  <c r="O11" i="83" s="1"/>
  <c r="R11" i="83"/>
  <c r="AG15" i="83"/>
  <c r="AC15" i="83"/>
  <c r="Q15" i="83"/>
  <c r="AQ15" i="83"/>
  <c r="AF15" i="83"/>
  <c r="P15" i="83"/>
  <c r="O15" i="83" s="1"/>
  <c r="R15" i="83"/>
  <c r="AM15" i="83"/>
  <c r="AP16" i="83"/>
  <c r="N13" i="83"/>
  <c r="M13" i="83" s="1"/>
  <c r="R13" i="83"/>
  <c r="V13" i="83"/>
  <c r="AD13" i="83"/>
  <c r="AL13" i="83"/>
  <c r="N17" i="83"/>
  <c r="M17" i="83" s="1"/>
  <c r="R17" i="83"/>
  <c r="V17" i="83"/>
  <c r="AD17" i="83"/>
  <c r="AL17" i="83"/>
  <c r="AM18" i="83"/>
  <c r="AP18" i="83"/>
  <c r="AF10" i="83"/>
  <c r="AM13" i="83"/>
  <c r="P14" i="83"/>
  <c r="O14" i="83" s="1"/>
  <c r="AF14" i="83"/>
  <c r="AM17" i="83"/>
  <c r="P18" i="83"/>
  <c r="O18" i="83" s="1"/>
  <c r="AF18" i="83"/>
  <c r="AI14" i="83" l="1"/>
  <c r="J27" i="46"/>
  <c r="G27" i="87"/>
  <c r="O7" i="83"/>
  <c r="X7" i="83"/>
  <c r="T7" i="83"/>
  <c r="X19" i="83"/>
  <c r="AA19" i="83" s="1"/>
  <c r="AB19" i="83" s="1"/>
  <c r="AJ19" i="83"/>
  <c r="AK19" i="83" s="1"/>
  <c r="T19" i="83"/>
  <c r="S19" i="83"/>
  <c r="AI19" i="83"/>
  <c r="AJ10" i="83"/>
  <c r="AK10" i="83" s="1"/>
  <c r="AL10" i="83" s="1"/>
  <c r="AI10" i="83"/>
  <c r="AI13" i="83"/>
  <c r="T10" i="83"/>
  <c r="T18" i="83"/>
  <c r="T14" i="83"/>
  <c r="AJ17" i="83"/>
  <c r="AK17" i="83" s="1"/>
  <c r="AJ13" i="83"/>
  <c r="AI17" i="83"/>
  <c r="AJ9" i="83"/>
  <c r="AK9" i="83" s="1"/>
  <c r="X18" i="83"/>
  <c r="Z18" i="83" s="1"/>
  <c r="AO18" i="83" s="1"/>
  <c r="AJ14" i="83"/>
  <c r="AK14" i="83" s="1"/>
  <c r="AL14" i="83" s="1"/>
  <c r="X10" i="83"/>
  <c r="Z10" i="83" s="1"/>
  <c r="AJ12" i="83"/>
  <c r="AK12" i="83" s="1"/>
  <c r="AI18" i="83"/>
  <c r="AI7" i="83"/>
  <c r="AH7" i="83"/>
  <c r="X14" i="83"/>
  <c r="AJ7" i="83"/>
  <c r="AK7" i="83" s="1"/>
  <c r="AM7" i="83" s="1"/>
  <c r="X16" i="83"/>
  <c r="AA16" i="83" s="1"/>
  <c r="AK13" i="83"/>
  <c r="T15" i="83"/>
  <c r="S15" i="83"/>
  <c r="AJ11" i="83"/>
  <c r="AK11" i="83" s="1"/>
  <c r="AH8" i="83"/>
  <c r="AI8" i="83"/>
  <c r="T9" i="83"/>
  <c r="S9" i="83"/>
  <c r="AH15" i="83"/>
  <c r="AI15" i="83"/>
  <c r="X11" i="83"/>
  <c r="X8" i="83"/>
  <c r="AI9" i="83"/>
  <c r="AH9" i="83"/>
  <c r="AH16" i="83"/>
  <c r="AI16" i="83"/>
  <c r="T16" i="83"/>
  <c r="S16" i="83"/>
  <c r="AH12" i="83"/>
  <c r="AI12" i="83"/>
  <c r="T12" i="83"/>
  <c r="S12" i="83"/>
  <c r="X12" i="83"/>
  <c r="X17" i="83"/>
  <c r="X13" i="83"/>
  <c r="X15" i="83"/>
  <c r="T11" i="83"/>
  <c r="S11" i="83"/>
  <c r="AJ18" i="83"/>
  <c r="AK18" i="83" s="1"/>
  <c r="S17" i="83"/>
  <c r="T17" i="83"/>
  <c r="S13" i="83"/>
  <c r="T13" i="83"/>
  <c r="AJ15" i="83"/>
  <c r="AK15" i="83" s="1"/>
  <c r="AI11" i="83"/>
  <c r="AH11" i="83"/>
  <c r="X9" i="83"/>
  <c r="AJ16" i="83"/>
  <c r="AK16" i="83" s="1"/>
  <c r="AJ8" i="83"/>
  <c r="AK8" i="83" s="1"/>
  <c r="T8" i="83"/>
  <c r="S8" i="83"/>
  <c r="W19" i="83" l="1"/>
  <c r="U19" i="83"/>
  <c r="Z19" i="83"/>
  <c r="AO19" i="83" s="1"/>
  <c r="AM10" i="83"/>
  <c r="AA18" i="83"/>
  <c r="U18" i="83" s="1"/>
  <c r="AR18" i="83"/>
  <c r="AN18" i="83"/>
  <c r="AM9" i="83"/>
  <c r="AL9" i="83"/>
  <c r="AM14" i="83"/>
  <c r="AA10" i="83"/>
  <c r="U10" i="83" s="1"/>
  <c r="Z16" i="83"/>
  <c r="AO16" i="83" s="1"/>
  <c r="AL7" i="83"/>
  <c r="AN10" i="83"/>
  <c r="AP10" i="83"/>
  <c r="AQ10" i="83"/>
  <c r="AR10" i="83"/>
  <c r="AO10" i="83"/>
  <c r="Z14" i="83"/>
  <c r="AA14" i="83"/>
  <c r="Z7" i="83"/>
  <c r="AA7" i="83"/>
  <c r="AM12" i="83"/>
  <c r="AL12" i="83"/>
  <c r="W16" i="83"/>
  <c r="AB16" i="83"/>
  <c r="U16" i="83"/>
  <c r="Z9" i="83"/>
  <c r="AA9" i="83"/>
  <c r="AA15" i="83"/>
  <c r="Z15" i="83"/>
  <c r="AA12" i="83"/>
  <c r="Z12" i="83"/>
  <c r="Z13" i="83"/>
  <c r="AA13" i="83"/>
  <c r="AL8" i="83"/>
  <c r="AM8" i="83"/>
  <c r="Z17" i="83"/>
  <c r="AA17" i="83"/>
  <c r="Z8" i="83"/>
  <c r="AA8" i="83"/>
  <c r="Z11" i="83"/>
  <c r="AA11" i="83"/>
  <c r="AL11" i="83"/>
  <c r="AM11" i="83"/>
  <c r="AN19" i="83" l="1"/>
  <c r="C5" i="83"/>
  <c r="AR19" i="83"/>
  <c r="AB10" i="83"/>
  <c r="W18" i="83"/>
  <c r="AB18" i="83"/>
  <c r="AN16" i="83"/>
  <c r="AR16" i="83"/>
  <c r="V10" i="83"/>
  <c r="W10" i="83"/>
  <c r="AB14" i="83"/>
  <c r="V14" i="83"/>
  <c r="W14" i="83"/>
  <c r="U14" i="83"/>
  <c r="AN14" i="83"/>
  <c r="AP14" i="83"/>
  <c r="AO14" i="83"/>
  <c r="AQ14" i="83"/>
  <c r="AR14" i="83"/>
  <c r="U7" i="83"/>
  <c r="V7" i="83"/>
  <c r="AB7" i="83"/>
  <c r="W7" i="83"/>
  <c r="AP7" i="83"/>
  <c r="AR7" i="83"/>
  <c r="AO7" i="83"/>
  <c r="AN7" i="83"/>
  <c r="AQ7" i="83"/>
  <c r="W11" i="83"/>
  <c r="V11" i="83"/>
  <c r="AB11" i="83"/>
  <c r="U11" i="83"/>
  <c r="U17" i="83"/>
  <c r="AB17" i="83"/>
  <c r="W17" i="83"/>
  <c r="U13" i="83"/>
  <c r="AB13" i="83"/>
  <c r="W13" i="83"/>
  <c r="W15" i="83"/>
  <c r="AB15" i="83"/>
  <c r="U15" i="83"/>
  <c r="AP11" i="83"/>
  <c r="AQ11" i="83"/>
  <c r="AR11" i="83"/>
  <c r="AN11" i="83"/>
  <c r="AO11" i="83"/>
  <c r="AR17" i="83"/>
  <c r="AO17" i="83"/>
  <c r="AN17" i="83"/>
  <c r="AR13" i="83"/>
  <c r="AN13" i="83"/>
  <c r="AO13" i="83"/>
  <c r="AQ12" i="83"/>
  <c r="AO12" i="83"/>
  <c r="AP12" i="83"/>
  <c r="AR12" i="83"/>
  <c r="AN12" i="83"/>
  <c r="W9" i="83"/>
  <c r="U9" i="83"/>
  <c r="V9" i="83"/>
  <c r="AB9" i="83"/>
  <c r="U8" i="83"/>
  <c r="W8" i="83"/>
  <c r="AB8" i="83"/>
  <c r="V8" i="83"/>
  <c r="W12" i="83"/>
  <c r="AB12" i="83"/>
  <c r="V12" i="83"/>
  <c r="U12" i="83"/>
  <c r="AQ9" i="83"/>
  <c r="AP9" i="83"/>
  <c r="AO9" i="83"/>
  <c r="AR9" i="83"/>
  <c r="AN9" i="83"/>
  <c r="AN8" i="83"/>
  <c r="AR8" i="83"/>
  <c r="AQ8" i="83"/>
  <c r="AO8" i="83"/>
  <c r="AP8" i="83"/>
  <c r="AO15" i="83"/>
  <c r="C4" i="83" s="1"/>
  <c r="AR15" i="83"/>
  <c r="AN15" i="83"/>
  <c r="N26" i="46" l="1"/>
  <c r="Z26" i="46"/>
  <c r="G26" i="87"/>
  <c r="N25" i="46"/>
  <c r="Z25" i="46"/>
  <c r="G25" i="87"/>
  <c r="C3" i="83"/>
  <c r="J24" i="46" l="1"/>
  <c r="Z24" i="46"/>
  <c r="G24" i="87"/>
  <c r="AH52" i="84"/>
  <c r="AH49" i="84"/>
  <c r="AI45" i="84"/>
  <c r="AI42" i="84"/>
  <c r="AM40" i="84"/>
  <c r="AI38" i="84"/>
  <c r="AH37" i="84"/>
  <c r="AI34" i="84"/>
  <c r="AI24" i="84"/>
  <c r="AI21" i="84"/>
  <c r="AP21" i="84" s="1"/>
  <c r="AH19" i="84"/>
  <c r="AH18" i="84"/>
  <c r="AI17" i="84"/>
  <c r="AU14" i="84"/>
  <c r="AH13" i="84"/>
  <c r="AI12" i="84"/>
  <c r="AH10" i="84"/>
  <c r="X15" i="84" l="1"/>
  <c r="AI15" i="84"/>
  <c r="AM15" i="84"/>
  <c r="AH15" i="84"/>
  <c r="X21" i="84"/>
  <c r="X25" i="84"/>
  <c r="X34" i="84"/>
  <c r="AI28" i="84"/>
  <c r="AI48" i="84"/>
  <c r="X10" i="84"/>
  <c r="AI14" i="84"/>
  <c r="AH33" i="84"/>
  <c r="AI10" i="84"/>
  <c r="X28" i="84"/>
  <c r="AH34" i="84"/>
  <c r="AM47" i="84"/>
  <c r="AN48" i="84"/>
  <c r="AM49" i="84"/>
  <c r="AM21" i="84"/>
  <c r="AM28" i="84"/>
  <c r="AM39" i="84"/>
  <c r="AI40" i="84"/>
  <c r="X48" i="84"/>
  <c r="X19" i="84"/>
  <c r="AM19" i="84"/>
  <c r="X49" i="84"/>
  <c r="X14" i="84"/>
  <c r="AM14" i="84"/>
  <c r="AI19" i="84"/>
  <c r="AM25" i="84"/>
  <c r="AH41" i="84"/>
  <c r="AI49" i="84"/>
  <c r="AI37" i="84"/>
  <c r="AV14" i="84"/>
  <c r="AI26" i="84"/>
  <c r="X24" i="84"/>
  <c r="AM44" i="84"/>
  <c r="AI44" i="84"/>
  <c r="X12" i="84"/>
  <c r="AH14" i="84"/>
  <c r="AQ14" i="84"/>
  <c r="X17" i="84"/>
  <c r="X22" i="84"/>
  <c r="AM36" i="84"/>
  <c r="X44" i="84"/>
  <c r="X30" i="84"/>
  <c r="AI33" i="84"/>
  <c r="AM33" i="84"/>
  <c r="X33" i="84"/>
  <c r="AH40" i="84"/>
  <c r="AN40" i="84"/>
  <c r="X40" i="84"/>
  <c r="AH44" i="84"/>
  <c r="AH24" i="84"/>
  <c r="AM24" i="84"/>
  <c r="X26" i="84"/>
  <c r="AI30" i="84"/>
  <c r="AM32" i="84"/>
  <c r="AH28" i="84"/>
  <c r="AI35" i="84"/>
  <c r="X37" i="84"/>
  <c r="AM37" i="84"/>
  <c r="AI41" i="84"/>
  <c r="X45" i="84"/>
  <c r="AH47" i="84"/>
  <c r="AM52" i="84"/>
  <c r="AH48" i="84"/>
  <c r="AI27" i="84"/>
  <c r="AH27" i="84"/>
  <c r="AI11" i="84"/>
  <c r="AH11" i="84"/>
  <c r="AI20" i="84"/>
  <c r="AH20" i="84"/>
  <c r="AM48" i="84"/>
  <c r="AI16" i="84"/>
  <c r="AH16" i="84"/>
  <c r="AH23" i="84"/>
  <c r="AI25" i="84"/>
  <c r="AH25" i="84"/>
  <c r="AH35" i="84"/>
  <c r="AH42" i="84"/>
  <c r="R9" i="84"/>
  <c r="AQ13" i="84"/>
  <c r="AI13" i="84"/>
  <c r="AU13" i="84"/>
  <c r="AI18" i="84"/>
  <c r="AI23" i="84"/>
  <c r="AI43" i="84"/>
  <c r="AH43" i="84"/>
  <c r="AH12" i="84"/>
  <c r="AR13" i="84"/>
  <c r="AV13" i="84"/>
  <c r="AH17" i="84"/>
  <c r="AR21" i="84"/>
  <c r="AH21" i="84"/>
  <c r="AQ21" i="84"/>
  <c r="AI22" i="84"/>
  <c r="AH22" i="84"/>
  <c r="AI29" i="84"/>
  <c r="AH29" i="84"/>
  <c r="AI32" i="84"/>
  <c r="AH32" i="84"/>
  <c r="X46" i="84"/>
  <c r="AH31" i="84"/>
  <c r="AH38" i="84"/>
  <c r="AH46" i="84"/>
  <c r="Y46" i="84"/>
  <c r="AI46" i="84"/>
  <c r="AR14" i="84"/>
  <c r="AH26" i="84"/>
  <c r="AH30" i="84"/>
  <c r="AI31" i="84"/>
  <c r="AI36" i="84"/>
  <c r="AH36" i="84"/>
  <c r="AI39" i="84"/>
  <c r="AH39" i="84"/>
  <c r="AH45" i="84"/>
  <c r="AH50" i="84"/>
  <c r="AI50" i="84"/>
  <c r="AI47" i="84"/>
  <c r="AI51" i="84"/>
  <c r="AH51" i="84"/>
  <c r="AI52" i="84"/>
  <c r="L20" i="82"/>
  <c r="J19" i="82"/>
  <c r="H19" i="82"/>
  <c r="G19" i="82"/>
  <c r="F19" i="82"/>
  <c r="E19" i="82"/>
  <c r="C19" i="82"/>
  <c r="A18" i="82"/>
  <c r="J17" i="82"/>
  <c r="H17" i="82"/>
  <c r="G17" i="82"/>
  <c r="F17" i="82"/>
  <c r="E17" i="82"/>
  <c r="C17" i="82"/>
  <c r="A16" i="82"/>
  <c r="J15" i="82"/>
  <c r="H15" i="82"/>
  <c r="G15" i="82"/>
  <c r="F15" i="82"/>
  <c r="E15" i="82"/>
  <c r="C15" i="82"/>
  <c r="J14" i="82"/>
  <c r="H14" i="82"/>
  <c r="G14" i="82"/>
  <c r="F14" i="82"/>
  <c r="E14" i="82"/>
  <c r="C14" i="82"/>
  <c r="A13" i="82"/>
  <c r="J12" i="82"/>
  <c r="H12" i="82"/>
  <c r="G12" i="82"/>
  <c r="F12" i="82"/>
  <c r="E12" i="82"/>
  <c r="C12" i="82"/>
  <c r="J11" i="82"/>
  <c r="H11" i="82"/>
  <c r="G11" i="82"/>
  <c r="F11" i="82"/>
  <c r="E11" i="82"/>
  <c r="C11" i="82"/>
  <c r="A10" i="82"/>
  <c r="J9" i="82"/>
  <c r="H9" i="82"/>
  <c r="G9" i="82"/>
  <c r="F9" i="82"/>
  <c r="E9" i="82"/>
  <c r="C9" i="82"/>
  <c r="J8" i="82"/>
  <c r="H8" i="82"/>
  <c r="G8" i="82"/>
  <c r="F8" i="82"/>
  <c r="C8" i="82"/>
  <c r="A7" i="82"/>
  <c r="A6" i="82"/>
  <c r="J5" i="82"/>
  <c r="H5" i="82"/>
  <c r="G5" i="82"/>
  <c r="F5" i="82"/>
  <c r="E5" i="82"/>
  <c r="C5" i="82"/>
  <c r="J4" i="82"/>
  <c r="H4" i="82"/>
  <c r="G4" i="82"/>
  <c r="F4" i="82"/>
  <c r="C4" i="82"/>
  <c r="A3" i="82"/>
  <c r="H21" i="81"/>
  <c r="D20" i="81"/>
  <c r="B20" i="81"/>
  <c r="A19" i="81"/>
  <c r="D18" i="81"/>
  <c r="B18" i="81"/>
  <c r="A17" i="81"/>
  <c r="D16" i="81"/>
  <c r="B16" i="81"/>
  <c r="D15" i="81"/>
  <c r="B15" i="81"/>
  <c r="A14" i="81"/>
  <c r="D13" i="81"/>
  <c r="B13" i="81"/>
  <c r="D12" i="81"/>
  <c r="B12" i="81"/>
  <c r="D11" i="81"/>
  <c r="B11" i="81"/>
  <c r="A10" i="81"/>
  <c r="D9" i="81"/>
  <c r="B9" i="81"/>
  <c r="B8" i="81"/>
  <c r="A7" i="81"/>
  <c r="A6" i="81"/>
  <c r="D5" i="81"/>
  <c r="B5" i="81"/>
  <c r="E4" i="81"/>
  <c r="B4" i="81"/>
  <c r="A3" i="81"/>
  <c r="E5" i="79"/>
  <c r="E19" i="87" s="1"/>
  <c r="I9" i="82" l="1"/>
  <c r="I4" i="82"/>
  <c r="Y34" i="84"/>
  <c r="I5" i="82"/>
  <c r="I12" i="82"/>
  <c r="I15" i="82"/>
  <c r="E5" i="81"/>
  <c r="E8" i="81"/>
  <c r="K4" i="79"/>
  <c r="K5" i="79" s="1"/>
  <c r="E11" i="81"/>
  <c r="E12" i="81" s="1"/>
  <c r="E13" i="81" s="1"/>
  <c r="E15" i="81" s="1"/>
  <c r="E16" i="81" s="1"/>
  <c r="E18" i="81" s="1"/>
  <c r="E20" i="81" s="1"/>
  <c r="I17" i="82"/>
  <c r="I19" i="82"/>
  <c r="I8" i="82"/>
  <c r="I11" i="82"/>
  <c r="I14" i="82"/>
  <c r="AC15" i="84"/>
  <c r="AF15" i="84" s="1"/>
  <c r="AG15" i="84" s="1"/>
  <c r="AO15" i="84"/>
  <c r="AP15" i="84" s="1"/>
  <c r="AN15" i="84"/>
  <c r="Y15" i="84"/>
  <c r="AC41" i="84"/>
  <c r="AF41" i="84" s="1"/>
  <c r="AG41" i="84" s="1"/>
  <c r="Y17" i="84"/>
  <c r="AO12" i="84"/>
  <c r="AP12" i="84" s="1"/>
  <c r="AR12" i="84" s="1"/>
  <c r="AC14" i="84"/>
  <c r="AE14" i="84" s="1"/>
  <c r="AT14" i="84" s="1"/>
  <c r="C3" i="84" s="1"/>
  <c r="AN36" i="84"/>
  <c r="AN39" i="84"/>
  <c r="AN19" i="84"/>
  <c r="AN41" i="84"/>
  <c r="Y45" i="84"/>
  <c r="Y37" i="84"/>
  <c r="Y12" i="84"/>
  <c r="Y26" i="84"/>
  <c r="AN33" i="84"/>
  <c r="AO37" i="84"/>
  <c r="AP37" i="84" s="1"/>
  <c r="Y49" i="84"/>
  <c r="AC48" i="84"/>
  <c r="AE48" i="84" s="1"/>
  <c r="AO33" i="84"/>
  <c r="AP33" i="84" s="1"/>
  <c r="AQ33" i="84" s="1"/>
  <c r="AO49" i="84"/>
  <c r="AP49" i="84" s="1"/>
  <c r="AQ49" i="84" s="1"/>
  <c r="AO17" i="84"/>
  <c r="AP17" i="84" s="1"/>
  <c r="AR17" i="84" s="1"/>
  <c r="AO28" i="84"/>
  <c r="AP28" i="84" s="1"/>
  <c r="AQ28" i="84" s="1"/>
  <c r="Y21" i="84"/>
  <c r="Y44" i="84"/>
  <c r="AO48" i="84"/>
  <c r="AP48" i="84" s="1"/>
  <c r="AQ48" i="84" s="1"/>
  <c r="AN47" i="84"/>
  <c r="AC42" i="84"/>
  <c r="AE42" i="84" s="1"/>
  <c r="AW42" i="84" s="1"/>
  <c r="Y25" i="84"/>
  <c r="Y24" i="84"/>
  <c r="AO43" i="84"/>
  <c r="AP43" i="84" s="1"/>
  <c r="AC46" i="84"/>
  <c r="AF46" i="84" s="1"/>
  <c r="AM41" i="84"/>
  <c r="AC10" i="84"/>
  <c r="AE10" i="84" s="1"/>
  <c r="AN10" i="84"/>
  <c r="AN34" i="84"/>
  <c r="AC49" i="84"/>
  <c r="AE49" i="84" s="1"/>
  <c r="AN52" i="84"/>
  <c r="Y19" i="84"/>
  <c r="AO52" i="84"/>
  <c r="AP52" i="84" s="1"/>
  <c r="AC45" i="84"/>
  <c r="AF45" i="84" s="1"/>
  <c r="AG45" i="84" s="1"/>
  <c r="AC34" i="84"/>
  <c r="AF34" i="84" s="1"/>
  <c r="Z34" i="84" s="1"/>
  <c r="AO24" i="84"/>
  <c r="AP24" i="84" s="1"/>
  <c r="AQ24" i="84" s="1"/>
  <c r="Y40" i="84"/>
  <c r="AO14" i="84"/>
  <c r="AP14" i="84" s="1"/>
  <c r="Y28" i="84"/>
  <c r="AN32" i="84"/>
  <c r="Y10" i="84"/>
  <c r="AN49" i="84"/>
  <c r="AO44" i="84"/>
  <c r="AP44" i="84" s="1"/>
  <c r="AR44" i="84" s="1"/>
  <c r="AO39" i="84"/>
  <c r="AP39" i="84" s="1"/>
  <c r="Y48" i="84"/>
  <c r="AN25" i="84"/>
  <c r="AN44" i="84"/>
  <c r="AC39" i="84"/>
  <c r="AF39" i="84" s="1"/>
  <c r="AG39" i="84" s="1"/>
  <c r="AO21" i="84"/>
  <c r="AM34" i="84"/>
  <c r="AC27" i="84"/>
  <c r="AE27" i="84" s="1"/>
  <c r="AT27" i="84" s="1"/>
  <c r="AO40" i="84"/>
  <c r="AP40" i="84" s="1"/>
  <c r="AQ40" i="84" s="1"/>
  <c r="AO34" i="84"/>
  <c r="AP34" i="84" s="1"/>
  <c r="AR34" i="84" s="1"/>
  <c r="AC36" i="84"/>
  <c r="AE36" i="84" s="1"/>
  <c r="Y30" i="84"/>
  <c r="AO26" i="84"/>
  <c r="AP26" i="84" s="1"/>
  <c r="AR26" i="84" s="1"/>
  <c r="AO10" i="84"/>
  <c r="AP10" i="84" s="1"/>
  <c r="AQ10" i="84" s="1"/>
  <c r="AM10" i="84"/>
  <c r="AC13" i="84"/>
  <c r="AE13" i="84" s="1"/>
  <c r="AW13" i="84" s="1"/>
  <c r="AO25" i="84"/>
  <c r="AP25" i="84" s="1"/>
  <c r="AO19" i="84"/>
  <c r="AP19" i="84" s="1"/>
  <c r="AR19" i="84" s="1"/>
  <c r="AO30" i="84"/>
  <c r="AP30" i="84" s="1"/>
  <c r="AQ30" i="84" s="1"/>
  <c r="AO38" i="84"/>
  <c r="AP38" i="84" s="1"/>
  <c r="AQ38" i="84" s="1"/>
  <c r="AO29" i="84"/>
  <c r="AP29" i="84" s="1"/>
  <c r="Y22" i="84"/>
  <c r="AN21" i="84"/>
  <c r="AC35" i="84"/>
  <c r="AF35" i="84" s="1"/>
  <c r="AO18" i="84"/>
  <c r="AP18" i="84" s="1"/>
  <c r="AC24" i="84"/>
  <c r="AO36" i="84"/>
  <c r="AP36" i="84" s="1"/>
  <c r="AC29" i="84"/>
  <c r="AE29" i="84" s="1"/>
  <c r="AU29" i="84" s="1"/>
  <c r="AC23" i="84"/>
  <c r="AF23" i="84" s="1"/>
  <c r="AG23" i="84" s="1"/>
  <c r="AN14" i="84"/>
  <c r="AO35" i="84"/>
  <c r="AP35" i="84" s="1"/>
  <c r="AR35" i="84" s="1"/>
  <c r="AC19" i="84"/>
  <c r="Y14" i="84"/>
  <c r="AC33" i="84"/>
  <c r="AC40" i="84"/>
  <c r="Y33" i="84"/>
  <c r="AN28" i="84"/>
  <c r="AC32" i="84"/>
  <c r="AF32" i="84" s="1"/>
  <c r="AA32" i="84" s="1"/>
  <c r="AC43" i="84"/>
  <c r="AE43" i="84" s="1"/>
  <c r="AS43" i="84" s="1"/>
  <c r="AP9" i="84"/>
  <c r="AN37" i="84"/>
  <c r="AC44" i="84"/>
  <c r="AC37" i="84"/>
  <c r="AF37" i="84" s="1"/>
  <c r="Z37" i="84" s="1"/>
  <c r="AO32" i="84"/>
  <c r="AP32" i="84" s="1"/>
  <c r="AN24" i="84"/>
  <c r="Y41" i="84"/>
  <c r="X41" i="84"/>
  <c r="AC28" i="84"/>
  <c r="Y50" i="84"/>
  <c r="X50" i="84"/>
  <c r="AN31" i="84"/>
  <c r="AM31" i="84"/>
  <c r="AC21" i="84"/>
  <c r="AM23" i="84"/>
  <c r="AN23" i="84"/>
  <c r="Y35" i="84"/>
  <c r="X35" i="84"/>
  <c r="AN29" i="84"/>
  <c r="AM29" i="84"/>
  <c r="X52" i="84"/>
  <c r="Y52" i="84"/>
  <c r="AC51" i="84"/>
  <c r="AC47" i="84"/>
  <c r="AO50" i="84"/>
  <c r="AP50" i="84" s="1"/>
  <c r="AN50" i="84"/>
  <c r="AM50" i="84"/>
  <c r="AC52" i="84"/>
  <c r="AN30" i="84"/>
  <c r="AM30" i="84"/>
  <c r="AN26" i="84"/>
  <c r="AM26" i="84"/>
  <c r="AO46" i="84"/>
  <c r="AP46" i="84" s="1"/>
  <c r="AN38" i="84"/>
  <c r="AM38" i="84"/>
  <c r="X32" i="84"/>
  <c r="Y32" i="84"/>
  <c r="AO22" i="84"/>
  <c r="AP22" i="84" s="1"/>
  <c r="AM18" i="84"/>
  <c r="AN18" i="84"/>
  <c r="AN17" i="84"/>
  <c r="AM17" i="84"/>
  <c r="Y18" i="84"/>
  <c r="X18" i="84"/>
  <c r="AO13" i="84"/>
  <c r="AP13" i="84" s="1"/>
  <c r="AN42" i="84"/>
  <c r="AM42" i="84"/>
  <c r="AO16" i="84"/>
  <c r="AP16" i="84" s="1"/>
  <c r="AO20" i="84"/>
  <c r="AP20" i="84" s="1"/>
  <c r="AN11" i="84"/>
  <c r="AM11" i="84"/>
  <c r="Y11" i="84"/>
  <c r="X11" i="84"/>
  <c r="AC11" i="84"/>
  <c r="AO27" i="84"/>
  <c r="AP27" i="84" s="1"/>
  <c r="AM27" i="84"/>
  <c r="AN27" i="84"/>
  <c r="Y27" i="84"/>
  <c r="X27" i="84"/>
  <c r="AC38" i="84"/>
  <c r="AC17" i="84"/>
  <c r="X43" i="84"/>
  <c r="Y43" i="84"/>
  <c r="X23" i="84"/>
  <c r="Y23" i="84"/>
  <c r="AO51" i="84"/>
  <c r="AP51" i="84" s="1"/>
  <c r="AO47" i="84"/>
  <c r="AP47" i="84" s="1"/>
  <c r="AO45" i="84"/>
  <c r="AP45" i="84" s="1"/>
  <c r="Y29" i="84"/>
  <c r="X29" i="84"/>
  <c r="AC12" i="84"/>
  <c r="Y13" i="84"/>
  <c r="X13" i="84"/>
  <c r="AO42" i="84"/>
  <c r="AP42" i="84" s="1"/>
  <c r="AC25" i="84"/>
  <c r="AN22" i="84"/>
  <c r="AM22" i="84"/>
  <c r="X39" i="84"/>
  <c r="Y39" i="84"/>
  <c r="X36" i="84"/>
  <c r="Y36" i="84"/>
  <c r="AC30" i="84"/>
  <c r="AC26" i="84"/>
  <c r="X31" i="84"/>
  <c r="Y31" i="84"/>
  <c r="AM45" i="84"/>
  <c r="AN45" i="84"/>
  <c r="AN46" i="84"/>
  <c r="AM46" i="84"/>
  <c r="AC31" i="84"/>
  <c r="AM51" i="84"/>
  <c r="AN51" i="84"/>
  <c r="Y51" i="84"/>
  <c r="X51" i="84"/>
  <c r="Y47" i="84"/>
  <c r="X47" i="84"/>
  <c r="AC50" i="84"/>
  <c r="AO41" i="84"/>
  <c r="AP41" i="84" s="1"/>
  <c r="X38" i="84"/>
  <c r="Y38" i="84"/>
  <c r="AO31" i="84"/>
  <c r="AP31" i="84" s="1"/>
  <c r="AO23" i="84"/>
  <c r="AP23" i="84" s="1"/>
  <c r="AC22" i="84"/>
  <c r="AM13" i="84"/>
  <c r="AN13" i="84"/>
  <c r="AN12" i="84"/>
  <c r="AM12" i="84"/>
  <c r="AM43" i="84"/>
  <c r="AN43" i="84"/>
  <c r="AC18" i="84"/>
  <c r="X9" i="84"/>
  <c r="X42" i="84"/>
  <c r="Y42" i="84"/>
  <c r="AN35" i="84"/>
  <c r="AM35" i="84"/>
  <c r="AN16" i="84"/>
  <c r="AM16" i="84"/>
  <c r="Y16" i="84"/>
  <c r="X16" i="84"/>
  <c r="AC16" i="84"/>
  <c r="AN20" i="84"/>
  <c r="AM20" i="84"/>
  <c r="Y20" i="84"/>
  <c r="X20" i="84"/>
  <c r="AC20" i="84"/>
  <c r="AO11" i="84"/>
  <c r="AP11" i="84" s="1"/>
  <c r="B42" i="77"/>
  <c r="B43" i="77"/>
  <c r="B44" i="77"/>
  <c r="B45" i="77"/>
  <c r="B46" i="77"/>
  <c r="B47" i="77"/>
  <c r="B48" i="77"/>
  <c r="B49" i="77"/>
  <c r="B50" i="77"/>
  <c r="B41" i="77"/>
  <c r="B36" i="77"/>
  <c r="B37" i="77"/>
  <c r="B38" i="77"/>
  <c r="B39" i="77"/>
  <c r="B35" i="77"/>
  <c r="A189" i="46"/>
  <c r="A179" i="46"/>
  <c r="B34" i="77" s="1"/>
  <c r="A154" i="46"/>
  <c r="B13" i="77" s="1"/>
  <c r="A140" i="46"/>
  <c r="B3" i="77" s="1"/>
  <c r="B29" i="77"/>
  <c r="B23" i="77"/>
  <c r="B24" i="77"/>
  <c r="B25" i="77"/>
  <c r="B26" i="77"/>
  <c r="B27" i="77"/>
  <c r="B28" i="77"/>
  <c r="B30" i="77"/>
  <c r="B31" i="77"/>
  <c r="B32" i="77"/>
  <c r="B33" i="77"/>
  <c r="B22" i="77"/>
  <c r="B21" i="77"/>
  <c r="B20" i="77"/>
  <c r="B19" i="77"/>
  <c r="B18" i="77"/>
  <c r="B16" i="77"/>
  <c r="B17" i="77"/>
  <c r="B15" i="77"/>
  <c r="B14" i="77"/>
  <c r="B5" i="77"/>
  <c r="B6" i="77"/>
  <c r="B7" i="77"/>
  <c r="B8" i="77"/>
  <c r="B9" i="77"/>
  <c r="B10" i="77"/>
  <c r="B11" i="77"/>
  <c r="B12" i="77"/>
  <c r="B4" i="77"/>
  <c r="B40" i="77"/>
  <c r="B42" i="24"/>
  <c r="B43" i="24"/>
  <c r="B44" i="24"/>
  <c r="B45" i="24"/>
  <c r="B46" i="24"/>
  <c r="B47" i="24"/>
  <c r="B48" i="24"/>
  <c r="B49" i="24"/>
  <c r="B50" i="24"/>
  <c r="B41" i="24"/>
  <c r="B40" i="24"/>
  <c r="B36" i="24"/>
  <c r="B37" i="24"/>
  <c r="B38" i="24"/>
  <c r="B39" i="24"/>
  <c r="B35" i="24"/>
  <c r="B34" i="24"/>
  <c r="G20" i="87" l="1"/>
  <c r="AR20" i="84"/>
  <c r="AQ20" i="84"/>
  <c r="J20" i="46"/>
  <c r="E9" i="81"/>
  <c r="E21" i="81" s="1"/>
  <c r="G18" i="87" s="1"/>
  <c r="AB15" i="84"/>
  <c r="I20" i="82"/>
  <c r="AX19" i="46"/>
  <c r="AD19" i="46"/>
  <c r="AL19" i="46"/>
  <c r="AE15" i="84"/>
  <c r="AS15" i="84" s="1"/>
  <c r="AA15" i="84"/>
  <c r="Z15" i="84"/>
  <c r="AQ17" i="84"/>
  <c r="AB41" i="84"/>
  <c r="AV15" i="84"/>
  <c r="AU15" i="84"/>
  <c r="AQ15" i="84"/>
  <c r="AR15" i="84"/>
  <c r="AQ44" i="84"/>
  <c r="Z41" i="84"/>
  <c r="AV29" i="84"/>
  <c r="AE41" i="84"/>
  <c r="AV41" i="84" s="1"/>
  <c r="AA41" i="84"/>
  <c r="AQ12" i="84"/>
  <c r="AW29" i="84"/>
  <c r="AS14" i="84"/>
  <c r="AF14" i="84"/>
  <c r="AA14" i="84" s="1"/>
  <c r="AW14" i="84"/>
  <c r="AQ26" i="84"/>
  <c r="AF29" i="84"/>
  <c r="AB29" i="84" s="1"/>
  <c r="AR24" i="84"/>
  <c r="AE46" i="84"/>
  <c r="AT46" i="84" s="1"/>
  <c r="AT29" i="84"/>
  <c r="AE35" i="84"/>
  <c r="AW35" i="84" s="1"/>
  <c r="AV42" i="84"/>
  <c r="AS42" i="84"/>
  <c r="AF48" i="84"/>
  <c r="AA48" i="84" s="1"/>
  <c r="AG34" i="84"/>
  <c r="AF36" i="84"/>
  <c r="AG36" i="84" s="1"/>
  <c r="AB32" i="84"/>
  <c r="AU27" i="84"/>
  <c r="AQ19" i="84"/>
  <c r="AV48" i="84"/>
  <c r="AS29" i="84"/>
  <c r="AR48" i="84"/>
  <c r="AR30" i="84"/>
  <c r="AU42" i="84"/>
  <c r="AT42" i="84"/>
  <c r="AF42" i="84"/>
  <c r="AA42" i="84" s="1"/>
  <c r="AR49" i="84"/>
  <c r="AW43" i="84"/>
  <c r="AR37" i="84"/>
  <c r="AQ37" i="84"/>
  <c r="AF27" i="84"/>
  <c r="AG27" i="84" s="1"/>
  <c r="AW27" i="84"/>
  <c r="AS27" i="84"/>
  <c r="AA37" i="84"/>
  <c r="Z45" i="84"/>
  <c r="AR28" i="84"/>
  <c r="AF10" i="84"/>
  <c r="AB10" i="84" s="1"/>
  <c r="AT13" i="84"/>
  <c r="AE37" i="84"/>
  <c r="AT37" i="84" s="1"/>
  <c r="AE39" i="84"/>
  <c r="AV39" i="84" s="1"/>
  <c r="AB45" i="84"/>
  <c r="AB39" i="84"/>
  <c r="AU10" i="84"/>
  <c r="AT10" i="84"/>
  <c r="AV10" i="84"/>
  <c r="AW10" i="84"/>
  <c r="AS10" i="84"/>
  <c r="AA39" i="84"/>
  <c r="AS13" i="84"/>
  <c r="AQ34" i="84"/>
  <c r="AF13" i="84"/>
  <c r="AB13" i="84" s="1"/>
  <c r="Z39" i="84"/>
  <c r="AR38" i="84"/>
  <c r="AF43" i="84"/>
  <c r="Z43" i="84" s="1"/>
  <c r="AA45" i="84"/>
  <c r="AR10" i="84"/>
  <c r="AT43" i="84"/>
  <c r="AU49" i="84"/>
  <c r="AW49" i="84"/>
  <c r="AS49" i="84"/>
  <c r="AV49" i="84"/>
  <c r="AT49" i="84"/>
  <c r="AB34" i="84"/>
  <c r="AR33" i="84"/>
  <c r="AE34" i="84"/>
  <c r="AA34" i="84"/>
  <c r="AF49" i="84"/>
  <c r="AG37" i="84"/>
  <c r="AB37" i="84"/>
  <c r="AE45" i="84"/>
  <c r="AW45" i="84" s="1"/>
  <c r="AR40" i="84"/>
  <c r="AU43" i="84"/>
  <c r="AW36" i="84"/>
  <c r="AT36" i="84"/>
  <c r="AG32" i="84"/>
  <c r="Z32" i="84"/>
  <c r="AV36" i="84"/>
  <c r="AE32" i="84"/>
  <c r="AU32" i="84" s="1"/>
  <c r="AE28" i="84"/>
  <c r="AF28" i="84"/>
  <c r="AB28" i="84" s="1"/>
  <c r="AE44" i="84"/>
  <c r="AF44" i="84"/>
  <c r="AE23" i="84"/>
  <c r="AU23" i="84" s="1"/>
  <c r="AA23" i="84"/>
  <c r="Z23" i="84"/>
  <c r="AQ35" i="84"/>
  <c r="AE40" i="84"/>
  <c r="AF40" i="84"/>
  <c r="AE24" i="84"/>
  <c r="AF24" i="84"/>
  <c r="AB23" i="84"/>
  <c r="AS36" i="84"/>
  <c r="AU36" i="84"/>
  <c r="AE33" i="84"/>
  <c r="AF33" i="84"/>
  <c r="AE19" i="84"/>
  <c r="AF19" i="84"/>
  <c r="AS48" i="84"/>
  <c r="AW48" i="84"/>
  <c r="AT48" i="84"/>
  <c r="AU48" i="84"/>
  <c r="AR27" i="84"/>
  <c r="AQ27" i="84"/>
  <c r="AV27" i="84"/>
  <c r="AQ16" i="84"/>
  <c r="AR16" i="84"/>
  <c r="AQ23" i="84"/>
  <c r="AR23" i="84"/>
  <c r="AR31" i="84"/>
  <c r="AQ31" i="84"/>
  <c r="AQ51" i="84"/>
  <c r="AR51" i="84"/>
  <c r="AE18" i="84"/>
  <c r="AF18" i="84"/>
  <c r="AQ52" i="84"/>
  <c r="AR52" i="84"/>
  <c r="AR25" i="84"/>
  <c r="AQ25" i="84"/>
  <c r="AQ45" i="84"/>
  <c r="AR45" i="84"/>
  <c r="AF9" i="84"/>
  <c r="Z9" i="84" s="1"/>
  <c r="AE16" i="84"/>
  <c r="AF16" i="84"/>
  <c r="AA46" i="84"/>
  <c r="AB46" i="84"/>
  <c r="Z46" i="84"/>
  <c r="AG46" i="84"/>
  <c r="AE25" i="84"/>
  <c r="AF25" i="84"/>
  <c r="AQ9" i="84"/>
  <c r="AR9" i="84"/>
  <c r="AE11" i="84"/>
  <c r="AF11" i="84"/>
  <c r="AE52" i="84"/>
  <c r="AF52" i="84"/>
  <c r="AF51" i="84"/>
  <c r="AE51" i="84"/>
  <c r="AR32" i="84"/>
  <c r="AQ32" i="84"/>
  <c r="AQ41" i="84"/>
  <c r="AR41" i="84"/>
  <c r="AE50" i="84"/>
  <c r="AF50" i="84"/>
  <c r="AR47" i="84"/>
  <c r="AQ47" i="84"/>
  <c r="AE38" i="84"/>
  <c r="AF38" i="84"/>
  <c r="AA35" i="84"/>
  <c r="AG35" i="84"/>
  <c r="Z35" i="84"/>
  <c r="AB35" i="84"/>
  <c r="AE20" i="84"/>
  <c r="AF20" i="84"/>
  <c r="AQ43" i="84"/>
  <c r="AR43" i="84"/>
  <c r="AR36" i="84"/>
  <c r="AQ36" i="84"/>
  <c r="AQ39" i="84"/>
  <c r="AR39" i="84"/>
  <c r="AE31" i="84"/>
  <c r="AF31" i="84"/>
  <c r="AF12" i="84"/>
  <c r="AE12" i="84"/>
  <c r="AF17" i="84"/>
  <c r="AE17" i="84"/>
  <c r="AR46" i="84"/>
  <c r="AQ46" i="84"/>
  <c r="AF47" i="84"/>
  <c r="AE47" i="84"/>
  <c r="AF21" i="84"/>
  <c r="AE21" i="84"/>
  <c r="AV43" i="84"/>
  <c r="AQ11" i="84"/>
  <c r="AR11" i="84"/>
  <c r="AF30" i="84"/>
  <c r="AE30" i="84"/>
  <c r="AQ22" i="84"/>
  <c r="AR22" i="84"/>
  <c r="AQ29" i="84"/>
  <c r="AR29" i="84"/>
  <c r="AF22" i="84"/>
  <c r="AE22" i="84"/>
  <c r="AQ50" i="84"/>
  <c r="AR50" i="84"/>
  <c r="AR18" i="84"/>
  <c r="AQ18" i="84"/>
  <c r="AF26" i="84"/>
  <c r="AE26" i="84"/>
  <c r="AQ42" i="84"/>
  <c r="AR42" i="84"/>
  <c r="B23" i="24"/>
  <c r="B24" i="24"/>
  <c r="B25" i="24"/>
  <c r="B26" i="24"/>
  <c r="B27" i="24"/>
  <c r="B28" i="24"/>
  <c r="B29" i="24"/>
  <c r="B30" i="24"/>
  <c r="B31" i="24"/>
  <c r="B32" i="24"/>
  <c r="B33" i="24"/>
  <c r="B22" i="24"/>
  <c r="B20" i="24"/>
  <c r="B21" i="24"/>
  <c r="B19" i="24"/>
  <c r="B18" i="24"/>
  <c r="B14" i="24"/>
  <c r="B5" i="24"/>
  <c r="B6" i="24"/>
  <c r="B7" i="24"/>
  <c r="B8" i="24"/>
  <c r="B9" i="24"/>
  <c r="B10" i="24"/>
  <c r="B11" i="24"/>
  <c r="B12" i="24"/>
  <c r="B4" i="24"/>
  <c r="A49" i="76"/>
  <c r="A48" i="76"/>
  <c r="A47" i="76"/>
  <c r="A46" i="76"/>
  <c r="A45" i="76"/>
  <c r="A44" i="76"/>
  <c r="A43" i="76"/>
  <c r="A42" i="76"/>
  <c r="A41" i="76"/>
  <c r="A40" i="76"/>
  <c r="A39" i="76"/>
  <c r="A38" i="76"/>
  <c r="A37" i="76"/>
  <c r="A36" i="76"/>
  <c r="A35" i="76"/>
  <c r="A34" i="76"/>
  <c r="A33" i="76"/>
  <c r="A32" i="76"/>
  <c r="A31" i="76"/>
  <c r="A30" i="76"/>
  <c r="A29" i="76"/>
  <c r="A28" i="76"/>
  <c r="A27" i="76"/>
  <c r="A26" i="76"/>
  <c r="A25" i="76"/>
  <c r="A24" i="76"/>
  <c r="A23" i="76"/>
  <c r="A22" i="76"/>
  <c r="A21" i="76"/>
  <c r="A20" i="76"/>
  <c r="A19" i="76"/>
  <c r="A18" i="76"/>
  <c r="A17" i="76"/>
  <c r="A16" i="76"/>
  <c r="A15" i="76"/>
  <c r="A14" i="76"/>
  <c r="A13" i="76"/>
  <c r="A12" i="76"/>
  <c r="A11" i="76"/>
  <c r="A10" i="76"/>
  <c r="A9" i="76"/>
  <c r="A8" i="76"/>
  <c r="A7" i="76"/>
  <c r="A6" i="76"/>
  <c r="A5" i="76"/>
  <c r="A4" i="76"/>
  <c r="A3" i="76"/>
  <c r="A2" i="76"/>
  <c r="A49" i="52"/>
  <c r="D200" i="46"/>
  <c r="A41" i="52"/>
  <c r="A42" i="52"/>
  <c r="A43" i="52"/>
  <c r="A44" i="52"/>
  <c r="A45" i="52"/>
  <c r="A46" i="52"/>
  <c r="A47" i="52"/>
  <c r="A48" i="52"/>
  <c r="A40" i="52"/>
  <c r="A35" i="52"/>
  <c r="A36" i="52"/>
  <c r="A37" i="52"/>
  <c r="A38" i="52"/>
  <c r="A34" i="52"/>
  <c r="A22" i="52"/>
  <c r="A23" i="52"/>
  <c r="A24" i="52"/>
  <c r="A25" i="52"/>
  <c r="A26" i="52"/>
  <c r="A27" i="52"/>
  <c r="A28" i="52"/>
  <c r="A29" i="52"/>
  <c r="A30" i="52"/>
  <c r="A31" i="52"/>
  <c r="A32" i="52"/>
  <c r="A21" i="52"/>
  <c r="A20" i="52"/>
  <c r="A19" i="52"/>
  <c r="A18" i="52"/>
  <c r="A17" i="52"/>
  <c r="A13" i="52"/>
  <c r="A15" i="52"/>
  <c r="A16" i="52"/>
  <c r="A14" i="52"/>
  <c r="D175" i="46"/>
  <c r="A4" i="52"/>
  <c r="A5" i="52"/>
  <c r="A6" i="52"/>
  <c r="A7" i="52"/>
  <c r="A8" i="52"/>
  <c r="A9" i="52"/>
  <c r="A10" i="52"/>
  <c r="A11" i="52"/>
  <c r="A49" i="75"/>
  <c r="A48" i="75"/>
  <c r="A47" i="75"/>
  <c r="A46" i="75"/>
  <c r="A45" i="75"/>
  <c r="A44" i="75"/>
  <c r="A43" i="75"/>
  <c r="A42" i="75"/>
  <c r="A41" i="75"/>
  <c r="A40" i="75"/>
  <c r="A39" i="75"/>
  <c r="A38" i="75"/>
  <c r="A37" i="75"/>
  <c r="A36" i="75"/>
  <c r="A35" i="75"/>
  <c r="A34" i="75"/>
  <c r="A33" i="75"/>
  <c r="A32" i="75"/>
  <c r="A31" i="75"/>
  <c r="A30" i="75"/>
  <c r="A29" i="75"/>
  <c r="A28" i="75"/>
  <c r="A27" i="75"/>
  <c r="A26" i="75"/>
  <c r="A25" i="75"/>
  <c r="A24" i="75"/>
  <c r="A23" i="75"/>
  <c r="A22" i="75"/>
  <c r="A21" i="75"/>
  <c r="A20" i="75"/>
  <c r="A19" i="75"/>
  <c r="A18" i="75"/>
  <c r="A17" i="75"/>
  <c r="A16" i="75"/>
  <c r="A15" i="75"/>
  <c r="A14" i="75"/>
  <c r="A13" i="75"/>
  <c r="A12" i="75"/>
  <c r="A11" i="75"/>
  <c r="A10" i="75"/>
  <c r="A9" i="75"/>
  <c r="A8" i="75"/>
  <c r="A7" i="75"/>
  <c r="A6" i="75"/>
  <c r="A5" i="75"/>
  <c r="A4" i="75"/>
  <c r="A3" i="75"/>
  <c r="A2" i="75"/>
  <c r="B12" i="49" l="1"/>
  <c r="F16" i="89" s="1"/>
  <c r="G16" i="89" s="1"/>
  <c r="G17" i="87"/>
  <c r="G19" i="87"/>
  <c r="AV20" i="84"/>
  <c r="AU20" i="84"/>
  <c r="AT15" i="84"/>
  <c r="AW15" i="84"/>
  <c r="AG29" i="84"/>
  <c r="AW41" i="84"/>
  <c r="AU41" i="84"/>
  <c r="AB27" i="84"/>
  <c r="AS41" i="84"/>
  <c r="AT41" i="84"/>
  <c r="AB14" i="84"/>
  <c r="Z14" i="84"/>
  <c r="AA10" i="84"/>
  <c r="AV35" i="84"/>
  <c r="AG14" i="84"/>
  <c r="AU35" i="84"/>
  <c r="AG10" i="84"/>
  <c r="Z10" i="84"/>
  <c r="AS35" i="84"/>
  <c r="AT35" i="84"/>
  <c r="AV46" i="84"/>
  <c r="AA29" i="84"/>
  <c r="Z29" i="84"/>
  <c r="AW46" i="84"/>
  <c r="AW37" i="84"/>
  <c r="AA13" i="84"/>
  <c r="AU46" i="84"/>
  <c r="AS23" i="84"/>
  <c r="AS46" i="84"/>
  <c r="AT45" i="84"/>
  <c r="AT23" i="84"/>
  <c r="Z42" i="84"/>
  <c r="AB36" i="84"/>
  <c r="AV37" i="84"/>
  <c r="AA36" i="84"/>
  <c r="AU37" i="84"/>
  <c r="Z13" i="84"/>
  <c r="AV23" i="84"/>
  <c r="Z36" i="84"/>
  <c r="AB48" i="84"/>
  <c r="AG48" i="84"/>
  <c r="Z48" i="84"/>
  <c r="AG42" i="84"/>
  <c r="AB42" i="84"/>
  <c r="AT39" i="84"/>
  <c r="AU39" i="84"/>
  <c r="AA27" i="84"/>
  <c r="AS39" i="84"/>
  <c r="AV45" i="84"/>
  <c r="Z27" i="84"/>
  <c r="AW39" i="84"/>
  <c r="AS45" i="84"/>
  <c r="AS37" i="84"/>
  <c r="AG13" i="84"/>
  <c r="AU45" i="84"/>
  <c r="AW23" i="84"/>
  <c r="AG43" i="84"/>
  <c r="AA43" i="84"/>
  <c r="AB43" i="84"/>
  <c r="AS32" i="84"/>
  <c r="AB49" i="84"/>
  <c r="Z49" i="84"/>
  <c r="AA49" i="84"/>
  <c r="AG49" i="84"/>
  <c r="AV32" i="84"/>
  <c r="AT32" i="84"/>
  <c r="AU34" i="84"/>
  <c r="AT34" i="84"/>
  <c r="AV34" i="84"/>
  <c r="AW34" i="84"/>
  <c r="AS34" i="84"/>
  <c r="AW32" i="84"/>
  <c r="AU33" i="84"/>
  <c r="AT33" i="84"/>
  <c r="AW33" i="84"/>
  <c r="AS33" i="84"/>
  <c r="AV33" i="84"/>
  <c r="AA44" i="84"/>
  <c r="AB44" i="84"/>
  <c r="Z44" i="84"/>
  <c r="AG44" i="84"/>
  <c r="AB19" i="84"/>
  <c r="AG19" i="84"/>
  <c r="Z19" i="84"/>
  <c r="AA19" i="84"/>
  <c r="AT44" i="84"/>
  <c r="AU44" i="84"/>
  <c r="AS44" i="84"/>
  <c r="AW44" i="84"/>
  <c r="AV44" i="84"/>
  <c r="AU19" i="84"/>
  <c r="AV19" i="84"/>
  <c r="AT19" i="84"/>
  <c r="AW19" i="84"/>
  <c r="AS19" i="84"/>
  <c r="AA24" i="84"/>
  <c r="AB24" i="84"/>
  <c r="AG24" i="84"/>
  <c r="Z24" i="84"/>
  <c r="AB40" i="84"/>
  <c r="Z40" i="84"/>
  <c r="AA40" i="84"/>
  <c r="AG40" i="84"/>
  <c r="AA28" i="84"/>
  <c r="AG28" i="84"/>
  <c r="Z28" i="84"/>
  <c r="AB33" i="84"/>
  <c r="AA33" i="84"/>
  <c r="AG33" i="84"/>
  <c r="Z33" i="84"/>
  <c r="AW24" i="84"/>
  <c r="AS24" i="84"/>
  <c r="AU24" i="84"/>
  <c r="AT24" i="84"/>
  <c r="AV24" i="84"/>
  <c r="AU40" i="84"/>
  <c r="AW40" i="84"/>
  <c r="AS40" i="84"/>
  <c r="AT40" i="84"/>
  <c r="AV40" i="84"/>
  <c r="AT28" i="84"/>
  <c r="AU28" i="84"/>
  <c r="AW28" i="84"/>
  <c r="AS28" i="84"/>
  <c r="AV28" i="84"/>
  <c r="AB17" i="84"/>
  <c r="AG17" i="84"/>
  <c r="Z17" i="84"/>
  <c r="AA17" i="84"/>
  <c r="Z31" i="84"/>
  <c r="AG31" i="84"/>
  <c r="AB31" i="84"/>
  <c r="AA31" i="84"/>
  <c r="AG38" i="84"/>
  <c r="AA38" i="84"/>
  <c r="Z38" i="84"/>
  <c r="AB38" i="84"/>
  <c r="Z11" i="84"/>
  <c r="AA11" i="84"/>
  <c r="AG11" i="84"/>
  <c r="AB11" i="84"/>
  <c r="AW18" i="84"/>
  <c r="AS18" i="84"/>
  <c r="AU18" i="84"/>
  <c r="AV18" i="84"/>
  <c r="AT18" i="84"/>
  <c r="AB21" i="84"/>
  <c r="Z21" i="84"/>
  <c r="AA21" i="84"/>
  <c r="AG21" i="84"/>
  <c r="AB12" i="84"/>
  <c r="AG12" i="84"/>
  <c r="Z12" i="84"/>
  <c r="AA12" i="84"/>
  <c r="AW20" i="84"/>
  <c r="AS20" i="84"/>
  <c r="AT20" i="84"/>
  <c r="Z50" i="84"/>
  <c r="AG50" i="84"/>
  <c r="AA50" i="84"/>
  <c r="AB50" i="84"/>
  <c r="AG51" i="84"/>
  <c r="AB51" i="84"/>
  <c r="AA51" i="84"/>
  <c r="Z51" i="84"/>
  <c r="AW25" i="84"/>
  <c r="AU25" i="84"/>
  <c r="AV25" i="84"/>
  <c r="AS25" i="84"/>
  <c r="AT25" i="84"/>
  <c r="AV16" i="84"/>
  <c r="AW16" i="84"/>
  <c r="AS16" i="84"/>
  <c r="AT16" i="84"/>
  <c r="AU16" i="84"/>
  <c r="AV26" i="84"/>
  <c r="AU26" i="84"/>
  <c r="AS26" i="84"/>
  <c r="AW26" i="84"/>
  <c r="AT26" i="84"/>
  <c r="AW22" i="84"/>
  <c r="AV22" i="84"/>
  <c r="AS22" i="84"/>
  <c r="AT22" i="84"/>
  <c r="AU22" i="84"/>
  <c r="AW47" i="84"/>
  <c r="AV47" i="84"/>
  <c r="AS47" i="84"/>
  <c r="AT47" i="84"/>
  <c r="AU47" i="84"/>
  <c r="AS31" i="84"/>
  <c r="AW31" i="84"/>
  <c r="AV31" i="84"/>
  <c r="AT31" i="84"/>
  <c r="AU31" i="84"/>
  <c r="AS38" i="84"/>
  <c r="AW38" i="84"/>
  <c r="AT38" i="84"/>
  <c r="AV38" i="84"/>
  <c r="AU38" i="84"/>
  <c r="AW50" i="84"/>
  <c r="AV50" i="84"/>
  <c r="AT50" i="84"/>
  <c r="AS50" i="84"/>
  <c r="AU50" i="84"/>
  <c r="AU11" i="84"/>
  <c r="AV11" i="84"/>
  <c r="AW11" i="84"/>
  <c r="AS11" i="84"/>
  <c r="AT11" i="84"/>
  <c r="C5" i="84" s="1"/>
  <c r="AW9" i="84"/>
  <c r="AS9" i="84"/>
  <c r="AV9" i="84"/>
  <c r="AU9" i="84"/>
  <c r="AG26" i="84"/>
  <c r="AB26" i="84"/>
  <c r="Z26" i="84"/>
  <c r="AA26" i="84"/>
  <c r="AA22" i="84"/>
  <c r="AB22" i="84"/>
  <c r="Z22" i="84"/>
  <c r="AG22" i="84"/>
  <c r="AS30" i="84"/>
  <c r="AV30" i="84"/>
  <c r="AU30" i="84"/>
  <c r="AW30" i="84"/>
  <c r="AT30" i="84"/>
  <c r="AB47" i="84"/>
  <c r="AG47" i="84"/>
  <c r="AA47" i="84"/>
  <c r="Z47" i="84"/>
  <c r="Z52" i="84"/>
  <c r="AG52" i="84"/>
  <c r="AA52" i="84"/>
  <c r="AB52" i="84"/>
  <c r="AB9" i="84"/>
  <c r="AG9" i="84"/>
  <c r="AA9" i="84"/>
  <c r="AG30" i="84"/>
  <c r="AB30" i="84"/>
  <c r="Z30" i="84"/>
  <c r="AA30" i="84"/>
  <c r="AV21" i="84"/>
  <c r="AT21" i="84"/>
  <c r="AW21" i="84"/>
  <c r="AU21" i="84"/>
  <c r="AS21" i="84"/>
  <c r="AS17" i="84"/>
  <c r="AU17" i="84"/>
  <c r="AW17" i="84"/>
  <c r="AV17" i="84"/>
  <c r="AT17" i="84"/>
  <c r="AS12" i="84"/>
  <c r="AU12" i="84"/>
  <c r="AT12" i="84"/>
  <c r="AW12" i="84"/>
  <c r="AV12" i="84"/>
  <c r="Z20" i="84"/>
  <c r="AA20" i="84"/>
  <c r="AG20" i="84"/>
  <c r="AB20" i="84"/>
  <c r="AU51" i="84"/>
  <c r="AV51" i="84"/>
  <c r="AW51" i="84"/>
  <c r="AS51" i="84"/>
  <c r="AT51" i="84"/>
  <c r="AW52" i="84"/>
  <c r="AV52" i="84"/>
  <c r="AT52" i="84"/>
  <c r="AS52" i="84"/>
  <c r="AU52" i="84"/>
  <c r="Z25" i="84"/>
  <c r="AA25" i="84"/>
  <c r="AG25" i="84"/>
  <c r="AB25" i="84"/>
  <c r="Z16" i="84"/>
  <c r="AG16" i="84"/>
  <c r="AA16" i="84"/>
  <c r="AB16" i="84"/>
  <c r="AB18" i="84"/>
  <c r="AA18" i="84"/>
  <c r="Z18" i="84"/>
  <c r="AG18" i="84"/>
  <c r="E96" i="46"/>
  <c r="E103" i="46" s="1"/>
  <c r="E85" i="46"/>
  <c r="E90" i="46" s="1"/>
  <c r="E60" i="46"/>
  <c r="E78" i="46" s="1"/>
  <c r="E46" i="46"/>
  <c r="E55" i="46" s="1"/>
  <c r="BA4" i="71"/>
  <c r="A4" i="71"/>
  <c r="A284" i="71"/>
  <c r="A277" i="71"/>
  <c r="A270" i="71"/>
  <c r="A263" i="71"/>
  <c r="A256" i="71"/>
  <c r="A249" i="71"/>
  <c r="A242" i="71"/>
  <c r="A235" i="71"/>
  <c r="A228" i="71"/>
  <c r="A221" i="71"/>
  <c r="AZ247" i="71"/>
  <c r="BA247" i="71"/>
  <c r="AZ248" i="71"/>
  <c r="BA248" i="71"/>
  <c r="AZ249" i="71"/>
  <c r="BA249" i="71"/>
  <c r="AZ250" i="71"/>
  <c r="BA250" i="71"/>
  <c r="AZ251" i="71"/>
  <c r="BA251" i="71"/>
  <c r="AZ252" i="71"/>
  <c r="BA252" i="71"/>
  <c r="AZ253" i="71"/>
  <c r="BA253" i="71"/>
  <c r="AZ254" i="71"/>
  <c r="BA254" i="71"/>
  <c r="AZ255" i="71"/>
  <c r="BA255" i="71"/>
  <c r="AZ256" i="71"/>
  <c r="BA256" i="71"/>
  <c r="AZ257" i="71"/>
  <c r="BA257" i="71"/>
  <c r="AZ258" i="71"/>
  <c r="BA258" i="71"/>
  <c r="AZ259" i="71"/>
  <c r="BA259" i="71"/>
  <c r="AZ260" i="71"/>
  <c r="BA260" i="71"/>
  <c r="AZ261" i="71"/>
  <c r="BA261" i="71"/>
  <c r="AZ262" i="71"/>
  <c r="BA262" i="71"/>
  <c r="AZ263" i="71"/>
  <c r="BA263" i="71"/>
  <c r="AZ264" i="71"/>
  <c r="BA264" i="71"/>
  <c r="AZ265" i="71"/>
  <c r="BA265" i="71"/>
  <c r="AZ266" i="71"/>
  <c r="BA266" i="71"/>
  <c r="AZ267" i="71"/>
  <c r="BA267" i="71"/>
  <c r="AZ268" i="71"/>
  <c r="BA268" i="71"/>
  <c r="AZ269" i="71"/>
  <c r="BA269" i="71"/>
  <c r="AZ270" i="71"/>
  <c r="BA270" i="71"/>
  <c r="AZ271" i="71"/>
  <c r="BA271" i="71"/>
  <c r="AZ272" i="71"/>
  <c r="BA272" i="71"/>
  <c r="AZ273" i="71"/>
  <c r="BA273" i="71"/>
  <c r="AZ274" i="71"/>
  <c r="BA274" i="71"/>
  <c r="AZ275" i="71"/>
  <c r="BA275" i="71"/>
  <c r="AZ276" i="71"/>
  <c r="BA276" i="71"/>
  <c r="AZ277" i="71"/>
  <c r="BA277" i="71"/>
  <c r="AZ278" i="71"/>
  <c r="BA278" i="71"/>
  <c r="AZ279" i="71"/>
  <c r="BA279" i="71"/>
  <c r="AZ280" i="71"/>
  <c r="BA280" i="71"/>
  <c r="AZ281" i="71"/>
  <c r="BA281" i="71"/>
  <c r="AZ282" i="71"/>
  <c r="BA282" i="71"/>
  <c r="AZ283" i="71"/>
  <c r="BA283" i="71"/>
  <c r="AZ284" i="71"/>
  <c r="BA284" i="71"/>
  <c r="AZ285" i="71"/>
  <c r="BA285" i="71"/>
  <c r="AZ286" i="71"/>
  <c r="BA286" i="71"/>
  <c r="AZ287" i="71"/>
  <c r="BA287" i="71"/>
  <c r="AZ288" i="71"/>
  <c r="BA288" i="71"/>
  <c r="AZ289" i="71"/>
  <c r="BA289" i="71"/>
  <c r="AZ290" i="71"/>
  <c r="BA290" i="71"/>
  <c r="C4" i="84" l="1"/>
  <c r="G22" i="87"/>
  <c r="C6" i="84"/>
  <c r="G23" i="87" s="1"/>
  <c r="E104" i="46"/>
  <c r="E97" i="46"/>
  <c r="E101" i="46"/>
  <c r="E105" i="46"/>
  <c r="E98" i="46"/>
  <c r="E102" i="46"/>
  <c r="E106" i="46"/>
  <c r="E100" i="46"/>
  <c r="E99" i="46"/>
  <c r="E75" i="46"/>
  <c r="E88" i="46"/>
  <c r="E47" i="46"/>
  <c r="E48" i="46"/>
  <c r="E53" i="46"/>
  <c r="E61" i="46"/>
  <c r="E79" i="46"/>
  <c r="E52" i="46"/>
  <c r="E49" i="46"/>
  <c r="E54" i="46"/>
  <c r="E66" i="46"/>
  <c r="E50" i="46"/>
  <c r="E71" i="46"/>
  <c r="E87" i="46"/>
  <c r="E51" i="46"/>
  <c r="E62" i="46"/>
  <c r="E68" i="46"/>
  <c r="E72" i="46"/>
  <c r="E76" i="46"/>
  <c r="E89" i="46"/>
  <c r="E63" i="46"/>
  <c r="E69" i="46"/>
  <c r="E73" i="46"/>
  <c r="E77" i="46"/>
  <c r="E86" i="46"/>
  <c r="E65" i="46"/>
  <c r="E70" i="46"/>
  <c r="E74" i="46"/>
  <c r="G21" i="87" l="1"/>
  <c r="N23" i="46"/>
  <c r="Z23" i="46"/>
  <c r="J23" i="46"/>
  <c r="N22" i="46"/>
  <c r="Z22" i="46"/>
  <c r="J22" i="46"/>
  <c r="Z21" i="46"/>
  <c r="J21" i="46"/>
  <c r="N21" i="46"/>
  <c r="E107" i="46"/>
  <c r="E56" i="46"/>
  <c r="D11" i="75" s="1"/>
  <c r="E91" i="46"/>
  <c r="AD9" i="72" l="1"/>
  <c r="AE9" i="72"/>
  <c r="AF9" i="72"/>
  <c r="AG9" i="72"/>
  <c r="AH9" i="72"/>
  <c r="AI9" i="72"/>
  <c r="AJ9" i="72"/>
  <c r="AK9" i="72"/>
  <c r="A214" i="71" l="1"/>
  <c r="A207" i="71"/>
  <c r="A200" i="71"/>
  <c r="A193" i="71"/>
  <c r="A186" i="71"/>
  <c r="BA32" i="71"/>
  <c r="BA33" i="71"/>
  <c r="BA34" i="71"/>
  <c r="BA35" i="71"/>
  <c r="BA36" i="71"/>
  <c r="BA37" i="71"/>
  <c r="BA38" i="71"/>
  <c r="BA39" i="71"/>
  <c r="BA40" i="71"/>
  <c r="BA41" i="71"/>
  <c r="BA42" i="71"/>
  <c r="BA43" i="71"/>
  <c r="BA44" i="71"/>
  <c r="BA45" i="71"/>
  <c r="BA46" i="71"/>
  <c r="BA47" i="71"/>
  <c r="BA48" i="71"/>
  <c r="BA49" i="71"/>
  <c r="BA50" i="71"/>
  <c r="BA51" i="71"/>
  <c r="BA52" i="71"/>
  <c r="BA53" i="71"/>
  <c r="BA54" i="71"/>
  <c r="BA55" i="71"/>
  <c r="BA56" i="71"/>
  <c r="BA57" i="71"/>
  <c r="BA58" i="71"/>
  <c r="BA59" i="71"/>
  <c r="BA60" i="71"/>
  <c r="BA61" i="71"/>
  <c r="BA62" i="71"/>
  <c r="BA63" i="71"/>
  <c r="BA64" i="71"/>
  <c r="BA65" i="71"/>
  <c r="BA66" i="71"/>
  <c r="BA67" i="71"/>
  <c r="BA68" i="71"/>
  <c r="BA69" i="71"/>
  <c r="BA70" i="71"/>
  <c r="BA71" i="71"/>
  <c r="BA72" i="71"/>
  <c r="BA73" i="71"/>
  <c r="BA74" i="71"/>
  <c r="BA75" i="71"/>
  <c r="BA76" i="71"/>
  <c r="BA77" i="71"/>
  <c r="BA78" i="71"/>
  <c r="BA79" i="71"/>
  <c r="BA80" i="71"/>
  <c r="BA81" i="71"/>
  <c r="BA82" i="71"/>
  <c r="BA83" i="71"/>
  <c r="BA84" i="71"/>
  <c r="BA85" i="71"/>
  <c r="BA86" i="71"/>
  <c r="BA87" i="71"/>
  <c r="BA88" i="71"/>
  <c r="BA89" i="71"/>
  <c r="BA90" i="71"/>
  <c r="BA91" i="71"/>
  <c r="BA92" i="71"/>
  <c r="BA93" i="71"/>
  <c r="BA94" i="71"/>
  <c r="BA95" i="71"/>
  <c r="BA96" i="71"/>
  <c r="BA97" i="71"/>
  <c r="BA98" i="71"/>
  <c r="BA99" i="71"/>
  <c r="BA100" i="71"/>
  <c r="BA101" i="71"/>
  <c r="BA102" i="71"/>
  <c r="BA103" i="71"/>
  <c r="BA104" i="71"/>
  <c r="BA105" i="71"/>
  <c r="BA106" i="71"/>
  <c r="BA107" i="71"/>
  <c r="BA108" i="71"/>
  <c r="BA109" i="71"/>
  <c r="BA110" i="71"/>
  <c r="BA111" i="71"/>
  <c r="BA112" i="71"/>
  <c r="BA113" i="71"/>
  <c r="BA114" i="71"/>
  <c r="BA115" i="71"/>
  <c r="BA116" i="71"/>
  <c r="BA117" i="71"/>
  <c r="BA118" i="71"/>
  <c r="BA119" i="71"/>
  <c r="BA120" i="71"/>
  <c r="BA121" i="71"/>
  <c r="BA122" i="71"/>
  <c r="BA123" i="71"/>
  <c r="BA124" i="71"/>
  <c r="BA125" i="71"/>
  <c r="BA126" i="71"/>
  <c r="BA127" i="71"/>
  <c r="BA128" i="71"/>
  <c r="BA129" i="71"/>
  <c r="BA130" i="71"/>
  <c r="BA131" i="71"/>
  <c r="BA132" i="71"/>
  <c r="BA133" i="71"/>
  <c r="BA134" i="71"/>
  <c r="BA135" i="71"/>
  <c r="BA136" i="71"/>
  <c r="BA137" i="71"/>
  <c r="BA138" i="71"/>
  <c r="BA139" i="71"/>
  <c r="BA140" i="71"/>
  <c r="BA141" i="71"/>
  <c r="BA142" i="71"/>
  <c r="BA143" i="71"/>
  <c r="BA144" i="71"/>
  <c r="BA145" i="71"/>
  <c r="BA146" i="71"/>
  <c r="BA147" i="71"/>
  <c r="BA148" i="71"/>
  <c r="BA149" i="71"/>
  <c r="BA150" i="71"/>
  <c r="BA151" i="71"/>
  <c r="BA152" i="71"/>
  <c r="BA153" i="71"/>
  <c r="BA154" i="71"/>
  <c r="BA155" i="71"/>
  <c r="BA156" i="71"/>
  <c r="BA157" i="71"/>
  <c r="BA158" i="71"/>
  <c r="BA159" i="71"/>
  <c r="BA160" i="71"/>
  <c r="BA161" i="71"/>
  <c r="BA162" i="71"/>
  <c r="BA163" i="71"/>
  <c r="BA164" i="71"/>
  <c r="BA165" i="71"/>
  <c r="BA166" i="71"/>
  <c r="BA167" i="71"/>
  <c r="BA168" i="71"/>
  <c r="BA169" i="71"/>
  <c r="BA170" i="71"/>
  <c r="BA171" i="71"/>
  <c r="BA172" i="71"/>
  <c r="BA173" i="71"/>
  <c r="BA174" i="71"/>
  <c r="BA175" i="71"/>
  <c r="BA176" i="71"/>
  <c r="BA177" i="71"/>
  <c r="BA178" i="71"/>
  <c r="BA179" i="71"/>
  <c r="BA180" i="71"/>
  <c r="BA181" i="71"/>
  <c r="BA182" i="71"/>
  <c r="BA183" i="71"/>
  <c r="BA184" i="71"/>
  <c r="BA185" i="71"/>
  <c r="BA186" i="71"/>
  <c r="BA187" i="71"/>
  <c r="BA188" i="71"/>
  <c r="BA189" i="71"/>
  <c r="BA190" i="71"/>
  <c r="BA191" i="71"/>
  <c r="BA192" i="71"/>
  <c r="BA193" i="71"/>
  <c r="BA194" i="71"/>
  <c r="BA195" i="71"/>
  <c r="BA196" i="71"/>
  <c r="BA197" i="71"/>
  <c r="BA198" i="71"/>
  <c r="BA199" i="71"/>
  <c r="BA200" i="71"/>
  <c r="BA201" i="71"/>
  <c r="BA202" i="71"/>
  <c r="BA203" i="71"/>
  <c r="BA204" i="71"/>
  <c r="BA205" i="71"/>
  <c r="BA206" i="71"/>
  <c r="BA207" i="71"/>
  <c r="BA208" i="71"/>
  <c r="BA209" i="71"/>
  <c r="BA210" i="71"/>
  <c r="BA211" i="71"/>
  <c r="BA212" i="71"/>
  <c r="BA213" i="71"/>
  <c r="BA214" i="71"/>
  <c r="BA215" i="71"/>
  <c r="BA216" i="71"/>
  <c r="BA217" i="71"/>
  <c r="BA218" i="71"/>
  <c r="BA219" i="71"/>
  <c r="BA220" i="71"/>
  <c r="BA221" i="71"/>
  <c r="BA222" i="71"/>
  <c r="BA223" i="71"/>
  <c r="BA224" i="71"/>
  <c r="BA225" i="71"/>
  <c r="BA226" i="71"/>
  <c r="BA227" i="71"/>
  <c r="BA228" i="71"/>
  <c r="BA229" i="71"/>
  <c r="BA230" i="71"/>
  <c r="BA231" i="71"/>
  <c r="BA232" i="71"/>
  <c r="BA233" i="71"/>
  <c r="BA234" i="71"/>
  <c r="BA235" i="71"/>
  <c r="BA236" i="71"/>
  <c r="BA237" i="71"/>
  <c r="BA238" i="71"/>
  <c r="BA239" i="71"/>
  <c r="BA240" i="71"/>
  <c r="BA241" i="71"/>
  <c r="BA242" i="71"/>
  <c r="BA243" i="71"/>
  <c r="BA244" i="71"/>
  <c r="BA245" i="71"/>
  <c r="BA246" i="71"/>
  <c r="BA25" i="71"/>
  <c r="BA26" i="71"/>
  <c r="BA27" i="71"/>
  <c r="BA28" i="71"/>
  <c r="BA29" i="71"/>
  <c r="BA30" i="71"/>
  <c r="BA31" i="71"/>
  <c r="BA22" i="71"/>
  <c r="BA23" i="71"/>
  <c r="BA24" i="71"/>
  <c r="BA7" i="71"/>
  <c r="BA8" i="71"/>
  <c r="BA9" i="71"/>
  <c r="BA10" i="71"/>
  <c r="BA11" i="71"/>
  <c r="BA12" i="71"/>
  <c r="BA13" i="71"/>
  <c r="BA14" i="71"/>
  <c r="BA15" i="71"/>
  <c r="BA16" i="71"/>
  <c r="BA17" i="71"/>
  <c r="BA18" i="71"/>
  <c r="BA19" i="71"/>
  <c r="BA20" i="71"/>
  <c r="BA21" i="71"/>
  <c r="BA5" i="71"/>
  <c r="BA6" i="71"/>
  <c r="AZ5" i="71"/>
  <c r="AZ6" i="71"/>
  <c r="AZ7" i="71"/>
  <c r="AZ8" i="71"/>
  <c r="AZ9" i="71"/>
  <c r="AZ10" i="71"/>
  <c r="AZ11" i="71"/>
  <c r="AZ12" i="71"/>
  <c r="AZ13" i="71"/>
  <c r="AZ14" i="71"/>
  <c r="AZ15" i="71"/>
  <c r="AZ16" i="71"/>
  <c r="AZ17" i="71"/>
  <c r="AZ18" i="71"/>
  <c r="AZ19" i="71"/>
  <c r="AZ20" i="71"/>
  <c r="AZ21" i="71"/>
  <c r="AZ22" i="71"/>
  <c r="AZ23" i="71"/>
  <c r="AZ24" i="71"/>
  <c r="AZ25" i="71"/>
  <c r="AZ26" i="71"/>
  <c r="AZ27" i="71"/>
  <c r="AZ28" i="71"/>
  <c r="AZ29" i="71"/>
  <c r="AZ30" i="71"/>
  <c r="AZ31" i="71"/>
  <c r="AZ32" i="71"/>
  <c r="AZ33" i="71"/>
  <c r="AZ34" i="71"/>
  <c r="AZ35" i="71"/>
  <c r="AZ36" i="71"/>
  <c r="AZ37" i="71"/>
  <c r="AZ38" i="71"/>
  <c r="AZ39" i="71"/>
  <c r="AZ40" i="71"/>
  <c r="AZ41" i="71"/>
  <c r="AZ42" i="71"/>
  <c r="AZ43" i="71"/>
  <c r="AZ44" i="71"/>
  <c r="AZ45" i="71"/>
  <c r="AZ46" i="71"/>
  <c r="AZ47" i="71"/>
  <c r="AZ48" i="71"/>
  <c r="AZ49" i="71"/>
  <c r="AZ50" i="71"/>
  <c r="AZ51" i="71"/>
  <c r="AZ52" i="71"/>
  <c r="AZ53" i="71"/>
  <c r="AZ54" i="71"/>
  <c r="AZ55" i="71"/>
  <c r="AZ56" i="71"/>
  <c r="AZ57" i="71"/>
  <c r="AZ58" i="71"/>
  <c r="AZ59" i="71"/>
  <c r="AZ60" i="71"/>
  <c r="AZ61" i="71"/>
  <c r="AZ62" i="71"/>
  <c r="AZ63" i="71"/>
  <c r="AZ64" i="71"/>
  <c r="AZ65" i="71"/>
  <c r="AZ66" i="71"/>
  <c r="AZ67" i="71"/>
  <c r="AZ68" i="71"/>
  <c r="AZ69" i="71"/>
  <c r="AZ70" i="71"/>
  <c r="AZ71" i="71"/>
  <c r="AZ72" i="71"/>
  <c r="AZ73" i="71"/>
  <c r="AZ74" i="71"/>
  <c r="AZ75" i="71"/>
  <c r="AZ76" i="71"/>
  <c r="AZ77" i="71"/>
  <c r="AZ78" i="71"/>
  <c r="AZ79" i="71"/>
  <c r="AZ80" i="71"/>
  <c r="AZ81" i="71"/>
  <c r="AZ82" i="71"/>
  <c r="AZ83" i="71"/>
  <c r="AZ84" i="71"/>
  <c r="AZ85" i="71"/>
  <c r="AZ86" i="71"/>
  <c r="AZ87" i="71"/>
  <c r="AZ88" i="71"/>
  <c r="AZ89" i="71"/>
  <c r="AZ90" i="71"/>
  <c r="AZ91" i="71"/>
  <c r="AZ92" i="71"/>
  <c r="AZ93" i="71"/>
  <c r="AZ94" i="71"/>
  <c r="AZ95" i="71"/>
  <c r="AZ96" i="71"/>
  <c r="AZ97" i="71"/>
  <c r="AZ98" i="71"/>
  <c r="AZ99" i="71"/>
  <c r="AZ100" i="71"/>
  <c r="AZ101" i="71"/>
  <c r="AZ102" i="71"/>
  <c r="AZ103" i="71"/>
  <c r="AZ104" i="71"/>
  <c r="AZ105" i="71"/>
  <c r="AZ106" i="71"/>
  <c r="AZ107" i="71"/>
  <c r="AZ108" i="71"/>
  <c r="AZ109" i="71"/>
  <c r="AZ110" i="71"/>
  <c r="AZ111" i="71"/>
  <c r="AZ112" i="71"/>
  <c r="AZ113" i="71"/>
  <c r="AZ114" i="71"/>
  <c r="AZ115" i="71"/>
  <c r="AZ116" i="71"/>
  <c r="AZ117" i="71"/>
  <c r="AZ118" i="71"/>
  <c r="AZ119" i="71"/>
  <c r="AZ120" i="71"/>
  <c r="AZ121" i="71"/>
  <c r="AZ122" i="71"/>
  <c r="AZ123" i="71"/>
  <c r="AZ124" i="71"/>
  <c r="AZ125" i="71"/>
  <c r="AZ126" i="71"/>
  <c r="AZ127" i="71"/>
  <c r="AZ128" i="71"/>
  <c r="AZ129" i="71"/>
  <c r="AZ130" i="71"/>
  <c r="AZ131" i="71"/>
  <c r="AZ132" i="71"/>
  <c r="AZ133" i="71"/>
  <c r="AZ134" i="71"/>
  <c r="AZ135" i="71"/>
  <c r="AZ136" i="71"/>
  <c r="AZ137" i="71"/>
  <c r="AZ138" i="71"/>
  <c r="AZ139" i="71"/>
  <c r="AZ140" i="71"/>
  <c r="AZ141" i="71"/>
  <c r="AZ142" i="71"/>
  <c r="AZ143" i="71"/>
  <c r="AZ144" i="71"/>
  <c r="AZ145" i="71"/>
  <c r="AZ146" i="71"/>
  <c r="AZ147" i="71"/>
  <c r="AZ148" i="71"/>
  <c r="AZ149" i="71"/>
  <c r="AZ150" i="71"/>
  <c r="AZ151" i="71"/>
  <c r="AZ152" i="71"/>
  <c r="AZ153" i="71"/>
  <c r="AZ154" i="71"/>
  <c r="AZ155" i="71"/>
  <c r="AZ156" i="71"/>
  <c r="AZ157" i="71"/>
  <c r="AZ158" i="71"/>
  <c r="AZ159" i="71"/>
  <c r="AZ160" i="71"/>
  <c r="AZ161" i="71"/>
  <c r="AZ162" i="71"/>
  <c r="AZ163" i="71"/>
  <c r="AZ164" i="71"/>
  <c r="AZ165" i="71"/>
  <c r="AZ166" i="71"/>
  <c r="AZ167" i="71"/>
  <c r="AZ168" i="71"/>
  <c r="AZ169" i="71"/>
  <c r="AZ170" i="71"/>
  <c r="AZ171" i="71"/>
  <c r="AZ172" i="71"/>
  <c r="AZ173" i="71"/>
  <c r="AZ174" i="71"/>
  <c r="AZ175" i="71"/>
  <c r="AZ176" i="71"/>
  <c r="AZ177" i="71"/>
  <c r="AZ178" i="71"/>
  <c r="AZ179" i="71"/>
  <c r="AZ180" i="71"/>
  <c r="AZ181" i="71"/>
  <c r="AZ182" i="71"/>
  <c r="AZ183" i="71"/>
  <c r="AZ184" i="71"/>
  <c r="AZ185" i="71"/>
  <c r="AZ186" i="71"/>
  <c r="AZ187" i="71"/>
  <c r="AZ188" i="71"/>
  <c r="AZ189" i="71"/>
  <c r="AZ190" i="71"/>
  <c r="AZ191" i="71"/>
  <c r="AZ192" i="71"/>
  <c r="AZ193" i="71"/>
  <c r="AZ194" i="71"/>
  <c r="AZ195" i="71"/>
  <c r="AZ196" i="71"/>
  <c r="AZ197" i="71"/>
  <c r="AZ198" i="71"/>
  <c r="AZ199" i="71"/>
  <c r="AZ200" i="71"/>
  <c r="AZ201" i="71"/>
  <c r="AZ202" i="71"/>
  <c r="AZ203" i="71"/>
  <c r="AZ204" i="71"/>
  <c r="AZ205" i="71"/>
  <c r="AZ206" i="71"/>
  <c r="AZ207" i="71"/>
  <c r="AZ208" i="71"/>
  <c r="AZ209" i="71"/>
  <c r="AZ210" i="71"/>
  <c r="AZ211" i="71"/>
  <c r="AZ212" i="71"/>
  <c r="AZ213" i="71"/>
  <c r="AZ214" i="71"/>
  <c r="AZ215" i="71"/>
  <c r="AZ216" i="71"/>
  <c r="AZ217" i="71"/>
  <c r="AZ218" i="71"/>
  <c r="AZ219" i="71"/>
  <c r="AZ220" i="71"/>
  <c r="AZ221" i="71"/>
  <c r="AZ222" i="71"/>
  <c r="AZ223" i="71"/>
  <c r="AZ224" i="71"/>
  <c r="AZ225" i="71"/>
  <c r="AZ226" i="71"/>
  <c r="AZ227" i="71"/>
  <c r="AZ228" i="71"/>
  <c r="AZ229" i="71"/>
  <c r="AZ230" i="71"/>
  <c r="AZ231" i="71"/>
  <c r="AZ232" i="71"/>
  <c r="AZ233" i="71"/>
  <c r="AZ234" i="71"/>
  <c r="AZ235" i="71"/>
  <c r="AZ236" i="71"/>
  <c r="AZ237" i="71"/>
  <c r="AZ238" i="71"/>
  <c r="AZ239" i="71"/>
  <c r="AZ240" i="71"/>
  <c r="AZ241" i="71"/>
  <c r="AZ242" i="71"/>
  <c r="AZ243" i="71"/>
  <c r="AZ244" i="71"/>
  <c r="AZ245" i="71"/>
  <c r="AZ246" i="71"/>
  <c r="BB117" i="71"/>
  <c r="BB118" i="71"/>
  <c r="BB119" i="71"/>
  <c r="BB120" i="71"/>
  <c r="BB121" i="71"/>
  <c r="BB122" i="71"/>
  <c r="BB123" i="71"/>
  <c r="BB124" i="71"/>
  <c r="BB125" i="71"/>
  <c r="BB126" i="71"/>
  <c r="BB127" i="71"/>
  <c r="BB128" i="71"/>
  <c r="BB129" i="71"/>
  <c r="BB130" i="71"/>
  <c r="BB131" i="71"/>
  <c r="BB132" i="71"/>
  <c r="BB133" i="71"/>
  <c r="BB134" i="71"/>
  <c r="BB135" i="71"/>
  <c r="BB136" i="71"/>
  <c r="BB137" i="71"/>
  <c r="BB138" i="71"/>
  <c r="BB139" i="71"/>
  <c r="BB140" i="71"/>
  <c r="BB141" i="71"/>
  <c r="BB142" i="71"/>
  <c r="BB143" i="71"/>
  <c r="BB144" i="71"/>
  <c r="BB145" i="71"/>
  <c r="BB146" i="71"/>
  <c r="BB147" i="71"/>
  <c r="BB148" i="71"/>
  <c r="BB149" i="71"/>
  <c r="BB150" i="71"/>
  <c r="BB104" i="71"/>
  <c r="BB105" i="71"/>
  <c r="BB106" i="71"/>
  <c r="BB107" i="71"/>
  <c r="BB108" i="71"/>
  <c r="BB109" i="71"/>
  <c r="BB110" i="71"/>
  <c r="BB111" i="71"/>
  <c r="BB112" i="71"/>
  <c r="BB113" i="71"/>
  <c r="BB114" i="71"/>
  <c r="BB115" i="71"/>
  <c r="BB116" i="71"/>
  <c r="BB5" i="71"/>
  <c r="BB6" i="71"/>
  <c r="BB7" i="71"/>
  <c r="BB8" i="71"/>
  <c r="BB9" i="71"/>
  <c r="BB11" i="71"/>
  <c r="BB12" i="71"/>
  <c r="BB13" i="71"/>
  <c r="BB14" i="71"/>
  <c r="BB15" i="71"/>
  <c r="BB16" i="71"/>
  <c r="BB17" i="71"/>
  <c r="BB18" i="71"/>
  <c r="BB19" i="71"/>
  <c r="BB20" i="71"/>
  <c r="BB21" i="71"/>
  <c r="BB22" i="71"/>
  <c r="BB23" i="71"/>
  <c r="BB24" i="71"/>
  <c r="BB25" i="71"/>
  <c r="BB26" i="71"/>
  <c r="BB27" i="71"/>
  <c r="BB28" i="71"/>
  <c r="BB29" i="71"/>
  <c r="BB30" i="71"/>
  <c r="BB31" i="71"/>
  <c r="BB32" i="71"/>
  <c r="BB33" i="71"/>
  <c r="BB34" i="71"/>
  <c r="BB35" i="71"/>
  <c r="BB36" i="71"/>
  <c r="BB37" i="71"/>
  <c r="BB38" i="71"/>
  <c r="BB39" i="71"/>
  <c r="BB40" i="71"/>
  <c r="BB41" i="71"/>
  <c r="BB42" i="71"/>
  <c r="BB43" i="71"/>
  <c r="BB44" i="71"/>
  <c r="BB45" i="71"/>
  <c r="BB46" i="71"/>
  <c r="BB47" i="71"/>
  <c r="BB48" i="71"/>
  <c r="BB49" i="71"/>
  <c r="BB50" i="71"/>
  <c r="BB51" i="71"/>
  <c r="BB52" i="71"/>
  <c r="BB53" i="71"/>
  <c r="BB54" i="71"/>
  <c r="BB55" i="71"/>
  <c r="BB56" i="71"/>
  <c r="BB57" i="71"/>
  <c r="BB58" i="71"/>
  <c r="BB59" i="71"/>
  <c r="BB60" i="71"/>
  <c r="BB61" i="71"/>
  <c r="BB62" i="71"/>
  <c r="BB63" i="71"/>
  <c r="BB64" i="71"/>
  <c r="BB65" i="71"/>
  <c r="BB66" i="71"/>
  <c r="BB67" i="71"/>
  <c r="BB68" i="71"/>
  <c r="BB69" i="71"/>
  <c r="BB70" i="71"/>
  <c r="BB71" i="71"/>
  <c r="BB72" i="71"/>
  <c r="BB73" i="71"/>
  <c r="BB74" i="71"/>
  <c r="BB75" i="71"/>
  <c r="BB76" i="71"/>
  <c r="BB77" i="71"/>
  <c r="BB78" i="71"/>
  <c r="BB79" i="71"/>
  <c r="BB80" i="71"/>
  <c r="BB81" i="71"/>
  <c r="BB82" i="71"/>
  <c r="BB83" i="71"/>
  <c r="BB84" i="71"/>
  <c r="BB85" i="71"/>
  <c r="BB86" i="71"/>
  <c r="BB87" i="71"/>
  <c r="BB88" i="71"/>
  <c r="BB89" i="71"/>
  <c r="BB90" i="71"/>
  <c r="BB91" i="71"/>
  <c r="BB92" i="71"/>
  <c r="BB93" i="71"/>
  <c r="BB94" i="71"/>
  <c r="BB95" i="71"/>
  <c r="BB96" i="71"/>
  <c r="BB97" i="71"/>
  <c r="BB98" i="71"/>
  <c r="BB99" i="71"/>
  <c r="BB100" i="71"/>
  <c r="BB101" i="71"/>
  <c r="BB102" i="71"/>
  <c r="BB103" i="71"/>
  <c r="C4" i="72"/>
  <c r="D4" i="72"/>
  <c r="E4" i="72"/>
  <c r="F4" i="72"/>
  <c r="G4" i="72"/>
  <c r="H4" i="72"/>
  <c r="I4" i="72"/>
  <c r="J4" i="72"/>
  <c r="K4" i="72"/>
  <c r="L4" i="72"/>
  <c r="M4" i="72"/>
  <c r="N4" i="72"/>
  <c r="O4" i="72"/>
  <c r="P4" i="72"/>
  <c r="Q4" i="72"/>
  <c r="R4" i="72"/>
  <c r="S4" i="72"/>
  <c r="T4" i="72"/>
  <c r="U4" i="72"/>
  <c r="V4" i="72"/>
  <c r="W4" i="72"/>
  <c r="X4" i="72"/>
  <c r="Y4" i="72"/>
  <c r="Z4" i="72"/>
  <c r="AA4" i="72"/>
  <c r="AB4" i="72"/>
  <c r="AC4" i="72"/>
  <c r="AD4" i="72"/>
  <c r="AE4" i="72"/>
  <c r="AF4" i="72"/>
  <c r="AG4" i="72"/>
  <c r="AH4" i="72"/>
  <c r="AI4" i="72"/>
  <c r="AJ4" i="72"/>
  <c r="AK4" i="72"/>
  <c r="AL4" i="72"/>
  <c r="AM4" i="72"/>
  <c r="AN4" i="72"/>
  <c r="AO4" i="72"/>
  <c r="AP4" i="72"/>
  <c r="AQ4" i="72"/>
  <c r="AR4" i="72"/>
  <c r="AS4" i="72"/>
  <c r="AT4" i="72"/>
  <c r="AU4" i="72"/>
  <c r="AV4" i="72"/>
  <c r="AW4" i="72"/>
  <c r="C5" i="72"/>
  <c r="D5" i="72"/>
  <c r="E5" i="72"/>
  <c r="F5" i="72"/>
  <c r="G5" i="72"/>
  <c r="H5" i="72"/>
  <c r="I5" i="72"/>
  <c r="J5" i="72"/>
  <c r="K5" i="72"/>
  <c r="L5" i="72"/>
  <c r="M5" i="72"/>
  <c r="N5" i="72"/>
  <c r="O5" i="72"/>
  <c r="P5" i="72"/>
  <c r="Q5" i="72"/>
  <c r="R5" i="72"/>
  <c r="S5" i="72"/>
  <c r="T5" i="72"/>
  <c r="U5" i="72"/>
  <c r="V5" i="72"/>
  <c r="W5" i="72"/>
  <c r="X5" i="72"/>
  <c r="Y5" i="72"/>
  <c r="Z5" i="72"/>
  <c r="AA5" i="72"/>
  <c r="AB5" i="72"/>
  <c r="AC5" i="72"/>
  <c r="AD5" i="72"/>
  <c r="AE5" i="72"/>
  <c r="AF5" i="72"/>
  <c r="AG5" i="72"/>
  <c r="AH5" i="72"/>
  <c r="AI5" i="72"/>
  <c r="AJ5" i="72"/>
  <c r="AK5" i="72"/>
  <c r="AL5" i="72"/>
  <c r="AM5" i="72"/>
  <c r="AN5" i="72"/>
  <c r="AO5" i="72"/>
  <c r="AP5" i="72"/>
  <c r="AQ5" i="72"/>
  <c r="AR5" i="72"/>
  <c r="AS5" i="72"/>
  <c r="AT5" i="72"/>
  <c r="AU5" i="72"/>
  <c r="AV5" i="72"/>
  <c r="AW5" i="72"/>
  <c r="C6" i="72"/>
  <c r="D6" i="72"/>
  <c r="E6" i="72"/>
  <c r="F6" i="72"/>
  <c r="G6" i="72"/>
  <c r="H6" i="72"/>
  <c r="I6" i="72"/>
  <c r="J6" i="72"/>
  <c r="K6" i="72"/>
  <c r="L6" i="72"/>
  <c r="M6" i="72"/>
  <c r="N6" i="72"/>
  <c r="O6" i="72"/>
  <c r="P6" i="72"/>
  <c r="Q6" i="72"/>
  <c r="R6" i="72"/>
  <c r="S6" i="72"/>
  <c r="T6" i="72"/>
  <c r="U6" i="72"/>
  <c r="V6" i="72"/>
  <c r="W6" i="72"/>
  <c r="X6" i="72"/>
  <c r="Y6" i="72"/>
  <c r="Z6" i="72"/>
  <c r="AA6" i="72"/>
  <c r="AB6" i="72"/>
  <c r="AC6" i="72"/>
  <c r="AD6" i="72"/>
  <c r="AE6" i="72"/>
  <c r="AF6" i="72"/>
  <c r="AG6" i="72"/>
  <c r="AH6" i="72"/>
  <c r="AI6" i="72"/>
  <c r="AJ6" i="72"/>
  <c r="AK6" i="72"/>
  <c r="AL6" i="72"/>
  <c r="AM6" i="72"/>
  <c r="AN6" i="72"/>
  <c r="AO6" i="72"/>
  <c r="AP6" i="72"/>
  <c r="AQ6" i="72"/>
  <c r="AR6" i="72"/>
  <c r="AS6" i="72"/>
  <c r="AT6" i="72"/>
  <c r="AU6" i="72"/>
  <c r="AV6" i="72"/>
  <c r="AW6" i="72"/>
  <c r="C7" i="72"/>
  <c r="D7" i="72"/>
  <c r="E7" i="72"/>
  <c r="F7" i="72"/>
  <c r="G7" i="72"/>
  <c r="H7" i="72"/>
  <c r="I7" i="72"/>
  <c r="J7" i="72"/>
  <c r="K7" i="72"/>
  <c r="L7" i="72"/>
  <c r="M7" i="72"/>
  <c r="N7" i="72"/>
  <c r="O7" i="72"/>
  <c r="P7" i="72"/>
  <c r="Q7" i="72"/>
  <c r="R7" i="72"/>
  <c r="S7" i="72"/>
  <c r="T7" i="72"/>
  <c r="U7" i="72"/>
  <c r="V7" i="72"/>
  <c r="W7" i="72"/>
  <c r="X7" i="72"/>
  <c r="Y7" i="72"/>
  <c r="Z7" i="72"/>
  <c r="AA7" i="72"/>
  <c r="AB7" i="72"/>
  <c r="AC7" i="72"/>
  <c r="AD7" i="72"/>
  <c r="AE7" i="72"/>
  <c r="AF7" i="72"/>
  <c r="AG7" i="72"/>
  <c r="AH7" i="72"/>
  <c r="AI7" i="72"/>
  <c r="AJ7" i="72"/>
  <c r="AK7" i="72"/>
  <c r="AL7" i="72"/>
  <c r="AM7" i="72"/>
  <c r="AN7" i="72"/>
  <c r="AO7" i="72"/>
  <c r="AP7" i="72"/>
  <c r="AQ7" i="72"/>
  <c r="AR7" i="72"/>
  <c r="AS7" i="72"/>
  <c r="AT7" i="72"/>
  <c r="AU7" i="72"/>
  <c r="AV7" i="72"/>
  <c r="AW7" i="72"/>
  <c r="C8" i="72"/>
  <c r="D8" i="72"/>
  <c r="E8" i="72"/>
  <c r="F8" i="72"/>
  <c r="G8" i="72"/>
  <c r="H8" i="72"/>
  <c r="I8" i="72"/>
  <c r="J8" i="72"/>
  <c r="K8" i="72"/>
  <c r="L8" i="72"/>
  <c r="M8" i="72"/>
  <c r="N8" i="72"/>
  <c r="O8" i="72"/>
  <c r="P8" i="72"/>
  <c r="Q8" i="72"/>
  <c r="R8" i="72"/>
  <c r="S8" i="72"/>
  <c r="T8" i="72"/>
  <c r="U8" i="72"/>
  <c r="V8" i="72"/>
  <c r="W8" i="72"/>
  <c r="X8" i="72"/>
  <c r="Y8" i="72"/>
  <c r="Z8" i="72"/>
  <c r="AA8" i="72"/>
  <c r="AB8" i="72"/>
  <c r="AC8" i="72"/>
  <c r="AD8" i="72"/>
  <c r="AE8" i="72"/>
  <c r="AF8" i="72"/>
  <c r="AG8" i="72"/>
  <c r="AH8" i="72"/>
  <c r="AI8" i="72"/>
  <c r="AJ8" i="72"/>
  <c r="AK8" i="72"/>
  <c r="AL8" i="72"/>
  <c r="AM8" i="72"/>
  <c r="AN8" i="72"/>
  <c r="AO8" i="72"/>
  <c r="AP8" i="72"/>
  <c r="AQ8" i="72"/>
  <c r="AR8" i="72"/>
  <c r="AS8" i="72"/>
  <c r="AT8" i="72"/>
  <c r="AU8" i="72"/>
  <c r="AV8" i="72"/>
  <c r="AW8" i="72"/>
  <c r="C9" i="72"/>
  <c r="D9" i="72"/>
  <c r="E9" i="72"/>
  <c r="F9" i="72"/>
  <c r="G9" i="72"/>
  <c r="H9" i="72"/>
  <c r="I9" i="72"/>
  <c r="J9" i="72"/>
  <c r="K9" i="72"/>
  <c r="L9" i="72"/>
  <c r="M9" i="72"/>
  <c r="N9" i="72"/>
  <c r="O9" i="72"/>
  <c r="P9" i="72"/>
  <c r="Q9" i="72"/>
  <c r="R9" i="72"/>
  <c r="S9" i="72"/>
  <c r="T9" i="72"/>
  <c r="U9" i="72"/>
  <c r="V9" i="72"/>
  <c r="W9" i="72"/>
  <c r="X9" i="72"/>
  <c r="Y9" i="72"/>
  <c r="Z9" i="72"/>
  <c r="AA9" i="72"/>
  <c r="AB9" i="72"/>
  <c r="AC9" i="72"/>
  <c r="AL9" i="72"/>
  <c r="AM9" i="72"/>
  <c r="AN9" i="72"/>
  <c r="AO9" i="72"/>
  <c r="AP9" i="72"/>
  <c r="AQ9" i="72"/>
  <c r="AR9" i="72"/>
  <c r="AS9" i="72"/>
  <c r="AT9" i="72"/>
  <c r="AU9" i="72"/>
  <c r="AV9" i="72"/>
  <c r="AW9" i="72"/>
  <c r="C10" i="72"/>
  <c r="D10" i="72"/>
  <c r="E10" i="72"/>
  <c r="F10" i="72"/>
  <c r="G10" i="72"/>
  <c r="H10" i="72"/>
  <c r="I10" i="72"/>
  <c r="J10" i="72"/>
  <c r="K10" i="72"/>
  <c r="L10" i="72"/>
  <c r="M10" i="72"/>
  <c r="N10" i="72"/>
  <c r="O10" i="72"/>
  <c r="P10" i="72"/>
  <c r="Q10" i="72"/>
  <c r="R10" i="72"/>
  <c r="S10" i="72"/>
  <c r="T10" i="72"/>
  <c r="U10" i="72"/>
  <c r="V10" i="72"/>
  <c r="W10" i="72"/>
  <c r="X10" i="72"/>
  <c r="Y10" i="72"/>
  <c r="Z10" i="72"/>
  <c r="AA10" i="72"/>
  <c r="AB10" i="72"/>
  <c r="AC10" i="72"/>
  <c r="AD10" i="72"/>
  <c r="AE10" i="72"/>
  <c r="AF10" i="72"/>
  <c r="AG10" i="72"/>
  <c r="AH10" i="72"/>
  <c r="AI10" i="72"/>
  <c r="AJ10" i="72"/>
  <c r="AK10" i="72"/>
  <c r="AL10" i="72"/>
  <c r="AM10" i="72"/>
  <c r="AN10" i="72"/>
  <c r="AO10" i="72"/>
  <c r="AP10" i="72"/>
  <c r="AQ10" i="72"/>
  <c r="AR10" i="72"/>
  <c r="AS10" i="72"/>
  <c r="AT10" i="72"/>
  <c r="AU10" i="72"/>
  <c r="AV10" i="72"/>
  <c r="AW10" i="72"/>
  <c r="B10" i="72"/>
  <c r="B9" i="72"/>
  <c r="B8" i="72"/>
  <c r="B7" i="72"/>
  <c r="B6" i="72"/>
  <c r="B5" i="72"/>
  <c r="B4" i="72"/>
  <c r="C15" i="72" l="1"/>
  <c r="AZ4" i="72"/>
  <c r="BB10" i="71"/>
  <c r="K20" i="72"/>
  <c r="D15" i="72"/>
  <c r="F15" i="72"/>
  <c r="E15" i="72"/>
  <c r="G15" i="72"/>
  <c r="L16" i="72"/>
  <c r="N17" i="72"/>
  <c r="J17" i="72"/>
  <c r="L18" i="72"/>
  <c r="N19" i="72"/>
  <c r="J19" i="72"/>
  <c r="L20" i="72"/>
  <c r="N21" i="72"/>
  <c r="J21" i="72"/>
  <c r="I16" i="72"/>
  <c r="I17" i="72"/>
  <c r="I18" i="72"/>
  <c r="N16" i="72"/>
  <c r="M16" i="72"/>
  <c r="K16" i="72"/>
  <c r="J16" i="72"/>
  <c r="M17" i="72"/>
  <c r="L17" i="72"/>
  <c r="K17" i="72"/>
  <c r="N18" i="72"/>
  <c r="M18" i="72"/>
  <c r="K18" i="72"/>
  <c r="J18" i="72"/>
  <c r="M19" i="72"/>
  <c r="L19" i="72"/>
  <c r="K19" i="72"/>
  <c r="I19" i="72"/>
  <c r="N20" i="72"/>
  <c r="M20" i="72"/>
  <c r="J20" i="72"/>
  <c r="I20" i="72"/>
  <c r="M21" i="72"/>
  <c r="L21" i="72"/>
  <c r="K21" i="72"/>
  <c r="I21" i="72"/>
  <c r="I15" i="72"/>
  <c r="N15" i="72"/>
  <c r="M15" i="72"/>
  <c r="L15" i="72"/>
  <c r="K15" i="72"/>
  <c r="J15" i="72"/>
  <c r="F16" i="72"/>
  <c r="H17" i="72"/>
  <c r="D17" i="72"/>
  <c r="F18" i="72"/>
  <c r="H19" i="72"/>
  <c r="D19" i="72"/>
  <c r="F20" i="72"/>
  <c r="H21" i="72"/>
  <c r="D21" i="72"/>
  <c r="G21" i="72"/>
  <c r="H16" i="72"/>
  <c r="G16" i="72"/>
  <c r="E16" i="72"/>
  <c r="D16" i="72"/>
  <c r="G17" i="72"/>
  <c r="F17" i="72"/>
  <c r="E17" i="72"/>
  <c r="H18" i="72"/>
  <c r="G18" i="72"/>
  <c r="E18" i="72"/>
  <c r="D18" i="72"/>
  <c r="G19" i="72"/>
  <c r="F19" i="72"/>
  <c r="E19" i="72"/>
  <c r="H20" i="72"/>
  <c r="G20" i="72"/>
  <c r="E20" i="72"/>
  <c r="D20" i="72"/>
  <c r="F21" i="72"/>
  <c r="E21" i="72"/>
  <c r="H15" i="72"/>
  <c r="O15" i="72" l="1"/>
  <c r="A179" i="71"/>
  <c r="A172" i="71"/>
  <c r="A165" i="71"/>
  <c r="A158" i="71"/>
  <c r="A151" i="71"/>
  <c r="A144" i="71"/>
  <c r="A137" i="71"/>
  <c r="A130" i="71"/>
  <c r="A123" i="71"/>
  <c r="A116" i="71"/>
  <c r="A109" i="71"/>
  <c r="A102" i="71"/>
  <c r="A95" i="71"/>
  <c r="A88" i="71"/>
  <c r="A39" i="71"/>
  <c r="A32" i="71"/>
  <c r="A81" i="71"/>
  <c r="A74" i="71"/>
  <c r="A67" i="71"/>
  <c r="A60" i="71"/>
  <c r="A53" i="71"/>
  <c r="A46" i="71"/>
  <c r="A25" i="71"/>
  <c r="A18" i="71"/>
  <c r="A11" i="71"/>
  <c r="C16" i="72" l="1"/>
  <c r="C17" i="72"/>
  <c r="C18" i="72"/>
  <c r="C19" i="72"/>
  <c r="O19" i="72" s="1"/>
  <c r="C20" i="72"/>
  <c r="C21" i="72"/>
  <c r="AX9" i="72"/>
  <c r="AY5" i="72"/>
  <c r="E7" i="87" s="1"/>
  <c r="AZ5" i="72"/>
  <c r="B16" i="72" s="1"/>
  <c r="AX5" i="72"/>
  <c r="AZ6" i="72"/>
  <c r="B17" i="72" s="1"/>
  <c r="AY6" i="72"/>
  <c r="E8" i="87" s="1"/>
  <c r="AX6" i="72"/>
  <c r="AZ7" i="72"/>
  <c r="B18" i="72" s="1"/>
  <c r="AY7" i="72"/>
  <c r="E9" i="87" s="1"/>
  <c r="AX7" i="72"/>
  <c r="AX8" i="72"/>
  <c r="H10" i="87" s="1"/>
  <c r="C8" i="46" s="1"/>
  <c r="AZ8" i="72"/>
  <c r="B19" i="72" s="1"/>
  <c r="AY8" i="72"/>
  <c r="E10" i="87" s="1"/>
  <c r="AY9" i="72"/>
  <c r="E11" i="87" s="1"/>
  <c r="AZ9" i="72"/>
  <c r="B20" i="72" s="1"/>
  <c r="AZ10" i="72"/>
  <c r="B21" i="72" s="1"/>
  <c r="AY10" i="72"/>
  <c r="E12" i="87" s="1"/>
  <c r="AX10" i="72"/>
  <c r="AX4" i="72"/>
  <c r="B15" i="72"/>
  <c r="AY4" i="72"/>
  <c r="E6" i="87" s="1"/>
  <c r="E8" i="46" l="1"/>
  <c r="E4" i="46"/>
  <c r="H7" i="87"/>
  <c r="H6" i="87"/>
  <c r="H8" i="87"/>
  <c r="H9" i="87"/>
  <c r="H12" i="87"/>
  <c r="H11" i="87"/>
  <c r="O16" i="72"/>
  <c r="O21" i="72"/>
  <c r="O18" i="72"/>
  <c r="O20" i="72"/>
  <c r="O17" i="72"/>
  <c r="E80" i="46"/>
  <c r="C57" i="49"/>
  <c r="C43" i="49"/>
  <c r="C27" i="49"/>
  <c r="C10" i="46" l="1"/>
  <c r="C5" i="46"/>
  <c r="C7" i="46"/>
  <c r="C6" i="46"/>
  <c r="C9" i="46"/>
  <c r="C4" i="46"/>
  <c r="AX56" i="46"/>
  <c r="AT56" i="46"/>
  <c r="AP56" i="46"/>
  <c r="AL56" i="46"/>
  <c r="AH56" i="46"/>
  <c r="A41" i="22"/>
  <c r="A42" i="22"/>
  <c r="A43" i="22"/>
  <c r="A44" i="22"/>
  <c r="A45" i="22"/>
  <c r="A46" i="22"/>
  <c r="A47" i="22"/>
  <c r="A48" i="22"/>
  <c r="A49" i="22"/>
  <c r="A40" i="22"/>
  <c r="A36" i="22"/>
  <c r="A35" i="22"/>
  <c r="A37" i="22"/>
  <c r="A38" i="22"/>
  <c r="A34" i="22"/>
  <c r="A14" i="22"/>
  <c r="A15" i="22"/>
  <c r="B16" i="24" s="1"/>
  <c r="A16" i="22"/>
  <c r="B17" i="24" s="1"/>
  <c r="A17" i="22"/>
  <c r="A18" i="22"/>
  <c r="A19" i="22"/>
  <c r="A20" i="22"/>
  <c r="A21" i="22"/>
  <c r="A22" i="22"/>
  <c r="A23" i="22"/>
  <c r="A24" i="22"/>
  <c r="A25" i="22"/>
  <c r="A26" i="22"/>
  <c r="A27" i="22"/>
  <c r="A28" i="22"/>
  <c r="A29" i="22"/>
  <c r="A30" i="22"/>
  <c r="A31" i="22"/>
  <c r="A32" i="22"/>
  <c r="A13" i="22"/>
  <c r="A4" i="22"/>
  <c r="A5" i="22"/>
  <c r="A6" i="22"/>
  <c r="A7" i="22"/>
  <c r="A8" i="22"/>
  <c r="A9" i="22"/>
  <c r="A10" i="22"/>
  <c r="A11" i="22"/>
  <c r="E5" i="46" l="1"/>
  <c r="E10" i="46"/>
  <c r="E9" i="46"/>
  <c r="E6" i="46"/>
  <c r="E7" i="46"/>
  <c r="G8" i="67"/>
  <c r="E33" i="87" s="1"/>
  <c r="H3" i="66"/>
  <c r="H4" i="66" s="1"/>
  <c r="H10" i="65"/>
  <c r="AH31" i="46" s="1"/>
  <c r="H9" i="65"/>
  <c r="H3" i="65"/>
  <c r="Z31" i="46" l="1"/>
  <c r="AD31" i="46"/>
  <c r="N31" i="46"/>
  <c r="R31" i="46"/>
  <c r="V31" i="46"/>
  <c r="H6" i="65"/>
  <c r="H11" i="65"/>
  <c r="I4" i="66"/>
  <c r="G32" i="87" s="1"/>
  <c r="Z32" i="46"/>
  <c r="V32" i="46"/>
  <c r="AL31" i="46"/>
  <c r="I8" i="67"/>
  <c r="AX33" i="46" l="1"/>
  <c r="G33" i="87"/>
  <c r="H13" i="65"/>
  <c r="I13" i="65" l="1"/>
  <c r="G31" i="87" s="1"/>
  <c r="ED31" i="49"/>
  <c r="CZ31" i="49"/>
  <c r="C26" i="49"/>
  <c r="F26" i="49" s="1"/>
  <c r="G15" i="81" s="1"/>
  <c r="E26" i="49" l="1"/>
  <c r="K14" i="82" s="1"/>
  <c r="C6" i="49" l="1"/>
  <c r="B33" i="49" l="1"/>
  <c r="R56" i="46"/>
  <c r="A3" i="22"/>
  <c r="C19" i="49"/>
  <c r="E19" i="49" s="1"/>
  <c r="K8" i="82" s="1"/>
  <c r="C20" i="49"/>
  <c r="E20" i="49" s="1"/>
  <c r="K9" i="82" s="1"/>
  <c r="C22" i="49"/>
  <c r="E22" i="49" s="1"/>
  <c r="C23" i="49"/>
  <c r="E23" i="49" s="1"/>
  <c r="K11" i="82" s="1"/>
  <c r="C24" i="49"/>
  <c r="E27" i="49"/>
  <c r="K15" i="82" s="1"/>
  <c r="CE62" i="49"/>
  <c r="BA62" i="49"/>
  <c r="W49" i="49"/>
  <c r="BA49" i="49"/>
  <c r="N49" i="49"/>
  <c r="AR49" i="49"/>
  <c r="C59" i="49"/>
  <c r="BV62" i="49"/>
  <c r="C44" i="49"/>
  <c r="E44" i="49" s="1"/>
  <c r="C45" i="49"/>
  <c r="E45" i="49" s="1"/>
  <c r="C46" i="49"/>
  <c r="F46" i="49" s="1"/>
  <c r="FH31" i="49"/>
  <c r="N31" i="49"/>
  <c r="N10" i="49"/>
  <c r="C5" i="49"/>
  <c r="AX118" i="46" l="1"/>
  <c r="N116" i="46"/>
  <c r="AD116" i="46"/>
  <c r="AT116" i="46"/>
  <c r="AP116" i="46"/>
  <c r="R116" i="46"/>
  <c r="AH116" i="46"/>
  <c r="AX116" i="46"/>
  <c r="Z116" i="46"/>
  <c r="V116" i="46"/>
  <c r="AL116" i="46"/>
  <c r="J116" i="46"/>
  <c r="J120" i="46"/>
  <c r="AL120" i="46"/>
  <c r="F120" i="46"/>
  <c r="AT120" i="46"/>
  <c r="F119" i="46"/>
  <c r="J119" i="46"/>
  <c r="N119" i="46"/>
  <c r="R117" i="46"/>
  <c r="V117" i="46"/>
  <c r="E24" i="49"/>
  <c r="E46" i="49"/>
  <c r="D33" i="49"/>
  <c r="C29" i="49"/>
  <c r="C30" i="49" s="1"/>
  <c r="C52" i="49"/>
  <c r="C51" i="49"/>
  <c r="F44" i="49"/>
  <c r="F45" i="49"/>
  <c r="K12" i="82" l="1"/>
  <c r="E29" i="49"/>
  <c r="E30" i="49" s="1"/>
  <c r="BV31" i="49" l="1"/>
  <c r="AR31" i="49"/>
  <c r="C33" i="49" l="1"/>
  <c r="C47" i="49"/>
  <c r="F5" i="49"/>
  <c r="G4" i="81" s="1"/>
  <c r="A3" i="52"/>
  <c r="A39" i="52"/>
  <c r="A33" i="52"/>
  <c r="A12" i="52"/>
  <c r="A2" i="52"/>
  <c r="D185" i="46"/>
  <c r="D150" i="46"/>
  <c r="A56" i="49" l="1"/>
  <c r="A39" i="22"/>
  <c r="A33" i="22"/>
  <c r="B34" i="49"/>
  <c r="F20" i="49"/>
  <c r="G9" i="81" s="1"/>
  <c r="D4" i="81" l="1"/>
  <c r="E4" i="82"/>
  <c r="D8" i="81"/>
  <c r="E8" i="82"/>
  <c r="DI31" i="49"/>
  <c r="D37" i="49" s="1"/>
  <c r="W31" i="49"/>
  <c r="EM31" i="49"/>
  <c r="FQ31" i="49"/>
  <c r="AH115" i="46"/>
  <c r="AX115" i="46"/>
  <c r="AL115" i="46"/>
  <c r="AP115" i="46"/>
  <c r="AT115" i="46"/>
  <c r="BA31" i="49"/>
  <c r="F19" i="49"/>
  <c r="G8" i="81" s="1"/>
  <c r="N115" i="46"/>
  <c r="F115" i="46"/>
  <c r="CE31" i="49"/>
  <c r="R115" i="46"/>
  <c r="AD115" i="46"/>
  <c r="Z115" i="46"/>
  <c r="V115" i="46"/>
  <c r="J115" i="46"/>
  <c r="V18" i="46" l="1"/>
  <c r="E37" i="49"/>
  <c r="Z18" i="46" s="1"/>
  <c r="F37" i="49"/>
  <c r="AD18" i="46" s="1"/>
  <c r="C34" i="49"/>
  <c r="A12" i="22" l="1"/>
  <c r="A2" i="22"/>
  <c r="C12" i="49"/>
  <c r="AR62" i="49"/>
  <c r="N62" i="49"/>
  <c r="W62" i="49"/>
  <c r="C58" i="49"/>
  <c r="E58" i="49" s="1"/>
  <c r="F59" i="49"/>
  <c r="AD56" i="46"/>
  <c r="F43" i="49"/>
  <c r="G18" i="81" s="1"/>
  <c r="F23" i="49"/>
  <c r="G12" i="81" s="1"/>
  <c r="F24" i="49"/>
  <c r="G13" i="81" s="1"/>
  <c r="F27" i="49"/>
  <c r="G16" i="81" s="1"/>
  <c r="V56" i="46"/>
  <c r="Z56" i="46"/>
  <c r="A9" i="72"/>
  <c r="A20" i="72" s="1"/>
  <c r="B15" i="24"/>
  <c r="C64" i="49" l="1"/>
  <c r="AT9" i="46"/>
  <c r="AL9" i="46"/>
  <c r="F9" i="46"/>
  <c r="B13" i="24"/>
  <c r="E59" i="49"/>
  <c r="C60" i="49"/>
  <c r="C61" i="49" s="1"/>
  <c r="E43" i="49"/>
  <c r="K17" i="82" s="1"/>
  <c r="F47" i="49"/>
  <c r="F57" i="49"/>
  <c r="G20" i="81" s="1"/>
  <c r="E57" i="49"/>
  <c r="K19" i="82" s="1"/>
  <c r="F58" i="49"/>
  <c r="F22" i="49"/>
  <c r="J9" i="46"/>
  <c r="AD9" i="46"/>
  <c r="Z9" i="46"/>
  <c r="BB80" i="46"/>
  <c r="A17" i="49"/>
  <c r="A4" i="49"/>
  <c r="F29" i="49" l="1"/>
  <c r="F30" i="49" s="1"/>
  <c r="G11" i="81"/>
  <c r="E60" i="49"/>
  <c r="E61" i="49" s="1"/>
  <c r="F60" i="49"/>
  <c r="F61" i="49" s="1"/>
  <c r="E47" i="49"/>
  <c r="C65" i="49"/>
  <c r="W10" i="49"/>
  <c r="D13" i="49" l="1"/>
  <c r="F13" i="49" s="1"/>
  <c r="C13" i="49"/>
  <c r="A5" i="72"/>
  <c r="A16" i="72" s="1"/>
  <c r="A6" i="72"/>
  <c r="A17" i="72" s="1"/>
  <c r="A7" i="72"/>
  <c r="A18" i="72" s="1"/>
  <c r="A8" i="72"/>
  <c r="A19" i="72" s="1"/>
  <c r="A10" i="72"/>
  <c r="A21" i="72" s="1"/>
  <c r="R119" i="46"/>
  <c r="F5" i="46" l="1"/>
  <c r="AD6" i="46"/>
  <c r="V8" i="46"/>
  <c r="J6" i="46"/>
  <c r="AL6" i="46"/>
  <c r="AH6" i="46"/>
  <c r="AD10" i="46"/>
  <c r="AH10" i="46"/>
  <c r="AT10" i="46"/>
  <c r="AL10" i="46"/>
  <c r="AX10" i="46"/>
  <c r="AP10" i="46"/>
  <c r="J5" i="46"/>
  <c r="F7" i="46"/>
  <c r="N7" i="46"/>
  <c r="J7" i="46"/>
  <c r="AH5" i="46"/>
  <c r="AT5" i="46"/>
  <c r="AL5" i="46"/>
  <c r="AP5" i="46"/>
  <c r="F116" i="46"/>
  <c r="Z120" i="46"/>
  <c r="AD120" i="46"/>
  <c r="V119" i="46"/>
  <c r="R6" i="46"/>
  <c r="N6" i="46"/>
  <c r="V6" i="46"/>
  <c r="F6" i="46"/>
  <c r="Z6" i="46"/>
  <c r="N8" i="46"/>
  <c r="J8" i="46"/>
  <c r="R8" i="46"/>
  <c r="V10" i="46"/>
  <c r="R10" i="46"/>
  <c r="F10" i="46"/>
  <c r="J10" i="46"/>
  <c r="Z10" i="46"/>
  <c r="N10" i="46"/>
  <c r="N5" i="46"/>
  <c r="AD5" i="46"/>
  <c r="R5" i="46"/>
  <c r="Z5" i="46"/>
  <c r="V5" i="46"/>
  <c r="V7" i="46"/>
  <c r="R7" i="46"/>
  <c r="D11" i="22"/>
  <c r="E48" i="49" l="1"/>
  <c r="E6" i="49"/>
  <c r="K5" i="82" s="1"/>
  <c r="E5" i="49"/>
  <c r="K4" i="82" s="1"/>
  <c r="D28" i="17"/>
  <c r="D21" i="17"/>
  <c r="K20" i="82" l="1"/>
  <c r="E17" i="87" s="1"/>
  <c r="E8" i="49"/>
  <c r="C48" i="49"/>
  <c r="C8" i="49"/>
  <c r="C9" i="49" s="1"/>
  <c r="F48" i="49"/>
  <c r="F6" i="49"/>
  <c r="G5" i="81" s="1"/>
  <c r="G21" i="81" s="1"/>
  <c r="E18" i="87" s="1"/>
  <c r="E9" i="49" l="1"/>
  <c r="E69" i="49" s="1"/>
  <c r="B72" i="49" s="1"/>
  <c r="C69" i="49"/>
  <c r="F8" i="49"/>
  <c r="F9" i="49" s="1"/>
  <c r="F69" i="49" s="1"/>
  <c r="B73" i="49" l="1"/>
  <c r="B51" i="49"/>
  <c r="D46" i="17"/>
  <c r="C72" i="49" l="1"/>
  <c r="D72" i="49" s="1"/>
  <c r="E51" i="49"/>
  <c r="AL17" i="46" s="1"/>
  <c r="D51" i="49"/>
  <c r="AH17" i="46" s="1"/>
  <c r="AL4" i="46"/>
  <c r="AX4" i="46"/>
  <c r="AH4" i="46"/>
  <c r="AT4" i="46"/>
  <c r="F4" i="46"/>
  <c r="AP4" i="46"/>
  <c r="AD4" i="46"/>
  <c r="B64" i="49"/>
  <c r="R4" i="46"/>
  <c r="J4" i="46"/>
  <c r="Z4" i="46"/>
  <c r="N4" i="46"/>
  <c r="V4" i="46"/>
  <c r="D12" i="49"/>
  <c r="F64" i="49" l="1"/>
  <c r="AX17" i="46" s="1"/>
  <c r="E64" i="49"/>
  <c r="AT17" i="46" s="1"/>
  <c r="D64" i="49"/>
  <c r="F51" i="49"/>
  <c r="F36" i="49"/>
  <c r="AD17" i="46" s="1"/>
  <c r="D36" i="49"/>
  <c r="V17" i="46" s="1"/>
  <c r="E36" i="49"/>
  <c r="Z17" i="46" s="1"/>
  <c r="F12" i="49"/>
  <c r="F17" i="46"/>
  <c r="E33" i="49"/>
  <c r="N17" i="46" s="1"/>
  <c r="F33" i="49"/>
  <c r="R17" i="46" s="1"/>
  <c r="B52" i="49"/>
  <c r="B3" i="24"/>
  <c r="E52" i="49" l="1"/>
  <c r="D52" i="49"/>
  <c r="F52" i="49" s="1"/>
  <c r="AP17" i="46"/>
  <c r="G64" i="49"/>
  <c r="C73" i="49"/>
  <c r="D73" i="49" s="1"/>
  <c r="AL18" i="46"/>
  <c r="G36" i="49"/>
  <c r="J17" i="46"/>
  <c r="B65" i="49"/>
  <c r="F65" i="49" l="1"/>
  <c r="E65" i="49"/>
  <c r="D74" i="49"/>
  <c r="AT18" i="46"/>
  <c r="AX18" i="46"/>
  <c r="AH18" i="46"/>
  <c r="F18" i="46"/>
  <c r="D65" i="49"/>
  <c r="D34" i="49"/>
  <c r="E34" i="49"/>
  <c r="N18" i="46" s="1"/>
  <c r="F34" i="49"/>
  <c r="R18" i="46" s="1"/>
  <c r="J18" i="46" l="1"/>
  <c r="G37" i="49"/>
  <c r="G65" i="49"/>
  <c r="AP18" i="46"/>
  <c r="D48" i="17" l="1"/>
  <c r="D33" i="17"/>
  <c r="D9" i="17"/>
  <c r="E17" i="89" l="1"/>
  <c r="H17" i="89" s="1"/>
  <c r="E16" i="89"/>
  <c r="H16" i="89" s="1"/>
  <c r="F22" i="87"/>
  <c r="I22" i="87" s="1"/>
  <c r="BC22" i="46" s="1"/>
  <c r="F33" i="87"/>
  <c r="I33" i="87" s="1"/>
  <c r="BC33" i="46" s="1"/>
  <c r="F19" i="87"/>
  <c r="I19" i="87" s="1"/>
  <c r="BC19" i="46" s="1"/>
  <c r="F32" i="87"/>
  <c r="I32" i="87" s="1"/>
  <c r="BC32" i="46" s="1"/>
  <c r="F18" i="87"/>
  <c r="I18" i="87" s="1"/>
  <c r="BC18" i="46" s="1"/>
  <c r="F31" i="87"/>
  <c r="I31" i="87" s="1"/>
  <c r="BC31" i="46" s="1"/>
  <c r="F17" i="87"/>
  <c r="I17" i="87" s="1"/>
  <c r="F30" i="87"/>
  <c r="I30" i="87" s="1"/>
  <c r="BC30" i="46" s="1"/>
  <c r="F29" i="87"/>
  <c r="I29" i="87" s="1"/>
  <c r="BC29" i="46" s="1"/>
  <c r="F28" i="87"/>
  <c r="I28" i="87" s="1"/>
  <c r="BC28" i="46" s="1"/>
  <c r="F27" i="87"/>
  <c r="I27" i="87" s="1"/>
  <c r="BC27" i="46" s="1"/>
  <c r="F26" i="87"/>
  <c r="I26" i="87" s="1"/>
  <c r="BC26" i="46" s="1"/>
  <c r="F25" i="87"/>
  <c r="I25" i="87" s="1"/>
  <c r="BC25" i="46" s="1"/>
  <c r="F24" i="87"/>
  <c r="I24" i="87" s="1"/>
  <c r="BC24" i="46" s="1"/>
  <c r="F23" i="87"/>
  <c r="I23" i="87" s="1"/>
  <c r="BC23" i="46" s="1"/>
  <c r="F21" i="87"/>
  <c r="I21" i="87" s="1"/>
  <c r="BC21" i="46" s="1"/>
  <c r="F20" i="87"/>
  <c r="I20" i="87" s="1"/>
  <c r="BC20" i="46" s="1"/>
  <c r="E128" i="46"/>
  <c r="E34" i="46"/>
  <c r="E72" i="49"/>
  <c r="E73" i="49"/>
  <c r="D35" i="17"/>
  <c r="BB28" i="46" l="1"/>
  <c r="BD28" i="46" s="1"/>
  <c r="BB29" i="46"/>
  <c r="BB30" i="46"/>
  <c r="BD30" i="46" s="1"/>
  <c r="AH66" i="46"/>
  <c r="AH59" i="46"/>
  <c r="BB27" i="46"/>
  <c r="BD27" i="46" s="1"/>
  <c r="BB25" i="46"/>
  <c r="BB26" i="46"/>
  <c r="BD26" i="46" s="1"/>
  <c r="AD66" i="46"/>
  <c r="AD59" i="46"/>
  <c r="BB24" i="46"/>
  <c r="R63" i="46"/>
  <c r="AT59" i="46"/>
  <c r="V66" i="46"/>
  <c r="BB23" i="46"/>
  <c r="V59" i="46"/>
  <c r="BB22" i="46"/>
  <c r="BD22" i="46" s="1"/>
  <c r="AL69" i="46"/>
  <c r="R84" i="46"/>
  <c r="AL74" i="46"/>
  <c r="AP59" i="46"/>
  <c r="BB32" i="46"/>
  <c r="BD32" i="46" s="1"/>
  <c r="AL59" i="46"/>
  <c r="BB31" i="46"/>
  <c r="BD31" i="46" s="1"/>
  <c r="BB33" i="46"/>
  <c r="BD33" i="46" s="1"/>
  <c r="J66" i="46"/>
  <c r="BD29" i="46"/>
  <c r="BC17" i="46"/>
  <c r="I34" i="87"/>
  <c r="BC125" i="46"/>
  <c r="H18" i="89"/>
  <c r="D125" i="46"/>
  <c r="BC126" i="46"/>
  <c r="D126" i="46"/>
  <c r="BB21" i="46"/>
  <c r="BD21" i="46" s="1"/>
  <c r="BB18" i="46"/>
  <c r="BB20" i="46"/>
  <c r="BB19" i="46"/>
  <c r="BB17" i="46"/>
  <c r="AT79" i="46"/>
  <c r="AT80" i="46" s="1"/>
  <c r="V90" i="46"/>
  <c r="V91" i="46" s="1"/>
  <c r="R105" i="46"/>
  <c r="R107" i="46" s="1"/>
  <c r="AP128" i="46"/>
  <c r="AH128" i="46"/>
  <c r="AX128" i="46"/>
  <c r="V106" i="46"/>
  <c r="V107" i="46" s="1"/>
  <c r="V95" i="46"/>
  <c r="R95" i="46"/>
  <c r="AX80" i="46"/>
  <c r="AD80" i="46"/>
  <c r="N90" i="46"/>
  <c r="N91" i="46" s="1"/>
  <c r="R86" i="46"/>
  <c r="R91" i="46" s="1"/>
  <c r="AL76" i="46"/>
  <c r="AH80" i="46"/>
  <c r="Z91" i="46"/>
  <c r="AP70" i="46"/>
  <c r="AP80" i="46" s="1"/>
  <c r="AL75" i="46"/>
  <c r="AL80" i="46" s="1"/>
  <c r="N106" i="46"/>
  <c r="N107" i="46" s="1"/>
  <c r="J106" i="46"/>
  <c r="J107" i="46" s="1"/>
  <c r="R59" i="46"/>
  <c r="V84" i="46"/>
  <c r="J95" i="46"/>
  <c r="N95" i="46"/>
  <c r="J90" i="46"/>
  <c r="J91" i="46" s="1"/>
  <c r="J84" i="46"/>
  <c r="N84" i="46"/>
  <c r="N65" i="46"/>
  <c r="J70" i="46"/>
  <c r="J61" i="46"/>
  <c r="N66" i="46"/>
  <c r="J63" i="46"/>
  <c r="N79" i="46"/>
  <c r="N63" i="46"/>
  <c r="N70" i="46"/>
  <c r="N61" i="46"/>
  <c r="J65" i="46"/>
  <c r="J79" i="46"/>
  <c r="N59" i="46"/>
  <c r="BD20" i="46"/>
  <c r="Z34" i="46"/>
  <c r="J45" i="46"/>
  <c r="J49" i="46" s="1"/>
  <c r="V34" i="46"/>
  <c r="J59" i="46"/>
  <c r="AL34" i="46"/>
  <c r="AT34" i="46"/>
  <c r="F34" i="46"/>
  <c r="AH34" i="46"/>
  <c r="AX34" i="46"/>
  <c r="N45" i="46"/>
  <c r="AP34" i="46"/>
  <c r="D36" i="17"/>
  <c r="D37" i="17" s="1"/>
  <c r="BD17" i="46" l="1"/>
  <c r="BE128" i="46"/>
  <c r="E122" i="46"/>
  <c r="AL122" i="46" s="1"/>
  <c r="E6" i="89"/>
  <c r="F6" i="89" s="1"/>
  <c r="H6" i="89" s="1"/>
  <c r="BC116" i="46" s="1"/>
  <c r="E7" i="89"/>
  <c r="F7" i="89" s="1"/>
  <c r="H7" i="89" s="1"/>
  <c r="BC117" i="46" s="1"/>
  <c r="E8" i="89"/>
  <c r="F8" i="89" s="1"/>
  <c r="H8" i="89" s="1"/>
  <c r="BC118" i="46" s="1"/>
  <c r="E9" i="89"/>
  <c r="F9" i="89" s="1"/>
  <c r="H9" i="89" s="1"/>
  <c r="BC119" i="46" s="1"/>
  <c r="E10" i="89"/>
  <c r="F10" i="89" s="1"/>
  <c r="H10" i="89" s="1"/>
  <c r="BC120" i="46" s="1"/>
  <c r="E5" i="89"/>
  <c r="F5" i="89" s="1"/>
  <c r="H5" i="89" s="1"/>
  <c r="F6" i="87"/>
  <c r="BC34" i="46"/>
  <c r="BB34" i="46"/>
  <c r="AT125" i="46"/>
  <c r="F188" i="46" s="1"/>
  <c r="F198" i="46" s="1"/>
  <c r="F200" i="46" s="1"/>
  <c r="J125" i="46"/>
  <c r="R125" i="46"/>
  <c r="N125" i="46"/>
  <c r="F125" i="46"/>
  <c r="V125" i="46"/>
  <c r="AD125" i="46"/>
  <c r="AL125" i="46"/>
  <c r="F178" i="46" s="1"/>
  <c r="F184" i="46" s="1"/>
  <c r="F185" i="46" s="1"/>
  <c r="AT126" i="46"/>
  <c r="V126" i="46"/>
  <c r="AL126" i="46"/>
  <c r="AD126" i="46"/>
  <c r="F126" i="46"/>
  <c r="J138" i="46" s="1"/>
  <c r="AX122" i="46"/>
  <c r="AH122" i="46"/>
  <c r="N122" i="46"/>
  <c r="J122" i="46"/>
  <c r="AP122" i="46"/>
  <c r="Z122" i="46"/>
  <c r="AD122" i="46"/>
  <c r="V122" i="46"/>
  <c r="N80" i="46"/>
  <c r="J80" i="46"/>
  <c r="J54" i="46"/>
  <c r="N126" i="46"/>
  <c r="R126" i="46"/>
  <c r="J126" i="46"/>
  <c r="BC128" i="46"/>
  <c r="BD128" i="46" s="1"/>
  <c r="N54" i="46"/>
  <c r="N49" i="46"/>
  <c r="E12" i="46"/>
  <c r="BB115" i="46" s="1"/>
  <c r="F7" i="87" l="1"/>
  <c r="G6" i="87"/>
  <c r="I6" i="87" s="1"/>
  <c r="F122" i="46"/>
  <c r="E138" i="46" s="1"/>
  <c r="R122" i="46"/>
  <c r="BB125" i="46"/>
  <c r="H11" i="89"/>
  <c r="BC115" i="46"/>
  <c r="AT122" i="46"/>
  <c r="BD34" i="46"/>
  <c r="BD35" i="46"/>
  <c r="V128" i="46"/>
  <c r="E188" i="46"/>
  <c r="F153" i="46"/>
  <c r="F138" i="46"/>
  <c r="BD125" i="46"/>
  <c r="E153" i="46"/>
  <c r="AT128" i="46"/>
  <c r="D133" i="46" s="1"/>
  <c r="E39" i="76" s="1"/>
  <c r="J188" i="46"/>
  <c r="J198" i="46" s="1"/>
  <c r="J200" i="46" s="1"/>
  <c r="E178" i="46"/>
  <c r="AL128" i="46"/>
  <c r="D132" i="46" s="1"/>
  <c r="E33" i="76" s="1"/>
  <c r="J178" i="46"/>
  <c r="J184" i="46" s="1"/>
  <c r="J185" i="46" s="1"/>
  <c r="J153" i="46"/>
  <c r="J174" i="46" s="1"/>
  <c r="E141" i="46"/>
  <c r="N141" i="46" s="1"/>
  <c r="E143" i="46"/>
  <c r="E147" i="46"/>
  <c r="N147" i="46" s="1"/>
  <c r="E144" i="46"/>
  <c r="N144" i="46" s="1"/>
  <c r="E148" i="46"/>
  <c r="E145" i="46"/>
  <c r="N145" i="46" s="1"/>
  <c r="E149" i="46"/>
  <c r="N149" i="46" s="1"/>
  <c r="E142" i="46"/>
  <c r="N142" i="46" s="1"/>
  <c r="E146" i="46"/>
  <c r="N146" i="46" s="1"/>
  <c r="J148" i="46"/>
  <c r="J143" i="46"/>
  <c r="BB126" i="46"/>
  <c r="BD126" i="46" s="1"/>
  <c r="F128" i="46"/>
  <c r="D130" i="46" s="1"/>
  <c r="E2" i="76" s="1"/>
  <c r="BB117" i="46"/>
  <c r="BB118" i="46"/>
  <c r="BB119" i="46"/>
  <c r="BB116" i="46"/>
  <c r="BB120" i="46"/>
  <c r="BC122" i="46"/>
  <c r="R128" i="46"/>
  <c r="N56" i="46"/>
  <c r="J128" i="46"/>
  <c r="N128" i="46"/>
  <c r="Z128" i="46"/>
  <c r="AD128" i="46"/>
  <c r="J56" i="46"/>
  <c r="BB9" i="46"/>
  <c r="BB8" i="46"/>
  <c r="BB7" i="46"/>
  <c r="BB6" i="46"/>
  <c r="BB5" i="46"/>
  <c r="BB10" i="46"/>
  <c r="AX12" i="46"/>
  <c r="AP12" i="46"/>
  <c r="AT12" i="46"/>
  <c r="AL12" i="46"/>
  <c r="AH12" i="46"/>
  <c r="BB4" i="46"/>
  <c r="AD12" i="46"/>
  <c r="N34" i="46"/>
  <c r="R34" i="46"/>
  <c r="Z80" i="46"/>
  <c r="F12" i="46"/>
  <c r="D37" i="46" s="1"/>
  <c r="Z12" i="46"/>
  <c r="V12" i="46"/>
  <c r="R12" i="46"/>
  <c r="J12" i="46"/>
  <c r="N12" i="46"/>
  <c r="BC4" i="46" l="1"/>
  <c r="BE122" i="46"/>
  <c r="BD122" i="46" s="1"/>
  <c r="G20" i="89"/>
  <c r="F8" i="87"/>
  <c r="G7" i="87"/>
  <c r="I7" i="87" s="1"/>
  <c r="BC5" i="46" s="1"/>
  <c r="D39" i="46"/>
  <c r="E2" i="75"/>
  <c r="E192" i="46"/>
  <c r="N192" i="46" s="1"/>
  <c r="E196" i="46"/>
  <c r="N196" i="46" s="1"/>
  <c r="E193" i="46"/>
  <c r="N193" i="46" s="1"/>
  <c r="E197" i="46"/>
  <c r="N197" i="46" s="1"/>
  <c r="E190" i="46"/>
  <c r="N190" i="46" s="1"/>
  <c r="E194" i="46"/>
  <c r="N194" i="46" s="1"/>
  <c r="E198" i="46"/>
  <c r="N198" i="46" s="1"/>
  <c r="E191" i="46"/>
  <c r="N191" i="46" s="1"/>
  <c r="E195" i="46"/>
  <c r="N195" i="46" s="1"/>
  <c r="E199" i="46"/>
  <c r="N199" i="46" s="1"/>
  <c r="F174" i="46"/>
  <c r="F161" i="46"/>
  <c r="F158" i="46"/>
  <c r="F160" i="46"/>
  <c r="F165" i="46"/>
  <c r="F156" i="46"/>
  <c r="F148" i="46"/>
  <c r="N148" i="46" s="1"/>
  <c r="F143" i="46"/>
  <c r="D131" i="46"/>
  <c r="E181" i="46"/>
  <c r="N181" i="46" s="1"/>
  <c r="E183" i="46"/>
  <c r="N183" i="46" s="1"/>
  <c r="E182" i="46"/>
  <c r="N182" i="46" s="1"/>
  <c r="E184" i="46"/>
  <c r="N184" i="46" s="1"/>
  <c r="J158" i="46"/>
  <c r="J160" i="46"/>
  <c r="J165" i="46"/>
  <c r="J156" i="46"/>
  <c r="J161" i="46"/>
  <c r="E157" i="46"/>
  <c r="N157" i="46" s="1"/>
  <c r="E161" i="46"/>
  <c r="E165" i="46"/>
  <c r="E169" i="46"/>
  <c r="N169" i="46" s="1"/>
  <c r="E173" i="46"/>
  <c r="N173" i="46" s="1"/>
  <c r="E160" i="46"/>
  <c r="E156" i="46"/>
  <c r="E158" i="46"/>
  <c r="E166" i="46"/>
  <c r="N166" i="46" s="1"/>
  <c r="E170" i="46"/>
  <c r="N170" i="46" s="1"/>
  <c r="E174" i="46"/>
  <c r="E163" i="46"/>
  <c r="N163" i="46" s="1"/>
  <c r="E167" i="46"/>
  <c r="N167" i="46" s="1"/>
  <c r="E171" i="46"/>
  <c r="N171" i="46" s="1"/>
  <c r="E164" i="46"/>
  <c r="N164" i="46" s="1"/>
  <c r="E168" i="46"/>
  <c r="N168" i="46" s="1"/>
  <c r="E172" i="46"/>
  <c r="N172" i="46" s="1"/>
  <c r="J150" i="46"/>
  <c r="D40" i="46"/>
  <c r="E39" i="75" s="1"/>
  <c r="F95" i="46"/>
  <c r="F84" i="46"/>
  <c r="F90" i="46" s="1"/>
  <c r="D90" i="46" s="1"/>
  <c r="F59" i="46"/>
  <c r="F45" i="46"/>
  <c r="F47" i="46" s="1"/>
  <c r="E33" i="52"/>
  <c r="E180" i="46"/>
  <c r="BC12" i="46"/>
  <c r="AD34" i="46"/>
  <c r="V80" i="46"/>
  <c r="J34" i="46"/>
  <c r="BD18" i="46"/>
  <c r="G21" i="89" l="1"/>
  <c r="G22" i="89" s="1"/>
  <c r="H38" i="87"/>
  <c r="H39" i="87" s="1"/>
  <c r="D135" i="46"/>
  <c r="N174" i="46"/>
  <c r="F9" i="87"/>
  <c r="G8" i="87"/>
  <c r="I8" i="87" s="1"/>
  <c r="BC6" i="46" s="1"/>
  <c r="E33" i="75"/>
  <c r="D38" i="46"/>
  <c r="N158" i="46"/>
  <c r="N201" i="46"/>
  <c r="R199" i="46" s="1"/>
  <c r="F150" i="46"/>
  <c r="E200" i="46"/>
  <c r="F175" i="46"/>
  <c r="N143" i="46"/>
  <c r="E12" i="52"/>
  <c r="E12" i="76"/>
  <c r="E50" i="76" s="1"/>
  <c r="E51" i="76" s="1"/>
  <c r="E52" i="76" s="1"/>
  <c r="E53" i="76" s="1"/>
  <c r="N156" i="46"/>
  <c r="E175" i="46"/>
  <c r="N161" i="46"/>
  <c r="N160" i="46"/>
  <c r="N165" i="46"/>
  <c r="J175" i="46"/>
  <c r="E150" i="46"/>
  <c r="E39" i="52"/>
  <c r="E33" i="22"/>
  <c r="E2" i="22"/>
  <c r="F105" i="46"/>
  <c r="F106" i="46"/>
  <c r="F103" i="46"/>
  <c r="F104" i="46"/>
  <c r="F101" i="46"/>
  <c r="F102" i="46"/>
  <c r="F99" i="46"/>
  <c r="F100" i="46"/>
  <c r="F97" i="46"/>
  <c r="F98" i="46"/>
  <c r="F88" i="46"/>
  <c r="D88" i="46" s="1"/>
  <c r="F89" i="46"/>
  <c r="D89" i="46" s="1"/>
  <c r="F86" i="46"/>
  <c r="D86" i="46" s="1"/>
  <c r="F87" i="46"/>
  <c r="D87" i="46" s="1"/>
  <c r="F61" i="46"/>
  <c r="D61" i="46" s="1"/>
  <c r="F62" i="46"/>
  <c r="D62" i="46" s="1"/>
  <c r="F66" i="46"/>
  <c r="D66" i="46" s="1"/>
  <c r="F70" i="46"/>
  <c r="D70" i="46" s="1"/>
  <c r="F74" i="46"/>
  <c r="D74" i="46" s="1"/>
  <c r="F78" i="46"/>
  <c r="D78" i="46" s="1"/>
  <c r="F69" i="46"/>
  <c r="D69" i="46" s="1"/>
  <c r="F63" i="46"/>
  <c r="D63" i="46" s="1"/>
  <c r="F71" i="46"/>
  <c r="D71" i="46" s="1"/>
  <c r="F75" i="46"/>
  <c r="D75" i="46" s="1"/>
  <c r="F79" i="46"/>
  <c r="D79" i="46" s="1"/>
  <c r="F73" i="46"/>
  <c r="D73" i="46" s="1"/>
  <c r="F68" i="46"/>
  <c r="D68" i="46" s="1"/>
  <c r="F72" i="46"/>
  <c r="D72" i="46" s="1"/>
  <c r="F76" i="46"/>
  <c r="D76" i="46" s="1"/>
  <c r="F65" i="46"/>
  <c r="D65" i="46" s="1"/>
  <c r="F77" i="46"/>
  <c r="D77" i="46" s="1"/>
  <c r="D47" i="46"/>
  <c r="F48" i="46"/>
  <c r="D48" i="46" s="1"/>
  <c r="F52" i="46"/>
  <c r="D52" i="46" s="1"/>
  <c r="F50" i="46"/>
  <c r="D50" i="46" s="1"/>
  <c r="F55" i="46"/>
  <c r="D55" i="46" s="1"/>
  <c r="F49" i="46"/>
  <c r="D49" i="46" s="1"/>
  <c r="F53" i="46"/>
  <c r="D53" i="46" s="1"/>
  <c r="F54" i="46"/>
  <c r="D54" i="46" s="1"/>
  <c r="F51" i="46"/>
  <c r="D51" i="46" s="1"/>
  <c r="D134" i="46"/>
  <c r="E131" i="46" s="1"/>
  <c r="B12" i="76" s="1"/>
  <c r="E2" i="52"/>
  <c r="E185" i="46"/>
  <c r="N180" i="46"/>
  <c r="E39" i="22"/>
  <c r="BD19" i="46"/>
  <c r="R80" i="46"/>
  <c r="BD4" i="46"/>
  <c r="F10" i="87" l="1"/>
  <c r="G9" i="87"/>
  <c r="I9" i="87" s="1"/>
  <c r="E135" i="46"/>
  <c r="D91" i="46"/>
  <c r="D56" i="46"/>
  <c r="E12" i="75"/>
  <c r="E50" i="75" s="1"/>
  <c r="E51" i="75" s="1"/>
  <c r="E52" i="75" s="1"/>
  <c r="D41" i="46"/>
  <c r="E50" i="52"/>
  <c r="E51" i="52" s="1"/>
  <c r="E52" i="52" s="1"/>
  <c r="R190" i="46"/>
  <c r="R194" i="46"/>
  <c r="R198" i="46"/>
  <c r="R191" i="46"/>
  <c r="R195" i="46"/>
  <c r="R193" i="46"/>
  <c r="R192" i="46"/>
  <c r="R196" i="46"/>
  <c r="R197" i="46"/>
  <c r="F107" i="46"/>
  <c r="D97" i="46"/>
  <c r="D98" i="46"/>
  <c r="D99" i="46"/>
  <c r="F91" i="46"/>
  <c r="F80" i="46"/>
  <c r="E130" i="46"/>
  <c r="B2" i="76" s="1"/>
  <c r="E132" i="46"/>
  <c r="B33" i="76" s="1"/>
  <c r="E133" i="46"/>
  <c r="B39" i="76" s="1"/>
  <c r="N175" i="46"/>
  <c r="R201" i="46"/>
  <c r="N151" i="46"/>
  <c r="E12" i="22"/>
  <c r="F56" i="46"/>
  <c r="BD5" i="46"/>
  <c r="E53" i="52" l="1"/>
  <c r="R53" i="52"/>
  <c r="BC7" i="46"/>
  <c r="F12" i="87"/>
  <c r="G12" i="87" s="1"/>
  <c r="I12" i="87" s="1"/>
  <c r="BC10" i="46" s="1"/>
  <c r="F11" i="87"/>
  <c r="G11" i="87" s="1"/>
  <c r="I11" i="87" s="1"/>
  <c r="BC9" i="46" s="1"/>
  <c r="G10" i="87"/>
  <c r="I10" i="87" s="1"/>
  <c r="BC8" i="46" s="1"/>
  <c r="E40" i="46"/>
  <c r="B39" i="75" s="1"/>
  <c r="E39" i="46"/>
  <c r="BC88" i="46"/>
  <c r="BD25" i="46"/>
  <c r="V192" i="46"/>
  <c r="B42" i="76" s="1"/>
  <c r="V198" i="46"/>
  <c r="B48" i="76" s="1"/>
  <c r="P48" i="76" s="1"/>
  <c r="V193" i="46"/>
  <c r="B43" i="76" s="1"/>
  <c r="V194" i="46"/>
  <c r="B44" i="76" s="1"/>
  <c r="V197" i="46"/>
  <c r="B47" i="76" s="1"/>
  <c r="V195" i="46"/>
  <c r="B45" i="76" s="1"/>
  <c r="V196" i="46"/>
  <c r="B46" i="76" s="1"/>
  <c r="V191" i="46"/>
  <c r="B41" i="76" s="1"/>
  <c r="V199" i="46"/>
  <c r="R160" i="46"/>
  <c r="V160" i="46" s="1"/>
  <c r="R164" i="46"/>
  <c r="V164" i="46" s="1"/>
  <c r="R168" i="46"/>
  <c r="V168" i="46" s="1"/>
  <c r="R156" i="46"/>
  <c r="V156" i="46" s="1"/>
  <c r="R161" i="46"/>
  <c r="V161" i="46" s="1"/>
  <c r="R165" i="46"/>
  <c r="V165" i="46" s="1"/>
  <c r="R169" i="46"/>
  <c r="V169" i="46" s="1"/>
  <c r="R157" i="46"/>
  <c r="V157" i="46" s="1"/>
  <c r="R166" i="46"/>
  <c r="V166" i="46" s="1"/>
  <c r="R170" i="46"/>
  <c r="V170" i="46" s="1"/>
  <c r="R158" i="46"/>
  <c r="V158" i="46" s="1"/>
  <c r="R163" i="46"/>
  <c r="V163" i="46" s="1"/>
  <c r="R167" i="46"/>
  <c r="V167" i="46" s="1"/>
  <c r="R141" i="46"/>
  <c r="R142" i="46"/>
  <c r="V142" i="46" s="1"/>
  <c r="R146" i="46"/>
  <c r="V146" i="46" s="1"/>
  <c r="R144" i="46"/>
  <c r="V144" i="46" s="1"/>
  <c r="R148" i="46"/>
  <c r="V148" i="46" s="1"/>
  <c r="R145" i="46"/>
  <c r="V145" i="46" s="1"/>
  <c r="R149" i="46"/>
  <c r="V149" i="46" s="1"/>
  <c r="R143" i="46"/>
  <c r="V143" i="46" s="1"/>
  <c r="R147" i="46"/>
  <c r="V147" i="46" s="1"/>
  <c r="B33" i="52"/>
  <c r="B12" i="52"/>
  <c r="B39" i="52"/>
  <c r="BC86" i="46"/>
  <c r="BC90" i="46"/>
  <c r="BC89" i="46"/>
  <c r="BC87" i="46"/>
  <c r="E50" i="22"/>
  <c r="D100" i="46"/>
  <c r="D101" i="46"/>
  <c r="D80" i="46"/>
  <c r="D82" i="46" s="1"/>
  <c r="V141" i="46"/>
  <c r="B3" i="76" s="1"/>
  <c r="R171" i="46"/>
  <c r="V171" i="46" s="1"/>
  <c r="V190" i="46"/>
  <c r="R173" i="46"/>
  <c r="V173" i="46" s="1"/>
  <c r="R172" i="46"/>
  <c r="V172" i="46" s="1"/>
  <c r="R174" i="46"/>
  <c r="V174" i="46" s="1"/>
  <c r="B2" i="52"/>
  <c r="E134" i="46"/>
  <c r="BD6" i="46"/>
  <c r="BC52" i="46"/>
  <c r="BC48" i="46"/>
  <c r="BC53" i="46"/>
  <c r="BC54" i="46"/>
  <c r="BC50" i="46"/>
  <c r="BC55" i="46"/>
  <c r="BC49" i="46"/>
  <c r="BC51" i="46"/>
  <c r="BC47" i="46"/>
  <c r="E38" i="46"/>
  <c r="E37" i="46"/>
  <c r="I13" i="87" l="1"/>
  <c r="B33" i="75"/>
  <c r="BD24" i="46"/>
  <c r="B12" i="75"/>
  <c r="BD23" i="46"/>
  <c r="B48" i="52"/>
  <c r="B44" i="52"/>
  <c r="B46" i="52"/>
  <c r="E46" i="52" s="1"/>
  <c r="P46" i="52" s="1"/>
  <c r="R46" i="52" s="1"/>
  <c r="B41" i="52"/>
  <c r="B43" i="52"/>
  <c r="E43" i="52" s="1"/>
  <c r="O43" i="52" s="1"/>
  <c r="R43" i="52" s="1"/>
  <c r="B30" i="52"/>
  <c r="E30" i="52" s="1"/>
  <c r="B30" i="76"/>
  <c r="E3" i="76"/>
  <c r="F3" i="76"/>
  <c r="B9" i="52"/>
  <c r="E9" i="52" s="1"/>
  <c r="F9" i="52" s="1"/>
  <c r="R9" i="52" s="1"/>
  <c r="B9" i="76"/>
  <c r="B10" i="52"/>
  <c r="E10" i="52" s="1"/>
  <c r="F10" i="52" s="1"/>
  <c r="R10" i="52" s="1"/>
  <c r="B10" i="76"/>
  <c r="B28" i="52"/>
  <c r="E28" i="52" s="1"/>
  <c r="L28" i="52" s="1"/>
  <c r="R28" i="52" s="1"/>
  <c r="B28" i="76"/>
  <c r="B23" i="52"/>
  <c r="E23" i="52" s="1"/>
  <c r="J23" i="52" s="1"/>
  <c r="B23" i="76"/>
  <c r="B22" i="52"/>
  <c r="E22" i="52" s="1"/>
  <c r="I22" i="52" s="1"/>
  <c r="B22" i="76"/>
  <c r="E46" i="76"/>
  <c r="P46" i="76"/>
  <c r="R46" i="76" s="1"/>
  <c r="O43" i="76"/>
  <c r="E43" i="76"/>
  <c r="B31" i="52"/>
  <c r="E31" i="52" s="1"/>
  <c r="B31" i="76"/>
  <c r="B5" i="52"/>
  <c r="E5" i="52" s="1"/>
  <c r="F5" i="52" s="1"/>
  <c r="R5" i="52" s="1"/>
  <c r="B5" i="76"/>
  <c r="B6" i="52"/>
  <c r="E6" i="52" s="1"/>
  <c r="F6" i="52" s="1"/>
  <c r="R6" i="52" s="1"/>
  <c r="B6" i="76"/>
  <c r="B25" i="52"/>
  <c r="E25" i="52" s="1"/>
  <c r="B25" i="76"/>
  <c r="B24" i="52"/>
  <c r="E24" i="52" s="1"/>
  <c r="B24" i="76"/>
  <c r="B19" i="52"/>
  <c r="E19" i="52" s="1"/>
  <c r="B19" i="76"/>
  <c r="B18" i="52"/>
  <c r="E18" i="52" s="1"/>
  <c r="B18" i="76"/>
  <c r="E45" i="76"/>
  <c r="P45" i="76"/>
  <c r="B40" i="76"/>
  <c r="V201" i="46"/>
  <c r="Z201" i="46" s="1"/>
  <c r="B11" i="52"/>
  <c r="E11" i="52" s="1"/>
  <c r="F11" i="52" s="1"/>
  <c r="R11" i="52" s="1"/>
  <c r="B11" i="76"/>
  <c r="B8" i="52"/>
  <c r="E8" i="52" s="1"/>
  <c r="F8" i="52" s="1"/>
  <c r="R8" i="52" s="1"/>
  <c r="B8" i="76"/>
  <c r="B21" i="52"/>
  <c r="E21" i="52" s="1"/>
  <c r="B21" i="76"/>
  <c r="B15" i="52"/>
  <c r="E15" i="52" s="1"/>
  <c r="G15" i="52" s="1"/>
  <c r="R15" i="52" s="1"/>
  <c r="B15" i="76"/>
  <c r="B14" i="52"/>
  <c r="E14" i="52" s="1"/>
  <c r="G14" i="52" s="1"/>
  <c r="B14" i="76"/>
  <c r="B45" i="52"/>
  <c r="E45" i="52" s="1"/>
  <c r="P45" i="52" s="1"/>
  <c r="B49" i="52"/>
  <c r="E49" i="52" s="1"/>
  <c r="Q49" i="52" s="1"/>
  <c r="B49" i="76"/>
  <c r="P47" i="76"/>
  <c r="R47" i="76" s="1"/>
  <c r="E47" i="76"/>
  <c r="E42" i="76"/>
  <c r="O42" i="76"/>
  <c r="B32" i="52"/>
  <c r="E32" i="52" s="1"/>
  <c r="L32" i="52" s="1"/>
  <c r="R32" i="52" s="1"/>
  <c r="B32" i="76"/>
  <c r="B29" i="52"/>
  <c r="E29" i="52" s="1"/>
  <c r="L29" i="52" s="1"/>
  <c r="R29" i="52" s="1"/>
  <c r="B29" i="76"/>
  <c r="B7" i="52"/>
  <c r="E7" i="52" s="1"/>
  <c r="F7" i="52" s="1"/>
  <c r="R7" i="52" s="1"/>
  <c r="B7" i="76"/>
  <c r="B4" i="52"/>
  <c r="E4" i="52" s="1"/>
  <c r="F4" i="52" s="1"/>
  <c r="R4" i="52" s="1"/>
  <c r="B4" i="76"/>
  <c r="B16" i="52"/>
  <c r="E16" i="52" s="1"/>
  <c r="G16" i="52" s="1"/>
  <c r="R16" i="52" s="1"/>
  <c r="B16" i="76"/>
  <c r="B27" i="52"/>
  <c r="E27" i="52" s="1"/>
  <c r="K27" i="52" s="1"/>
  <c r="R27" i="52" s="1"/>
  <c r="B27" i="76"/>
  <c r="B26" i="52"/>
  <c r="E26" i="52" s="1"/>
  <c r="B26" i="76"/>
  <c r="B47" i="52"/>
  <c r="E47" i="52" s="1"/>
  <c r="P47" i="52" s="1"/>
  <c r="R47" i="52" s="1"/>
  <c r="B42" i="52"/>
  <c r="E42" i="52" s="1"/>
  <c r="O42" i="52" s="1"/>
  <c r="R42" i="52" s="1"/>
  <c r="E41" i="76"/>
  <c r="O41" i="76"/>
  <c r="O44" i="76"/>
  <c r="E44" i="76"/>
  <c r="E48" i="76"/>
  <c r="R48" i="76" s="1"/>
  <c r="E41" i="52"/>
  <c r="O41" i="52" s="1"/>
  <c r="R41" i="52" s="1"/>
  <c r="E48" i="52"/>
  <c r="P48" i="52" s="1"/>
  <c r="R48" i="52" s="1"/>
  <c r="E44" i="52"/>
  <c r="O44" i="52" s="1"/>
  <c r="R44" i="52" s="1"/>
  <c r="B3" i="52"/>
  <c r="E51" i="22"/>
  <c r="E52" i="22" s="1"/>
  <c r="BD89" i="46"/>
  <c r="B37" i="75" s="1"/>
  <c r="BD90" i="46"/>
  <c r="B38" i="75" s="1"/>
  <c r="BD87" i="46"/>
  <c r="B35" i="75" s="1"/>
  <c r="BD88" i="46"/>
  <c r="B36" i="75" s="1"/>
  <c r="B33" i="22"/>
  <c r="BD86" i="46"/>
  <c r="D102" i="46"/>
  <c r="D103" i="46"/>
  <c r="D105" i="46"/>
  <c r="R175" i="46"/>
  <c r="B40" i="52"/>
  <c r="E40" i="52" s="1"/>
  <c r="B39" i="22"/>
  <c r="B12" i="22"/>
  <c r="BD48" i="46"/>
  <c r="B4" i="75" s="1"/>
  <c r="F4" i="75" s="1"/>
  <c r="BD52" i="46"/>
  <c r="B8" i="75" s="1"/>
  <c r="F8" i="75" s="1"/>
  <c r="BD47" i="46"/>
  <c r="B3" i="75" s="1"/>
  <c r="F3" i="75" s="1"/>
  <c r="BD49" i="46"/>
  <c r="B5" i="75" s="1"/>
  <c r="F5" i="75" s="1"/>
  <c r="BD53" i="46"/>
  <c r="B9" i="75" s="1"/>
  <c r="F9" i="75" s="1"/>
  <c r="BD55" i="46"/>
  <c r="B11" i="75" s="1"/>
  <c r="F11" i="75" s="1"/>
  <c r="BD50" i="46"/>
  <c r="B6" i="75" s="1"/>
  <c r="F6" i="75" s="1"/>
  <c r="BD54" i="46"/>
  <c r="B10" i="75" s="1"/>
  <c r="F10" i="75" s="1"/>
  <c r="BD51" i="46"/>
  <c r="B7" i="75" s="1"/>
  <c r="F7" i="75" s="1"/>
  <c r="BC56" i="46"/>
  <c r="E41" i="46"/>
  <c r="BE12" i="46" l="1"/>
  <c r="BD12" i="46" s="1"/>
  <c r="H36" i="87"/>
  <c r="B34" i="75"/>
  <c r="N34" i="75" s="1"/>
  <c r="BD91" i="46"/>
  <c r="BE91" i="46" s="1"/>
  <c r="R43" i="76"/>
  <c r="L31" i="52"/>
  <c r="I31" i="52"/>
  <c r="R41" i="76"/>
  <c r="R44" i="76"/>
  <c r="P50" i="52"/>
  <c r="R45" i="52"/>
  <c r="R42" i="76"/>
  <c r="R49" i="52"/>
  <c r="Q50" i="52"/>
  <c r="Q51" i="52" s="1"/>
  <c r="E15" i="76"/>
  <c r="G15" i="76"/>
  <c r="E8" i="76"/>
  <c r="F8" i="76"/>
  <c r="E18" i="76"/>
  <c r="I18" i="76"/>
  <c r="J18" i="76"/>
  <c r="G18" i="76"/>
  <c r="H18" i="76"/>
  <c r="J24" i="76"/>
  <c r="E24" i="76"/>
  <c r="L24" i="76"/>
  <c r="F6" i="76"/>
  <c r="E6" i="76"/>
  <c r="E31" i="76"/>
  <c r="K31" i="76"/>
  <c r="H31" i="76"/>
  <c r="L31" i="76"/>
  <c r="I31" i="76"/>
  <c r="G31" i="76"/>
  <c r="J31" i="76"/>
  <c r="E23" i="76"/>
  <c r="J23" i="76"/>
  <c r="I23" i="76"/>
  <c r="F10" i="76"/>
  <c r="E10" i="76"/>
  <c r="R3" i="76"/>
  <c r="R14" i="52"/>
  <c r="K26" i="76"/>
  <c r="E26" i="76"/>
  <c r="L26" i="76"/>
  <c r="E16" i="76"/>
  <c r="G16" i="76"/>
  <c r="R16" i="76" s="1"/>
  <c r="E7" i="76"/>
  <c r="F7" i="76"/>
  <c r="R7" i="76" s="1"/>
  <c r="L32" i="76"/>
  <c r="E32" i="76"/>
  <c r="O40" i="76"/>
  <c r="E40" i="76"/>
  <c r="O40" i="52"/>
  <c r="O50" i="52" s="1"/>
  <c r="E14" i="76"/>
  <c r="G14" i="76"/>
  <c r="E21" i="76"/>
  <c r="L21" i="76"/>
  <c r="K21" i="76"/>
  <c r="E11" i="76"/>
  <c r="F11" i="76"/>
  <c r="R11" i="76" s="1"/>
  <c r="R45" i="76"/>
  <c r="P50" i="76"/>
  <c r="E19" i="76"/>
  <c r="K19" i="76"/>
  <c r="I19" i="76"/>
  <c r="H19" i="76"/>
  <c r="E25" i="76"/>
  <c r="L25" i="76"/>
  <c r="J25" i="76"/>
  <c r="E5" i="76"/>
  <c r="F5" i="76"/>
  <c r="E22" i="76"/>
  <c r="J22" i="76"/>
  <c r="H22" i="76"/>
  <c r="I22" i="76"/>
  <c r="E28" i="76"/>
  <c r="L28" i="76"/>
  <c r="E9" i="76"/>
  <c r="F9" i="76"/>
  <c r="E30" i="76"/>
  <c r="J30" i="76"/>
  <c r="K30" i="76"/>
  <c r="L30" i="76"/>
  <c r="I30" i="76"/>
  <c r="H30" i="76"/>
  <c r="E27" i="76"/>
  <c r="K27" i="76"/>
  <c r="E4" i="76"/>
  <c r="F4" i="76"/>
  <c r="L29" i="76"/>
  <c r="E29" i="76"/>
  <c r="E49" i="76"/>
  <c r="Q49" i="76"/>
  <c r="I23" i="52"/>
  <c r="R23" i="52" s="1"/>
  <c r="G31" i="52"/>
  <c r="K31" i="52"/>
  <c r="H31" i="52"/>
  <c r="J31" i="52"/>
  <c r="J22" i="52"/>
  <c r="H22" i="52"/>
  <c r="L21" i="52"/>
  <c r="K21" i="52"/>
  <c r="L25" i="52"/>
  <c r="J25" i="52"/>
  <c r="K30" i="52"/>
  <c r="J30" i="52"/>
  <c r="I30" i="52"/>
  <c r="L30" i="52"/>
  <c r="H30" i="52"/>
  <c r="K19" i="52"/>
  <c r="I19" i="52"/>
  <c r="H19" i="52"/>
  <c r="K26" i="52"/>
  <c r="L26" i="52"/>
  <c r="I18" i="52"/>
  <c r="H18" i="52"/>
  <c r="G18" i="52"/>
  <c r="J18" i="52"/>
  <c r="J24" i="52"/>
  <c r="L24" i="52"/>
  <c r="E3" i="52"/>
  <c r="F3" i="52" s="1"/>
  <c r="E38" i="75"/>
  <c r="N38" i="75"/>
  <c r="E35" i="75"/>
  <c r="M35" i="75"/>
  <c r="N35" i="75"/>
  <c r="E37" i="75"/>
  <c r="M37" i="75"/>
  <c r="N37" i="75"/>
  <c r="E36" i="75"/>
  <c r="M36" i="75"/>
  <c r="N36" i="75"/>
  <c r="B36" i="22"/>
  <c r="E36" i="22" s="1"/>
  <c r="B6" i="22"/>
  <c r="B35" i="22"/>
  <c r="E35" i="22" s="1"/>
  <c r="B10" i="22"/>
  <c r="B34" i="22"/>
  <c r="E34" i="22" s="1"/>
  <c r="B38" i="22"/>
  <c r="E38" i="22" s="1"/>
  <c r="N38" i="22" s="1"/>
  <c r="R38" i="22" s="1"/>
  <c r="B5" i="22"/>
  <c r="B8" i="22"/>
  <c r="B7" i="22"/>
  <c r="B9" i="22"/>
  <c r="B4" i="22"/>
  <c r="B37" i="22"/>
  <c r="E37" i="22" s="1"/>
  <c r="BC68" i="46"/>
  <c r="BD68" i="46" s="1"/>
  <c r="B21" i="75" s="1"/>
  <c r="L21" i="75" s="1"/>
  <c r="BC91" i="46"/>
  <c r="BC61" i="46"/>
  <c r="BD61" i="46" s="1"/>
  <c r="B14" i="75" s="1"/>
  <c r="BC77" i="46"/>
  <c r="BD77" i="46" s="1"/>
  <c r="B30" i="75" s="1"/>
  <c r="BC63" i="46"/>
  <c r="BD63" i="46" s="1"/>
  <c r="B16" i="75" s="1"/>
  <c r="BC79" i="46"/>
  <c r="BD79" i="46" s="1"/>
  <c r="B32" i="75" s="1"/>
  <c r="BC75" i="46"/>
  <c r="BD75" i="46" s="1"/>
  <c r="B28" i="75" s="1"/>
  <c r="BC71" i="46"/>
  <c r="BD71" i="46" s="1"/>
  <c r="B24" i="75" s="1"/>
  <c r="L24" i="75" s="1"/>
  <c r="BC70" i="46"/>
  <c r="BD70" i="46" s="1"/>
  <c r="B23" i="75" s="1"/>
  <c r="J23" i="75" s="1"/>
  <c r="BC69" i="46"/>
  <c r="BD69" i="46" s="1"/>
  <c r="B22" i="75" s="1"/>
  <c r="BC62" i="46"/>
  <c r="BD62" i="46" s="1"/>
  <c r="B15" i="75" s="1"/>
  <c r="BC78" i="46"/>
  <c r="BD78" i="46" s="1"/>
  <c r="B31" i="75" s="1"/>
  <c r="BC74" i="46"/>
  <c r="BD74" i="46" s="1"/>
  <c r="B27" i="75" s="1"/>
  <c r="BC65" i="46"/>
  <c r="BD65" i="46" s="1"/>
  <c r="B18" i="75" s="1"/>
  <c r="BC66" i="46"/>
  <c r="BD66" i="46" s="1"/>
  <c r="B19" i="75" s="1"/>
  <c r="BC73" i="46"/>
  <c r="BD73" i="46" s="1"/>
  <c r="B26" i="75" s="1"/>
  <c r="L26" i="75" s="1"/>
  <c r="BC76" i="46"/>
  <c r="BD76" i="46" s="1"/>
  <c r="B29" i="75" s="1"/>
  <c r="BC72" i="46"/>
  <c r="BD72" i="46" s="1"/>
  <c r="B25" i="75" s="1"/>
  <c r="L25" i="75" s="1"/>
  <c r="D104" i="46"/>
  <c r="D106" i="46"/>
  <c r="V175" i="46"/>
  <c r="Z175" i="46" s="1"/>
  <c r="BD56" i="46"/>
  <c r="N186" i="46"/>
  <c r="V151" i="46"/>
  <c r="Z151" i="46" s="1"/>
  <c r="B3" i="22"/>
  <c r="BD7" i="46"/>
  <c r="B11" i="22"/>
  <c r="D42" i="46" l="1"/>
  <c r="E42" i="46" s="1"/>
  <c r="H37" i="87"/>
  <c r="F45" i="87"/>
  <c r="G45" i="87" s="1"/>
  <c r="H45" i="87" s="1"/>
  <c r="F10" i="78" s="1"/>
  <c r="B2" i="75"/>
  <c r="E6" i="75" s="1"/>
  <c r="R6" i="75" s="1"/>
  <c r="BE56" i="46"/>
  <c r="E34" i="75"/>
  <c r="M34" i="75"/>
  <c r="R34" i="75" s="1"/>
  <c r="Q52" i="52"/>
  <c r="R21" i="76"/>
  <c r="G50" i="52"/>
  <c r="L50" i="52"/>
  <c r="L51" i="52" s="1"/>
  <c r="L52" i="52" s="1"/>
  <c r="R19" i="76"/>
  <c r="R15" i="76"/>
  <c r="R25" i="76"/>
  <c r="R23" i="76"/>
  <c r="F50" i="76"/>
  <c r="F51" i="76" s="1"/>
  <c r="H50" i="76"/>
  <c r="H50" i="52"/>
  <c r="H51" i="52" s="1"/>
  <c r="H52" i="52" s="1"/>
  <c r="R27" i="76"/>
  <c r="R22" i="76"/>
  <c r="R31" i="76"/>
  <c r="R18" i="76"/>
  <c r="I50" i="52"/>
  <c r="I51" i="52" s="1"/>
  <c r="I52" i="52" s="1"/>
  <c r="R30" i="76"/>
  <c r="L50" i="76"/>
  <c r="R26" i="76"/>
  <c r="J50" i="76"/>
  <c r="J50" i="52"/>
  <c r="K50" i="52"/>
  <c r="R4" i="76"/>
  <c r="R28" i="76"/>
  <c r="K50" i="76"/>
  <c r="R40" i="52"/>
  <c r="R39" i="52" s="1"/>
  <c r="S39" i="52" s="1"/>
  <c r="R24" i="76"/>
  <c r="I50" i="76"/>
  <c r="R49" i="76"/>
  <c r="Q50" i="76"/>
  <c r="O51" i="52"/>
  <c r="O52" i="52" s="1"/>
  <c r="R32" i="76"/>
  <c r="R8" i="76"/>
  <c r="R10" i="76"/>
  <c r="R6" i="76"/>
  <c r="R3" i="52"/>
  <c r="R2" i="52" s="1"/>
  <c r="S2" i="52" s="1"/>
  <c r="F50" i="52"/>
  <c r="F51" i="52" s="1"/>
  <c r="F52" i="52" s="1"/>
  <c r="R29" i="76"/>
  <c r="R14" i="76"/>
  <c r="G50" i="76"/>
  <c r="R9" i="76"/>
  <c r="R5" i="76"/>
  <c r="O50" i="76"/>
  <c r="R40" i="76"/>
  <c r="P51" i="52"/>
  <c r="P52" i="52" s="1"/>
  <c r="R22" i="52"/>
  <c r="R31" i="52"/>
  <c r="R24" i="52"/>
  <c r="R21" i="52"/>
  <c r="R18" i="52"/>
  <c r="R26" i="52"/>
  <c r="R30" i="52"/>
  <c r="R19" i="52"/>
  <c r="R25" i="52"/>
  <c r="R181" i="46"/>
  <c r="V181" i="46" s="1"/>
  <c r="R183" i="46"/>
  <c r="V183" i="46" s="1"/>
  <c r="R184" i="46"/>
  <c r="V184" i="46" s="1"/>
  <c r="R182" i="46"/>
  <c r="V182" i="46" s="1"/>
  <c r="R38" i="75"/>
  <c r="E32" i="75"/>
  <c r="L32" i="75"/>
  <c r="H31" i="75"/>
  <c r="L31" i="75"/>
  <c r="I31" i="75"/>
  <c r="J31" i="75"/>
  <c r="K31" i="75"/>
  <c r="E31" i="75"/>
  <c r="G31" i="75"/>
  <c r="I30" i="75"/>
  <c r="J30" i="75"/>
  <c r="K30" i="75"/>
  <c r="L30" i="75"/>
  <c r="E30" i="75"/>
  <c r="H30" i="75"/>
  <c r="E29" i="75"/>
  <c r="L29" i="75"/>
  <c r="E28" i="75"/>
  <c r="L28" i="75"/>
  <c r="E27" i="75"/>
  <c r="K27" i="75"/>
  <c r="E26" i="75"/>
  <c r="K26" i="75"/>
  <c r="E25" i="75"/>
  <c r="J25" i="75"/>
  <c r="E24" i="75"/>
  <c r="J24" i="75"/>
  <c r="E23" i="75"/>
  <c r="I23" i="75"/>
  <c r="I22" i="75"/>
  <c r="J22" i="75"/>
  <c r="E22" i="75"/>
  <c r="H22" i="75"/>
  <c r="E21" i="75"/>
  <c r="K21" i="75"/>
  <c r="I19" i="75"/>
  <c r="K19" i="75"/>
  <c r="E19" i="75"/>
  <c r="H19" i="75"/>
  <c r="H18" i="75"/>
  <c r="I18" i="75"/>
  <c r="J18" i="75"/>
  <c r="E18" i="75"/>
  <c r="G18" i="75"/>
  <c r="E16" i="75"/>
  <c r="G16" i="75"/>
  <c r="E15" i="75"/>
  <c r="G15" i="75"/>
  <c r="E14" i="75"/>
  <c r="G14" i="75"/>
  <c r="R14" i="75" s="1"/>
  <c r="R36" i="75"/>
  <c r="R37" i="75"/>
  <c r="R35" i="75"/>
  <c r="N50" i="75"/>
  <c r="M37" i="22"/>
  <c r="N37" i="22"/>
  <c r="M35" i="22"/>
  <c r="N35" i="22"/>
  <c r="M36" i="22"/>
  <c r="N36" i="22"/>
  <c r="M34" i="22"/>
  <c r="N34" i="22"/>
  <c r="B29" i="22"/>
  <c r="E29" i="22" s="1"/>
  <c r="L29" i="22" s="1"/>
  <c r="R29" i="22" s="1"/>
  <c r="B16" i="22"/>
  <c r="E16" i="22" s="1"/>
  <c r="G16" i="22" s="1"/>
  <c r="B26" i="22"/>
  <c r="E26" i="22" s="1"/>
  <c r="K26" i="22" s="1"/>
  <c r="B31" i="22"/>
  <c r="E31" i="22" s="1"/>
  <c r="J31" i="22" s="1"/>
  <c r="B24" i="22"/>
  <c r="E24" i="22" s="1"/>
  <c r="J24" i="22" s="1"/>
  <c r="B30" i="22"/>
  <c r="E30" i="22" s="1"/>
  <c r="K30" i="22" s="1"/>
  <c r="B23" i="22"/>
  <c r="E23" i="22" s="1"/>
  <c r="I23" i="22" s="1"/>
  <c r="B28" i="22"/>
  <c r="E28" i="22" s="1"/>
  <c r="L28" i="22" s="1"/>
  <c r="R28" i="22" s="1"/>
  <c r="B27" i="22"/>
  <c r="E27" i="22" s="1"/>
  <c r="K27" i="22" s="1"/>
  <c r="R27" i="22" s="1"/>
  <c r="B21" i="22"/>
  <c r="E21" i="22" s="1"/>
  <c r="K21" i="22" s="1"/>
  <c r="B19" i="22"/>
  <c r="E19" i="22" s="1"/>
  <c r="K19" i="22" s="1"/>
  <c r="B15" i="22"/>
  <c r="E15" i="22" s="1"/>
  <c r="G15" i="22" s="1"/>
  <c r="B14" i="22"/>
  <c r="B25" i="22"/>
  <c r="E25" i="22" s="1"/>
  <c r="L25" i="22" s="1"/>
  <c r="B18" i="22"/>
  <c r="E18" i="22" s="1"/>
  <c r="G18" i="22" s="1"/>
  <c r="B22" i="22"/>
  <c r="E22" i="22" s="1"/>
  <c r="J22" i="22" s="1"/>
  <c r="B32" i="22"/>
  <c r="E32" i="22" s="1"/>
  <c r="L32" i="22" s="1"/>
  <c r="R32" i="22" s="1"/>
  <c r="D107" i="46"/>
  <c r="BC106" i="46" s="1"/>
  <c r="BD106" i="46" s="1"/>
  <c r="B49" i="75" s="1"/>
  <c r="BD80" i="46"/>
  <c r="BE80" i="46" s="1"/>
  <c r="BC80" i="46"/>
  <c r="B2" i="22"/>
  <c r="E11" i="22" s="1"/>
  <c r="R180" i="46"/>
  <c r="V180" i="46" s="1"/>
  <c r="B34" i="76" s="1"/>
  <c r="BD9" i="46"/>
  <c r="E7" i="75" l="1"/>
  <c r="R7" i="75" s="1"/>
  <c r="E53" i="75"/>
  <c r="R53" i="22"/>
  <c r="E53" i="22"/>
  <c r="E4" i="75"/>
  <c r="R4" i="75" s="1"/>
  <c r="E10" i="75"/>
  <c r="R10" i="75" s="1"/>
  <c r="E8" i="75"/>
  <c r="R8" i="75" s="1"/>
  <c r="E11" i="75"/>
  <c r="R11" i="75" s="1"/>
  <c r="E9" i="75"/>
  <c r="R9" i="75" s="1"/>
  <c r="E3" i="75"/>
  <c r="E5" i="75"/>
  <c r="R5" i="75" s="1"/>
  <c r="M50" i="75"/>
  <c r="R33" i="75"/>
  <c r="S33" i="75" s="1"/>
  <c r="R39" i="76"/>
  <c r="S39" i="76" s="1"/>
  <c r="G51" i="76"/>
  <c r="H51" i="76" s="1"/>
  <c r="I51" i="76" s="1"/>
  <c r="J51" i="76" s="1"/>
  <c r="K51" i="76" s="1"/>
  <c r="L51" i="76" s="1"/>
  <c r="R2" i="76"/>
  <c r="S2" i="76" s="1"/>
  <c r="R12" i="76"/>
  <c r="S12" i="76" s="1"/>
  <c r="B38" i="52"/>
  <c r="E38" i="52" s="1"/>
  <c r="N38" i="52" s="1"/>
  <c r="R38" i="52" s="1"/>
  <c r="B38" i="76"/>
  <c r="B37" i="52"/>
  <c r="E37" i="52" s="1"/>
  <c r="M37" i="52" s="1"/>
  <c r="B37" i="76"/>
  <c r="B35" i="52"/>
  <c r="E35" i="52" s="1"/>
  <c r="N35" i="52" s="1"/>
  <c r="B35" i="76"/>
  <c r="E34" i="76"/>
  <c r="N34" i="76"/>
  <c r="M34" i="76"/>
  <c r="B36" i="52"/>
  <c r="E36" i="52" s="1"/>
  <c r="N36" i="52" s="1"/>
  <c r="B36" i="76"/>
  <c r="E14" i="22"/>
  <c r="E3" i="22"/>
  <c r="F3" i="22" s="1"/>
  <c r="B34" i="52"/>
  <c r="E49" i="75"/>
  <c r="Q49" i="75"/>
  <c r="Q50" i="75" s="1"/>
  <c r="R32" i="75"/>
  <c r="R28" i="75"/>
  <c r="R29" i="75"/>
  <c r="R27" i="75"/>
  <c r="R16" i="75"/>
  <c r="R15" i="75"/>
  <c r="R25" i="75"/>
  <c r="R19" i="75"/>
  <c r="R23" i="75"/>
  <c r="R18" i="75"/>
  <c r="R26" i="75"/>
  <c r="K50" i="75"/>
  <c r="R24" i="75"/>
  <c r="I50" i="75"/>
  <c r="R31" i="75"/>
  <c r="R3" i="75"/>
  <c r="F50" i="75"/>
  <c r="F51" i="75" s="1"/>
  <c r="R30" i="75"/>
  <c r="R21" i="75"/>
  <c r="H50" i="75"/>
  <c r="G50" i="75"/>
  <c r="L50" i="75"/>
  <c r="J50" i="75"/>
  <c r="R22" i="75"/>
  <c r="N50" i="22"/>
  <c r="N51" i="22" s="1"/>
  <c r="N52" i="22" s="1"/>
  <c r="M50" i="22"/>
  <c r="R36" i="22"/>
  <c r="R35" i="22"/>
  <c r="R37" i="22"/>
  <c r="L26" i="22"/>
  <c r="R26" i="22" s="1"/>
  <c r="L21" i="22"/>
  <c r="J25" i="22"/>
  <c r="R25" i="22" s="1"/>
  <c r="G31" i="22"/>
  <c r="I22" i="22"/>
  <c r="H22" i="22"/>
  <c r="L24" i="22"/>
  <c r="R24" i="22" s="1"/>
  <c r="J23" i="22"/>
  <c r="R23" i="22" s="1"/>
  <c r="J30" i="22"/>
  <c r="I30" i="22"/>
  <c r="L31" i="22"/>
  <c r="H31" i="22"/>
  <c r="I18" i="22"/>
  <c r="L30" i="22"/>
  <c r="H30" i="22"/>
  <c r="K31" i="22"/>
  <c r="K50" i="22" s="1"/>
  <c r="I19" i="22"/>
  <c r="I31" i="22"/>
  <c r="B49" i="22"/>
  <c r="E49" i="22" s="1"/>
  <c r="H19" i="22"/>
  <c r="H18" i="22"/>
  <c r="J18" i="22"/>
  <c r="BC97" i="46"/>
  <c r="BC98" i="46"/>
  <c r="BD98" i="46" s="1"/>
  <c r="B41" i="75" s="1"/>
  <c r="BC99" i="46"/>
  <c r="BD99" i="46" s="1"/>
  <c r="B42" i="75" s="1"/>
  <c r="BC100" i="46"/>
  <c r="BD100" i="46" s="1"/>
  <c r="B43" i="75" s="1"/>
  <c r="BC101" i="46"/>
  <c r="BD101" i="46" s="1"/>
  <c r="B44" i="75" s="1"/>
  <c r="BC105" i="46"/>
  <c r="BD105" i="46" s="1"/>
  <c r="B48" i="75" s="1"/>
  <c r="BC103" i="46"/>
  <c r="BD103" i="46" s="1"/>
  <c r="B46" i="75" s="1"/>
  <c r="BC102" i="46"/>
  <c r="BD102" i="46" s="1"/>
  <c r="B45" i="75" s="1"/>
  <c r="BC104" i="46"/>
  <c r="BD104" i="46" s="1"/>
  <c r="B47" i="75" s="1"/>
  <c r="E10" i="22"/>
  <c r="F10" i="22" s="1"/>
  <c r="R10" i="22" s="1"/>
  <c r="E8" i="22"/>
  <c r="F8" i="22" s="1"/>
  <c r="R8" i="22" s="1"/>
  <c r="E5" i="22"/>
  <c r="F5" i="22" s="1"/>
  <c r="R5" i="22" s="1"/>
  <c r="E9" i="22"/>
  <c r="F9" i="22" s="1"/>
  <c r="R9" i="22" s="1"/>
  <c r="E7" i="22"/>
  <c r="F7" i="22" s="1"/>
  <c r="R7" i="22" s="1"/>
  <c r="E4" i="22"/>
  <c r="F4" i="22" s="1"/>
  <c r="R4" i="22" s="1"/>
  <c r="E6" i="22"/>
  <c r="F6" i="22" s="1"/>
  <c r="R6" i="22" s="1"/>
  <c r="F11" i="22"/>
  <c r="R11" i="22" s="1"/>
  <c r="R12" i="52"/>
  <c r="S12" i="52" s="1"/>
  <c r="G51" i="52"/>
  <c r="G52" i="52" s="1"/>
  <c r="R186" i="46"/>
  <c r="BD10" i="46"/>
  <c r="BD8" i="46"/>
  <c r="R2" i="75" l="1"/>
  <c r="S2" i="75" s="1"/>
  <c r="N37" i="52"/>
  <c r="R37" i="52" s="1"/>
  <c r="M35" i="52"/>
  <c r="R35" i="52" s="1"/>
  <c r="M36" i="52"/>
  <c r="R36" i="52" s="1"/>
  <c r="N37" i="76"/>
  <c r="M37" i="76"/>
  <c r="E37" i="76"/>
  <c r="R34" i="76"/>
  <c r="N35" i="76"/>
  <c r="M35" i="76"/>
  <c r="E35" i="76"/>
  <c r="E38" i="76"/>
  <c r="N38" i="76"/>
  <c r="E36" i="76"/>
  <c r="N36" i="76"/>
  <c r="M36" i="76"/>
  <c r="E34" i="52"/>
  <c r="K51" i="52"/>
  <c r="K52" i="52" s="1"/>
  <c r="R49" i="75"/>
  <c r="G51" i="75"/>
  <c r="H51" i="75" s="1"/>
  <c r="I51" i="75" s="1"/>
  <c r="J51" i="75" s="1"/>
  <c r="K51" i="75" s="1"/>
  <c r="L51" i="75" s="1"/>
  <c r="M51" i="75" s="1"/>
  <c r="N51" i="75" s="1"/>
  <c r="E47" i="75"/>
  <c r="P47" i="75"/>
  <c r="E46" i="75"/>
  <c r="P46" i="75"/>
  <c r="E48" i="75"/>
  <c r="P48" i="75"/>
  <c r="E45" i="75"/>
  <c r="P45" i="75"/>
  <c r="R45" i="75" s="1"/>
  <c r="E42" i="75"/>
  <c r="O42" i="75"/>
  <c r="E41" i="75"/>
  <c r="O41" i="75"/>
  <c r="E43" i="75"/>
  <c r="O43" i="75"/>
  <c r="E44" i="75"/>
  <c r="O44" i="75"/>
  <c r="R12" i="75"/>
  <c r="S12" i="75" s="1"/>
  <c r="H50" i="22"/>
  <c r="H51" i="22" s="1"/>
  <c r="H52" i="22" s="1"/>
  <c r="I50" i="22"/>
  <c r="I51" i="22" s="1"/>
  <c r="I52" i="22" s="1"/>
  <c r="K51" i="22"/>
  <c r="K52" i="22" s="1"/>
  <c r="M51" i="22"/>
  <c r="M52" i="22" s="1"/>
  <c r="J50" i="22"/>
  <c r="L50" i="22"/>
  <c r="R3" i="22"/>
  <c r="R2" i="22" s="1"/>
  <c r="S2" i="22" s="1"/>
  <c r="F50" i="22"/>
  <c r="Q49" i="22"/>
  <c r="R22" i="22"/>
  <c r="R31" i="22"/>
  <c r="R19" i="22"/>
  <c r="R30" i="22"/>
  <c r="R18" i="22"/>
  <c r="B45" i="22"/>
  <c r="B43" i="22"/>
  <c r="B44" i="22"/>
  <c r="B42" i="22"/>
  <c r="B47" i="22"/>
  <c r="B46" i="22"/>
  <c r="B48" i="22"/>
  <c r="B41" i="22"/>
  <c r="BC107" i="46"/>
  <c r="BD97" i="46"/>
  <c r="B40" i="75" s="1"/>
  <c r="G14" i="22"/>
  <c r="R16" i="22"/>
  <c r="V186" i="46"/>
  <c r="Z186" i="46" s="1"/>
  <c r="R21" i="22"/>
  <c r="N50" i="76" l="1"/>
  <c r="R36" i="76"/>
  <c r="M50" i="76"/>
  <c r="M51" i="76" s="1"/>
  <c r="R35" i="76"/>
  <c r="R37" i="76"/>
  <c r="R38" i="76"/>
  <c r="M34" i="52"/>
  <c r="M50" i="52" s="1"/>
  <c r="N34" i="52"/>
  <c r="N50" i="52" s="1"/>
  <c r="R46" i="75"/>
  <c r="P50" i="75"/>
  <c r="R48" i="75"/>
  <c r="R47" i="75"/>
  <c r="R43" i="75"/>
  <c r="R42" i="75"/>
  <c r="R41" i="75"/>
  <c r="R44" i="75"/>
  <c r="E40" i="75"/>
  <c r="O40" i="75"/>
  <c r="O50" i="75" s="1"/>
  <c r="O51" i="75" s="1"/>
  <c r="R14" i="22"/>
  <c r="G50" i="22"/>
  <c r="R49" i="22"/>
  <c r="Q50" i="22"/>
  <c r="J51" i="22"/>
  <c r="J52" i="22" s="1"/>
  <c r="L51" i="22"/>
  <c r="L52" i="22" s="1"/>
  <c r="F51" i="22"/>
  <c r="F52" i="22" s="1"/>
  <c r="E46" i="22"/>
  <c r="P46" i="22" s="1"/>
  <c r="R46" i="22" s="1"/>
  <c r="E43" i="22"/>
  <c r="O43" i="22" s="1"/>
  <c r="R43" i="22" s="1"/>
  <c r="E47" i="22"/>
  <c r="P47" i="22" s="1"/>
  <c r="R47" i="22" s="1"/>
  <c r="E45" i="22"/>
  <c r="P45" i="22" s="1"/>
  <c r="E41" i="22"/>
  <c r="O41" i="22" s="1"/>
  <c r="R41" i="22" s="1"/>
  <c r="E42" i="22"/>
  <c r="O42" i="22" s="1"/>
  <c r="R42" i="22" s="1"/>
  <c r="E48" i="22"/>
  <c r="P48" i="22" s="1"/>
  <c r="R48" i="22" s="1"/>
  <c r="E44" i="22"/>
  <c r="O44" i="22" s="1"/>
  <c r="R44" i="22" s="1"/>
  <c r="B40" i="22"/>
  <c r="E40" i="22" s="1"/>
  <c r="O40" i="22" s="1"/>
  <c r="BD107" i="46"/>
  <c r="BE107" i="46" s="1"/>
  <c r="R15" i="22"/>
  <c r="J51" i="52"/>
  <c r="J52" i="52" s="1"/>
  <c r="N51" i="76" l="1"/>
  <c r="O51" i="76" s="1"/>
  <c r="P51" i="76" s="1"/>
  <c r="Q51" i="76" s="1"/>
  <c r="R33" i="76"/>
  <c r="S33" i="76" s="1"/>
  <c r="M51" i="52"/>
  <c r="M52" i="52" s="1"/>
  <c r="N51" i="52"/>
  <c r="N52" i="52" s="1"/>
  <c r="P51" i="75"/>
  <c r="Q51" i="75" s="1"/>
  <c r="R34" i="52"/>
  <c r="R33" i="52" s="1"/>
  <c r="S33" i="52" s="1"/>
  <c r="R40" i="75"/>
  <c r="R39" i="75" s="1"/>
  <c r="S39" i="75" s="1"/>
  <c r="R45" i="22"/>
  <c r="P50" i="22"/>
  <c r="Q51" i="22"/>
  <c r="Q52" i="22" s="1"/>
  <c r="O50" i="22"/>
  <c r="G51" i="22"/>
  <c r="G52" i="22" s="1"/>
  <c r="R12" i="22"/>
  <c r="S12" i="22" s="1"/>
  <c r="R50" i="52" l="1"/>
  <c r="S50" i="52" s="1"/>
  <c r="R52" i="52"/>
  <c r="R50" i="76"/>
  <c r="R50" i="75"/>
  <c r="O51" i="22"/>
  <c r="O52" i="22" s="1"/>
  <c r="P51" i="22"/>
  <c r="P52" i="22" s="1"/>
  <c r="R40" i="22"/>
  <c r="R39" i="22" s="1"/>
  <c r="S39" i="22" s="1"/>
  <c r="R52" i="22" l="1"/>
  <c r="R34" i="22"/>
  <c r="R33" i="22" s="1"/>
  <c r="S33" i="22" s="1"/>
  <c r="R50" i="22" l="1"/>
  <c r="S50" i="22" s="1"/>
  <c r="R151" i="46" l="1"/>
  <c r="BD117" i="46" l="1"/>
  <c r="BD120" i="46"/>
  <c r="BD116" i="46"/>
  <c r="BD119" i="46"/>
  <c r="BD115" i="46"/>
  <c r="BD118" i="46"/>
  <c r="F46" i="87" l="1"/>
  <c r="G46" i="87" l="1"/>
  <c r="G47" i="87" s="1"/>
  <c r="F47" i="87"/>
  <c r="H46" i="87" l="1"/>
  <c r="H40" i="87"/>
  <c r="H47" i="87" l="1"/>
  <c r="F42" i="87" s="1"/>
  <c r="F11" i="78"/>
  <c r="F12" i="78" s="1"/>
  <c r="G10" i="78" s="1"/>
  <c r="G11" i="78" l="1"/>
  <c r="G12" i="78" s="1"/>
  <c r="A4" i="46" l="1"/>
  <c r="A4" i="72" s="1"/>
  <c r="A15" i="72" s="1"/>
  <c r="M4" i="82"/>
  <c r="BB56" i="46"/>
</calcChain>
</file>

<file path=xl/sharedStrings.xml><?xml version="1.0" encoding="utf-8"?>
<sst xmlns="http://schemas.openxmlformats.org/spreadsheetml/2006/main" count="2029" uniqueCount="651">
  <si>
    <t>CONCEPTO</t>
  </si>
  <si>
    <t>A</t>
  </si>
  <si>
    <t>B</t>
  </si>
  <si>
    <t>C</t>
  </si>
  <si>
    <t>D</t>
  </si>
  <si>
    <t>E</t>
  </si>
  <si>
    <t>F</t>
  </si>
  <si>
    <t>TOTAL PARCIAL (EXF)</t>
  </si>
  <si>
    <t>CANTIDAD</t>
  </si>
  <si>
    <t>SUELDO MES BASICO</t>
  </si>
  <si>
    <t>VALOR MES (AXBXCXD)</t>
  </si>
  <si>
    <t>OTROS COSTOS DIRECTOS</t>
  </si>
  <si>
    <t>UNIDAD</t>
  </si>
  <si>
    <t>VALOR UNITARIO</t>
  </si>
  <si>
    <t>Salud</t>
  </si>
  <si>
    <t>Pensión</t>
  </si>
  <si>
    <t>SENA</t>
  </si>
  <si>
    <t>ICBF</t>
  </si>
  <si>
    <t>Vacaciones</t>
  </si>
  <si>
    <t>Personal PROFESIONAL</t>
  </si>
  <si>
    <t>DEDICACION</t>
  </si>
  <si>
    <t xml:space="preserve">VALOR TOTAL DE LA OFERTA </t>
  </si>
  <si>
    <t>Prima anual</t>
  </si>
  <si>
    <t>COSTOS DE PERFECCIONAMIENTO</t>
  </si>
  <si>
    <t>VALOR TOTAL</t>
  </si>
  <si>
    <t>SUB TOTAL OTROS COSTOS DIRECTOS (2)</t>
  </si>
  <si>
    <t>ITEM</t>
  </si>
  <si>
    <t>GASTOS GENERALES</t>
  </si>
  <si>
    <t>UND</t>
  </si>
  <si>
    <t>MESES</t>
  </si>
  <si>
    <t>DEDICACIÓN</t>
  </si>
  <si>
    <t>SUBTOTAL</t>
  </si>
  <si>
    <t>SUELDO MES BÁSICO</t>
  </si>
  <si>
    <t>Global</t>
  </si>
  <si>
    <t>GLB</t>
  </si>
  <si>
    <r>
      <t>SUB TOTAL COSTO PERSONAL PROFESIONAL</t>
    </r>
    <r>
      <rPr>
        <sz val="12"/>
        <rFont val="Arial"/>
        <family val="2"/>
      </rPr>
      <t xml:space="preserve"> </t>
    </r>
  </si>
  <si>
    <t>%</t>
  </si>
  <si>
    <t xml:space="preserve">TOTAL A </t>
  </si>
  <si>
    <t xml:space="preserve">PRESTACIONES SOCIALES </t>
  </si>
  <si>
    <t>Riesgos laborales</t>
  </si>
  <si>
    <t>Caja de Compensaciones y auxilios varios</t>
  </si>
  <si>
    <t>UTILIDAD 12% de (A+B+C+D)</t>
  </si>
  <si>
    <t>TOTAL A+B+C+D+E+F</t>
  </si>
  <si>
    <t>FM</t>
  </si>
  <si>
    <t>TOTAL FACTOR GASTOS DE PERFECCIONAMIENTO</t>
  </si>
  <si>
    <t>ACTIVIDADES</t>
  </si>
  <si>
    <t>Mes 1</t>
  </si>
  <si>
    <t>Mes 2</t>
  </si>
  <si>
    <t>Mes 3</t>
  </si>
  <si>
    <t>Mes 4</t>
  </si>
  <si>
    <t>Mes 5</t>
  </si>
  <si>
    <t>Mes 6</t>
  </si>
  <si>
    <t>Mes 7</t>
  </si>
  <si>
    <t>MES 1</t>
  </si>
  <si>
    <t>MES 2</t>
  </si>
  <si>
    <t>MES 3</t>
  </si>
  <si>
    <t>MES 4</t>
  </si>
  <si>
    <t>MES 5</t>
  </si>
  <si>
    <t>MES 6</t>
  </si>
  <si>
    <t>IVA 19%</t>
  </si>
  <si>
    <t>Cesantías</t>
  </si>
  <si>
    <t>Intereses sobre Cesantías</t>
  </si>
  <si>
    <t>Útiles y papelería</t>
  </si>
  <si>
    <t>Preparación propuesta</t>
  </si>
  <si>
    <t>Póliza de Calidad</t>
  </si>
  <si>
    <t>Póliza de Cumplimiento</t>
  </si>
  <si>
    <t>Póliza de salarios y prestaciones sociales</t>
  </si>
  <si>
    <t>ASESOR GRADO 9</t>
  </si>
  <si>
    <t>Destino</t>
  </si>
  <si>
    <t>Tipo de transporte 
(Medio)</t>
  </si>
  <si>
    <t>Actividad</t>
  </si>
  <si>
    <t>Justificación</t>
  </si>
  <si>
    <t>No. de personas</t>
  </si>
  <si>
    <t>Valor Unitario</t>
  </si>
  <si>
    <t>TOTAL</t>
  </si>
  <si>
    <t>Cantidad</t>
  </si>
  <si>
    <t>Elaboración de dos pendones institucionales. 
- 2 pendones roll up de 1m x 2m: uno institucional de la CAS y otro del proyecto.</t>
  </si>
  <si>
    <t>Soporte físico del estudio</t>
  </si>
  <si>
    <t>Consumible en el proyecto</t>
  </si>
  <si>
    <t>Precio Unitario</t>
  </si>
  <si>
    <t>Dias/Personas</t>
  </si>
  <si>
    <t>ESTUDIOS SOPORTE</t>
  </si>
  <si>
    <t>Valor unitario</t>
  </si>
  <si>
    <t>Valor / vehículo (mes)</t>
  </si>
  <si>
    <t>N.A</t>
  </si>
  <si>
    <t>Día/Persona</t>
  </si>
  <si>
    <t>No. Profesionales</t>
  </si>
  <si>
    <t>No. Días</t>
  </si>
  <si>
    <t>FASE UNO (1)</t>
  </si>
  <si>
    <t>FASE DOS (2)</t>
  </si>
  <si>
    <t>TOTAL CAMPO PROYECTO</t>
  </si>
  <si>
    <t>TOTAL/VIÁTICOS</t>
  </si>
  <si>
    <t>Gastos de representación</t>
  </si>
  <si>
    <t>Gastos legales y bancarios</t>
  </si>
  <si>
    <t>Honorarios contabilidad</t>
  </si>
  <si>
    <t>TOTAL/DÍAS/VEHÍCULO</t>
  </si>
  <si>
    <t>Valor Viático día</t>
  </si>
  <si>
    <t>Valor Unitrio</t>
  </si>
  <si>
    <t>Valor día/vehículo</t>
  </si>
  <si>
    <t>Cantidad Total</t>
  </si>
  <si>
    <t xml:space="preserve">VALOR TOTAL DE LA OFERTA CON IVA </t>
  </si>
  <si>
    <t>INTERVENTORÍA</t>
  </si>
  <si>
    <t xml:space="preserve">Profesionales </t>
  </si>
  <si>
    <t>Transporte</t>
  </si>
  <si>
    <t>Viáticos</t>
  </si>
  <si>
    <t>% Fase</t>
  </si>
  <si>
    <t>%General</t>
  </si>
  <si>
    <t>Viáticos mes 1</t>
  </si>
  <si>
    <t>Viáticos mes 3</t>
  </si>
  <si>
    <t>Viáticos mes 4</t>
  </si>
  <si>
    <t>Viáticos mes 5</t>
  </si>
  <si>
    <t>Viáticos mes 6</t>
  </si>
  <si>
    <t>Viáticos mes 7</t>
  </si>
  <si>
    <t>TOTAL VIATICO</t>
  </si>
  <si>
    <t>Dedicación</t>
  </si>
  <si>
    <t>Salario</t>
  </si>
  <si>
    <t>Profesionales</t>
  </si>
  <si>
    <t>MES 7</t>
  </si>
  <si>
    <t>% INTERVENTORÍA</t>
  </si>
  <si>
    <t>Iva</t>
  </si>
  <si>
    <t>Número</t>
  </si>
  <si>
    <t>Auxiliar administrativo</t>
  </si>
  <si>
    <t>ASESOR GRADO 5</t>
  </si>
  <si>
    <t>Profesional GRADO 9</t>
  </si>
  <si>
    <t>Bachiller GRADO 17</t>
  </si>
  <si>
    <t>Meses</t>
  </si>
  <si>
    <t>FASE TRES (3)</t>
  </si>
  <si>
    <t xml:space="preserve">Anterior </t>
  </si>
  <si>
    <t>Trabajo de Campo</t>
  </si>
  <si>
    <t>ECONÓMICA</t>
  </si>
  <si>
    <t>Control 1</t>
  </si>
  <si>
    <t>Profesional SIG</t>
  </si>
  <si>
    <t>Control 2</t>
  </si>
  <si>
    <t>Control 3</t>
  </si>
  <si>
    <t>FASE III. Proyecto de Distribución de Agua</t>
  </si>
  <si>
    <t>Viáticos mes 2</t>
  </si>
  <si>
    <t>Total Fase (III)</t>
  </si>
  <si>
    <t>Total Fase (II)</t>
  </si>
  <si>
    <t>Total Fase (I)</t>
  </si>
  <si>
    <t>Socializaciones</t>
  </si>
  <si>
    <t>Total Fase (IV)</t>
  </si>
  <si>
    <t>TOTAL DÍA VEHÍCULO</t>
  </si>
  <si>
    <t>Valor Total</t>
  </si>
  <si>
    <t>Control 4</t>
  </si>
  <si>
    <t>Control 5</t>
  </si>
  <si>
    <t>Impresiones</t>
  </si>
  <si>
    <t>Control</t>
  </si>
  <si>
    <t>Camioneta 4 x 4</t>
  </si>
  <si>
    <t>pH</t>
  </si>
  <si>
    <t>Temperatura</t>
  </si>
  <si>
    <t>Escherichia coli</t>
  </si>
  <si>
    <t>Número de Talleres</t>
  </si>
  <si>
    <t>Valor</t>
  </si>
  <si>
    <t>Cotización 2 Transporte</t>
  </si>
  <si>
    <t>Cotización 3 Transporte</t>
  </si>
  <si>
    <t>Cotización 1 Transporte</t>
  </si>
  <si>
    <t>Experto en modelamiento y calidad de agua</t>
  </si>
  <si>
    <t>Experto en Hidrología</t>
  </si>
  <si>
    <t>Profesional Social</t>
  </si>
  <si>
    <t>Personal de Campo</t>
  </si>
  <si>
    <t>2.1. Transporte</t>
  </si>
  <si>
    <t>2.2. Gastos de Alojamiento, Alimentación e Hidratación</t>
  </si>
  <si>
    <t>DÍAS</t>
  </si>
  <si>
    <t>Profesional experto en modelamiento de calidad de agua</t>
  </si>
  <si>
    <t xml:space="preserve">Profesional en Geología </t>
  </si>
  <si>
    <t>Profesional Jurídico</t>
  </si>
  <si>
    <t>Mes 8</t>
  </si>
  <si>
    <t>Mes 9</t>
  </si>
  <si>
    <t>Mes 10</t>
  </si>
  <si>
    <t>Mes 11</t>
  </si>
  <si>
    <t>Mes 12</t>
  </si>
  <si>
    <t>FASE CUATRO (4)</t>
  </si>
  <si>
    <t>Caracterización Inicial</t>
  </si>
  <si>
    <t>Paso 2. Diseño y ejecución del plan de monitoreo Director - Experto en Calidad</t>
  </si>
  <si>
    <t>Construcción de Línea Base</t>
  </si>
  <si>
    <t>Paso 1. Diseño e implementación del proceso de participación.
IDENTIFICACIÓN DE ACTORES CLAVE - SOCIAL</t>
  </si>
  <si>
    <t>Viáticos mes 8</t>
  </si>
  <si>
    <t>MES 8</t>
  </si>
  <si>
    <t>MES 9</t>
  </si>
  <si>
    <t>Viáticos mes 9</t>
  </si>
  <si>
    <t>MES 10</t>
  </si>
  <si>
    <t>MES 11</t>
  </si>
  <si>
    <t>MES 112</t>
  </si>
  <si>
    <t>Viáticos mes 10</t>
  </si>
  <si>
    <t>Viáticos mes 11</t>
  </si>
  <si>
    <t>Viáticos mes 12</t>
  </si>
  <si>
    <t>FASE UNO</t>
  </si>
  <si>
    <t>FASE DOS</t>
  </si>
  <si>
    <t>FASE TRES</t>
  </si>
  <si>
    <t>FASE CUATRO</t>
  </si>
  <si>
    <t>Localización del cuerpo de agua</t>
  </si>
  <si>
    <t>Alistamiento Institucional</t>
  </si>
  <si>
    <t>Identificación de actores relevantes para el ordenamiento</t>
  </si>
  <si>
    <t>Recopilación de información de instrumentos existentes</t>
  </si>
  <si>
    <t>Identificación preliminar de usuarios y clasificación de los usos actuales</t>
  </si>
  <si>
    <t>Revisión de información asociada a los conflictos por uso del recurso hídrico</t>
  </si>
  <si>
    <t>Prediseño del plan de monitoreo de calidad y cantidad del recurso hídrico</t>
  </si>
  <si>
    <t>Elaboración del plan de trabajo detallado</t>
  </si>
  <si>
    <t xml:space="preserve">Paso 1. Diseño e implementación del proceso de participación </t>
  </si>
  <si>
    <t>Paso 2. Definición de los tramos o sectores de análisis</t>
  </si>
  <si>
    <t xml:space="preserve">Paso 3. Definición para la estructura conceptual para la modelación de calidad del agua </t>
  </si>
  <si>
    <t>Trabajo de campo</t>
  </si>
  <si>
    <t xml:space="preserve">Paso 1. Censo de usuarios y consolidación de información </t>
  </si>
  <si>
    <t>Paso 2. Diseño y ejecución del plan de monitoreo</t>
  </si>
  <si>
    <t>Construcción de línea base</t>
  </si>
  <si>
    <t>Paso 1. Consolidación de usos existentes del recurso hídrico</t>
  </si>
  <si>
    <t>Paso 2. Estimación de la oferta hídrica total y oferta hídrica total disponible e indicadores de estado</t>
  </si>
  <si>
    <t>Paso 3. Identificación de zonas de recarga del acuífero o interacciones con las aguas superficiales</t>
  </si>
  <si>
    <t>Paso 4. Elaboración de perfiles de calidad actual de cada cuerpo de agua</t>
  </si>
  <si>
    <t>Paso 5. Estimación de indicadores de calidad de agua</t>
  </si>
  <si>
    <t xml:space="preserve">Paso 6. Clasificación de los usos actuales </t>
  </si>
  <si>
    <t>Paso 7. Estudio de demanda de agua</t>
  </si>
  <si>
    <t>Paso 8. Indicadores de presión sobre el recurso hídrico superficial</t>
  </si>
  <si>
    <t>Paso 9. Estimación cualitativa del riesgo</t>
  </si>
  <si>
    <t xml:space="preserve">Paso 10. Análisis de problemáticas y conflictos derivados del recurso hídrico </t>
  </si>
  <si>
    <t xml:space="preserve">Paso 11. Sistematización de la información resultado de la fase de diagnóstico </t>
  </si>
  <si>
    <t>Paso 12. Socialización de los resultados de la fase de diagnóstico</t>
  </si>
  <si>
    <t>Identificación preliminar de usuarios y clasificación de los usos actuales (SOCIALIZACIÓN CON ENTIDADES GUBERNAMENTALES)</t>
  </si>
  <si>
    <t>Prediseño del plan de monitoreo de calidad y cantidad del recurso hídrico (MACROLOCALIZACIÓN PUNTOS DE MONITOREO)</t>
  </si>
  <si>
    <t>FASE 2. Diagnóstico</t>
  </si>
  <si>
    <t>FASE 3. Identificación de usos potenciales</t>
  </si>
  <si>
    <t>Paso 1: Proyección de la demanda de agua</t>
  </si>
  <si>
    <t>Paso 2: Modelación de la calidad del agua y simulación de escenarios</t>
  </si>
  <si>
    <t>Paso 3: Clasificación del cuerpo de agua e identificación de usos potenciales</t>
  </si>
  <si>
    <t>Paso 4. Estimación cualitativa de riesgos asociados a reducción de la oferta y disponibilidad del recurso hídrico</t>
  </si>
  <si>
    <t>Paso 5. Socialización de los resultados de la fase de Usos Potenciales</t>
  </si>
  <si>
    <t>Paso 3. Definición para la estructura conceptual para la modelación de calidad del agua (DETERMINACIÓN DE TIEMPOS DE VIAJE) Experto en modelamiento y calidad de agua - Experto en hidrología</t>
  </si>
  <si>
    <t>Municipios cuenca del río Medio y Bajo Suárez</t>
  </si>
  <si>
    <t>El prediseño del plan de monitoreo de calidad y cantidad del recurso hídrico corresponde a la etapa de macrolocalización de puntos de monitoreo dentro del proceso de formulación del Plan de Ordenamiento del Recurso Hídrico (PORH) de la cuenca del río Medio y Bajo Suárez, en jurisdicción de la CAS. Esta actividad consiste en evaluar aproximadamente 34 sitios estratégicos con base en criterios técnicos como condiciones hidráulicas del cauce, representatividad del tramo, accesibilidad, viabilidad logística y georreferenciación del punto. Su propósito es definir una red preliminar de monitoreo que garantice información representativa y confiable para el diagnóstico y seguimiento del recurso hídrico, conforme a los lineamientos del Ministerio de Ambiente y Desarrollo Sostenible.</t>
  </si>
  <si>
    <t>La determinación de los tiempos de viaje forma parte de la estructura conceptual para la modelación de calidad del agua y constituye un insumo para el establecimiento del plan de monitoreo definitivo en la cuenca del río Medio y Bajo Suárez. Esta actividad permite estimar el tiempo que tarda una sustancia disuelta en desplazarse a lo largo de un tramo del río, a partir de la relación entre la longitud del tramo y la velocidad media del flujo bajo condiciones hidrodinámicas representativas. La información obtenida permite identificar las zonas de transporte y mezcla, y ajustar la localización de los puntos de monitoreo para asegurar que se evalúe la misma masa de agua requerida para la modelación de calidad, garantizando coherencia entre el monitoreo y el proceso de simulación del comportamiento del recurso hídrico.</t>
  </si>
  <si>
    <t>La ejecución del plan de monitoreo requiere desplazamientos de profesionales especializados a diferentes sectores de la cuenca del río Medio y Bajo Suárez para supervisar y acompañar las campañas de monitoreo en 34 puntos establecidos. Estas actividades se realizan durante dos campañas (periodo seco y periodo de lluvias) y permiten verificar en campo las condiciones de los sitios de monitoreo y el adecuado desarrollo de las mediciones de cantidad (niveles, caudales, sedimentos) y calidad del agua (variables fisicoquímicas, hidrobiológicas y sedimentos). Debido a la extensión de la cuenca y a la distribución de los puntos de monitoreo, se contemplan costos de transporte para garantizar el seguimiento técnico de las actividades. La logística operativa de muestreo se encuentra contemplada en el componente de caracterización.</t>
  </si>
  <si>
    <t>Puntos de monitoreo sobre la corriente principal de la cuenca río Medio y Bajo Suárez</t>
  </si>
  <si>
    <t>34 puntos sobre el río Principal de la cuenca río Medio y Bajo Suárez en jurisdicción CAS</t>
  </si>
  <si>
    <t>La ejecución de esta actividad requiere desplazamientos del equipo técnico a diferentes sectores de la cuenca del río Medio y Bajo Suárez con el fin de identificar en campo zonas potenciales de recarga del acuífero y áreas de interacción entre aguas subterráneas y aguas superficiales, conforme a los lineamientos de la Guía PORH del Ministerio de Ambiente y Desarrollo Sostenible.</t>
  </si>
  <si>
    <t>FASE 4. Elaboración del plan</t>
  </si>
  <si>
    <t>La socialización del inicio de la formulación del Plan de Ordenamiento del Recurso Hídrico (PORH) de la cuenca río Medio y Bajo Suárez es fundamental para garantizar una gestión integral, participativa y sostenible del recurso hídrico. La realización de estas reuniones requiere desplazamientos del equipo técnico a los municipios de la cuenca, por lo cual se contemplan gastos de viaje asociados al desarrollo de estas actividades.</t>
  </si>
  <si>
    <t>Valor Persona/día</t>
  </si>
  <si>
    <t>No. de Días</t>
  </si>
  <si>
    <t>El prediseño del plan de monitoreo corresponde a la macrolocalización de aproximadamente 34 puntos estratégicos dentro de la cuenca del río Medio y Bajo Suárez. Para ello es necesario realizar recorridos técnicos de verificación de condiciones hidráulicas, representatividad de los tramos, accesibilidad y georreferenciación de los sitios, lo cual implica desplazamientos del equipo técnico y la consideración de gastos de viaje para el desarrollo de estas actividades.</t>
  </si>
  <si>
    <t>La identificación de actores clave dentro del proceso de participación del PORH requiere recorridos en diferentes municipios de la cuenca con el fin de reconocer y caracterizar actores institucionales, comunitarios y productivos con incidencia en la gestión del recurso hídrico. Debido a la extensión del territorio se contemplan gastos de viaje asociados al desplazamiento del equipo técnico para el desarrollo de esta actividad.</t>
  </si>
  <si>
    <t>La determinación de los tiempos de viaje requiere recorridos de campo para la identificación preliminar de tramos representativos en la corriente principal del río Medio y Bajo Suárez. Durante estas actividades se realizarán aforos en los puntos de monitoreo seleccionados sobre la corriente principal, con el fin de obtener parámetros hidráulicos que permitan estimar los tiempos de viaje y apoyar la estructuración de la modelación de calidad del agua y la elaboración definitiva del plan de monitoreo. Debido al desplazamiento y permanencia del equipo técnico en diferentes sectores de la cuenca, se contemplan gastos de viaje asociados a viáticos para el desarrollo de estas actividades de verificación en campo</t>
  </si>
  <si>
    <t>La revisión y consolidación del censo de usuarios del recurso hídrico requiere el desplazamiento del equipo técnico a las sedes regionales de la autoridad ambiental que hacen parte del área de drenaje de la cuenca del río Medio y Bajo Suárez, con el fin de verificar, recopilar y complementar la información existente sobre concesiones de agua, vertimientos, ocupaciones de cauce, explotación de material de arrastre y demás usos del recurso hídrico. Estas actividades permiten consolidar una base de datos actualizada y precisa para el diagnóstico y la gestión del recurso hídrico en la cuenca. Debido al desplazamiento y permanencia del personal técnico en las diferentes regionales, se contemplan gastos de viaje asociados a viáticos para el desarrollo de esta actividad.</t>
  </si>
  <si>
    <t>La ejecución de esta actividad requiere desplazamientos y permanencia de los profesionales de campo a lo largo de la corriente principal de la cuenca del río Medio y Bajo Suárez y en los tributarios con mayor influencia sobre el recurso hídrico en jurisdicción de la CAS, con el fin de verificar directamente la información de los usuarios del agua. Durante los recorridos se realiza la validación de captaciones, vertimientos, ocupaciones de cauce, explotación de material de arrastre y demás usos y permisos asociados, así como la revisión de sistemas de tratamiento municipales y acueductos que abastecen poblaciones superiores a 50 usuarios. Dada la extensión de la cuenca y la distribución espacial de estos sistemas, es necesario contemplar gastos de viaje asociados a viáticos para cubrir alojamiento, alimentación y permanencia del personal técnico durante el desarrollo de las actividades de verificación y recolección de información en campo, conforme a los lineamientos de la Guía PORH del Ministerio de Ambiente y Desarrollo Sostenible y la normativa vigente.</t>
  </si>
  <si>
    <t>La ejecución de esta actividad requiere el desplazamiento y permanencia del equipo técnico en diferentes sectores de la cuenca del río Medio y Bajo Suárez con el fin de identificar en campo zonas potenciales de recarga del acuífero y áreas de interacción entre aguas subterráneas y aguas superficiales, conforme a los lineamientos de la Guía PORH del Ministerio de Ambiente y Desarrollo Sostenible. Debido a la extensión de la cuenca y a la localización de los sectores a evaluar, se contemplan gastos de viaje asociados a viáticos para cubrir alojamiento, alimentación y permanencia del personal técnico durante el desarrollo de estas actividades de verificación en campo.</t>
  </si>
  <si>
    <t>Promedio</t>
  </si>
  <si>
    <t>Valor/Unitario</t>
  </si>
  <si>
    <t>2.3. Logística de espacios de socialización PORH - 3 fases</t>
  </si>
  <si>
    <t>Alcalinidad</t>
  </si>
  <si>
    <t>Turbidez</t>
  </si>
  <si>
    <t>Nitrato</t>
  </si>
  <si>
    <t>Nitrito</t>
  </si>
  <si>
    <t>Fenoles</t>
  </si>
  <si>
    <t>Hidrocarburos</t>
  </si>
  <si>
    <t>Biota</t>
  </si>
  <si>
    <t>Perifiton</t>
  </si>
  <si>
    <t>Fitoplancton</t>
  </si>
  <si>
    <t>Zooplancton</t>
  </si>
  <si>
    <t>Macrófitas</t>
  </si>
  <si>
    <t xml:space="preserve">Unidad </t>
  </si>
  <si>
    <t>DS AMBIENTAL SAS - C1</t>
  </si>
  <si>
    <t xml:space="preserve"> - C2</t>
  </si>
  <si>
    <t xml:space="preserve">TOTAL - OFERTA </t>
  </si>
  <si>
    <t>Estimación de la oferta hídrica total y oferta hídrica disponible e indicadores de estado</t>
  </si>
  <si>
    <t>Calcular Oferta Hídrica Total (OHT), Caudal ambiental (Qamb), Oferta Hídrica Disponible (OHD) e indicadores de estado, para nivel de cuenca, subcuencas (nivel 3), tramos de estudio y puntos de monitoreo.</t>
  </si>
  <si>
    <t>Indicadores de presión sobre el recurso hídrico superficial</t>
  </si>
  <si>
    <t>Estimar el índice de uso del agua (IUA) actual e índice de escasez a nivel de cuenca, subcuencas (nivel 3) y tramos de estudio, de acuerdo con la propuesta metodológica del IDEAM (2013) respecto a su estimación y distribución espacial.</t>
  </si>
  <si>
    <t>Estimación cualitativa de riesgos asociados a reducción de la oferta y disponibilidad del recurso hídrico</t>
  </si>
  <si>
    <t>Identificar las posibles problemáticas potenciales asociadas a la reducción de la oferta y a la disponibilidad por cantidad, para los diferentes escenarios de ejecución del Plan de Ordenamiento del Recurso Hídrico, a partir de la estimación del IUA y el IVH; se deberá incorporar al análisis el componente del riesgo asociado a la disponibilidad por calidad, a partir de los resultados del índice de calidad físico químico ICA (IDEAM, 2010) y el IPPH, por tramos de estudio, con su respectivo mapa (ver anexo 4).</t>
  </si>
  <si>
    <t>Estudio de demanda de agua</t>
  </si>
  <si>
    <t>Determinar la demanda actual del recurso hídrico a nivel de cuenca, subcuencas nivel 3; deberá incluir como resultado el respectivo mapa de demanda por cada uso y el mapa de demanda total.</t>
  </si>
  <si>
    <t>Proyección de la demanda de agua</t>
  </si>
  <si>
    <t>Realizar la proyección de la demanda de agua para los diferentes escenarios de ejecución establecidos en el Plan de Ordenamiento del Recurso Hídrico, obteniendo la tendencia en función de los posibles desarrollos socioeconómicos; deberá tenerse en cuenta los siguientes aspectos:
1. Escenarios que contemplen las dinámicas poblacionales de acuerdo con la división política de los municipios, las veredas y centros poblados que vierten o captan agua sobre el cuerpo en ordenamiento.
2. Los proyectos de abastecimiento y de saneamiento para las poblaciones que vierten o captan sobre el cuerpo de agua en ordenamiento.
3. Las proyecciones de los usos de la tierra, y el desarrollo socioeconómico regional.</t>
  </si>
  <si>
    <t xml:space="preserve">TOTAL - DEMANDA </t>
  </si>
  <si>
    <t>Identificación de zonas de recarga del acuífero o interacciones con las aguas superficiales</t>
  </si>
  <si>
    <t>Identificación de posibles zonas de recarga de acuíferos e interacciones con aguas superficiales a partir de información disponible y recorridos de campo. Deberá emplearse la metodología de balance hídrico de suelos por campos distribuidos para el cálculo de la recarga potencial de acuíferos (Schosinsky, 2007).</t>
  </si>
  <si>
    <t xml:space="preserve">Paso 1: Definición o ajuste de objetivos y criterios de calidad por uso </t>
  </si>
  <si>
    <t>Paso 2: Definición de prohibiciones y condicionamientos</t>
  </si>
  <si>
    <t>Paso 3: Definición o ajuste de metas quinquenales de reducción de cargas contaminantes</t>
  </si>
  <si>
    <t>Paso 4. Articulación con el POMCA</t>
  </si>
  <si>
    <t>Paso 5: Articulación con otros instrumentos</t>
  </si>
  <si>
    <t>Paso 6: Elaboración del programa de seguimiento y monitoreo al recurso hídrico</t>
  </si>
  <si>
    <t>Paso 7: Estructuración de proyectos y actividades</t>
  </si>
  <si>
    <t>Paso 8: Elaboración de informes</t>
  </si>
  <si>
    <t>Paso 9: Socialización del PORH</t>
  </si>
  <si>
    <t>Impresiones y publicaciones</t>
  </si>
  <si>
    <t>Tiempos de Viaje</t>
  </si>
  <si>
    <t>Monitoreo FQ</t>
  </si>
  <si>
    <t>Monitoreo Hidrobi</t>
  </si>
  <si>
    <t>Monitoreo Vtos</t>
  </si>
  <si>
    <t>Ofert_Deman_Ind.</t>
  </si>
  <si>
    <t>Zonas_Recarga</t>
  </si>
  <si>
    <t xml:space="preserve">Socialización </t>
  </si>
  <si>
    <t>PROFESIONAL</t>
  </si>
  <si>
    <t>Mes desarrollo</t>
  </si>
  <si>
    <t>% Ocupación</t>
  </si>
  <si>
    <t>Meses de ocupación</t>
  </si>
  <si>
    <t>S1</t>
  </si>
  <si>
    <t>S2</t>
  </si>
  <si>
    <t>S3</t>
  </si>
  <si>
    <t>S4</t>
  </si>
  <si>
    <t>PLAN DE CARGAS</t>
  </si>
  <si>
    <t>MES 12</t>
  </si>
  <si>
    <t>Director</t>
  </si>
  <si>
    <t>RESUMEN DE PLAN DE CARGAS</t>
  </si>
  <si>
    <t>TOTALIZACIÓN DE MESES</t>
  </si>
  <si>
    <t>TOTAL MESES</t>
  </si>
  <si>
    <t>Dedicación Proyecto</t>
  </si>
  <si>
    <t>Plan de Cargas</t>
  </si>
  <si>
    <t>TOTAL (%)</t>
  </si>
  <si>
    <t>AVANCE MENSUAL</t>
  </si>
  <si>
    <t>AVANCE ACUMULADO</t>
  </si>
  <si>
    <t>Revisión y aprobación de la localización del cuerpo de agua</t>
  </si>
  <si>
    <t>Revisión y aprobación del Alistamiento Institucional</t>
  </si>
  <si>
    <t>Revisión y aprobación de la Identificación de actores relevantes para el ordenamiento</t>
  </si>
  <si>
    <t>Revisión y aprobación de la recopilación de información de instrumentos existentes</t>
  </si>
  <si>
    <t>Revisión y aprobación de la identificación preliminar de usuarios y clasificación de los usos actuales</t>
  </si>
  <si>
    <t>Revisión y aprobación de la información asociada a los conflictos por uso del recurso hídrico</t>
  </si>
  <si>
    <t>Revisión y aprobación del prediseño del plan de monitoreo de calidad y cantidad del recurso hídrico</t>
  </si>
  <si>
    <t xml:space="preserve">Revisión y aprobación del Plan de Trabajo </t>
  </si>
  <si>
    <t>Revisión y aprobación del Paso 2. Definición de los tramos o sectores de análisis</t>
  </si>
  <si>
    <t xml:space="preserve">Revisión y aprobación del Paso 1. Censo de usuarios y consolidación de información </t>
  </si>
  <si>
    <t>Revisión y aprobación del Paso 2. Diseño y ejecución del plan de monitoreo</t>
  </si>
  <si>
    <t>Revisión y aprobación del Paso 1. Consolidación de usos existentes del recurso hídrico</t>
  </si>
  <si>
    <t>Revisión y aprobación del Paso 2. Estimación de la oferta hídrica total y oferta hídrica total disponible e indicadores de estado</t>
  </si>
  <si>
    <t>Revisión y aprobación del Paso 3. Identificación de zonas de recarga del acuífero o interacciones con las aguas superficiales</t>
  </si>
  <si>
    <t>Revisión y aprobación del Paso 4. Elaboración de perfiles de calidad actual de cada cuerpo de agua</t>
  </si>
  <si>
    <t>Revisión y aprobación del Paso 5. Estimación de indicadores de calidad de agua</t>
  </si>
  <si>
    <t xml:space="preserve">Revisión y aprobación del Paso 6. Clasificación de los usos actuales </t>
  </si>
  <si>
    <t>Revisión y aprobación del Paso 7. Estudio de demanda de agua</t>
  </si>
  <si>
    <t>Revisión y aprobación del Paso 8. Indicadores de presión sobre el recurso hídrico superficial</t>
  </si>
  <si>
    <t>Revisión y aprobación del Paso 9. Estimación cualitativa del riesgo</t>
  </si>
  <si>
    <t xml:space="preserve">Revisión y aprobación del Paso 10. Análisis de problemáticas y conflictos derivados del recurso hídrico </t>
  </si>
  <si>
    <t xml:space="preserve">Revisión y aprobación del Paso 11. Sistematización de la información resultado de la fase de diagnóstico </t>
  </si>
  <si>
    <t>Revisión y aprobación del Paso 12. Socialización de los resultados de la fase de diagnóstico</t>
  </si>
  <si>
    <t>Revisión y aprobación del Paso 1: Proyección de la demanda de agua</t>
  </si>
  <si>
    <t>Revisión y aprobación del Paso 2: Modelación de la calidad del agua y simulación de escenarios</t>
  </si>
  <si>
    <t>Revisión y aprobación del Paso 3: Clasificación del cuerpo de agua e identificación de usos potenciales</t>
  </si>
  <si>
    <t>Revisión y aprobación del Paso 4. Estimación cualitativa de riesgos asociados a reducción de la oferta y disponibilidad del recurso hídrico</t>
  </si>
  <si>
    <t>Revisión y aprobación Paso 5. Socialización de los resultados de la fase de Usos Potenciales</t>
  </si>
  <si>
    <t xml:space="preserve">Revisión y aprobación del Paso 1: Definición o ajuste de objetivos y criterios de calidad por uso </t>
  </si>
  <si>
    <t>Revisión y aprobación del Paso 2: Definición de prohibiciones y condicionamientos</t>
  </si>
  <si>
    <t>Revisión y aprobación del Paso 3: Definición o ajuste de metas quinquenales de reducción de cargas contaminantes</t>
  </si>
  <si>
    <t>Revisión y aprobación del Paso 4. Articulación con el POMCA</t>
  </si>
  <si>
    <t>Revisión y aprobación del Paso 5: Articulación con otros instrumentos</t>
  </si>
  <si>
    <t>Revisión y aprobación del Paso 6: Elaboración del programa de seguimiento y monitoreo al recurso hídrico</t>
  </si>
  <si>
    <t>Revisión y aprobación del Paso 7: Estructuración de proyectos y actividades</t>
  </si>
  <si>
    <t>Revisión y aprobación del Paso 8: Elaboración de informes</t>
  </si>
  <si>
    <t>Revisión y aprobación del Paso 9: Socialización del PORH</t>
  </si>
  <si>
    <t xml:space="preserve">Revisión y aprobación de informes y publicaciones </t>
  </si>
  <si>
    <t>TABLERO GENERAL DEL PROYECTO</t>
  </si>
  <si>
    <t>Nombre del proyecto</t>
  </si>
  <si>
    <t>Tiempo de ejecución</t>
  </si>
  <si>
    <t>Entidad</t>
  </si>
  <si>
    <t>Localización</t>
  </si>
  <si>
    <t>Valor total proyecto</t>
  </si>
  <si>
    <t>Navegación rápida</t>
  </si>
  <si>
    <t>Consultoría - presupuesto</t>
  </si>
  <si>
    <t>Ir a ECONÓMICA</t>
  </si>
  <si>
    <t>Consultoría - entregables</t>
  </si>
  <si>
    <t>Ir a ENTREGABLES</t>
  </si>
  <si>
    <t>Consultoría - avance %</t>
  </si>
  <si>
    <t>Consultoría - cronograma</t>
  </si>
  <si>
    <t>Interventoría - presupuesto</t>
  </si>
  <si>
    <t>Interventoría - entregables</t>
  </si>
  <si>
    <t>Ir a ENTREGABLES INTERVENTORÍA</t>
  </si>
  <si>
    <t>Interventoría - avance %</t>
  </si>
  <si>
    <t>Interventoría - cronograma</t>
  </si>
  <si>
    <t>Ir a CRONOGRAMA INTERVENTORÍA</t>
  </si>
  <si>
    <t>Distribución general</t>
  </si>
  <si>
    <t>Ir a DISTRIBUCIÓN</t>
  </si>
  <si>
    <t>Viáticos y transporte</t>
  </si>
  <si>
    <t>Ir a VIÁTICOS-TRANSP</t>
  </si>
  <si>
    <t>Ir a FM</t>
  </si>
  <si>
    <t>Estudio de Mercado</t>
  </si>
  <si>
    <t>Consultoría - Plan de Cargas</t>
  </si>
  <si>
    <t>Consultoría - Resumen PC</t>
  </si>
  <si>
    <t>Ir a PLAN DE CARGAS</t>
  </si>
  <si>
    <t>Ir a RESUMEN PLAN DE CARGAS</t>
  </si>
  <si>
    <t>Dias / vehículo</t>
  </si>
  <si>
    <t>Dias / Personas</t>
  </si>
  <si>
    <t>Valor total Consultoría</t>
  </si>
  <si>
    <t>Valor total Interventoría</t>
  </si>
  <si>
    <t>Meta PAC</t>
  </si>
  <si>
    <t>1 PORH PARA EL 2026</t>
  </si>
  <si>
    <t>Resumen Financiero</t>
  </si>
  <si>
    <t>“FORMULACIÓN DEL PLAN DE ORDENAMIENTO DEL RECURSO HÍDRICO (PORH) DE LA CORRIENTE PRINCIPAL DE LA CUENCA DEL RÍO MEDIO Y BAJO SUÁREZ - NSS Y SUS PRINCIPALES TRIBUTARIOS EN LA JURISDICCIÓN DE LA CORPORACIÓN AUTÓNOMA REGIONAL DE SANTANDER (CAS)”</t>
  </si>
  <si>
    <t>EJECUCIÓN 2026 - 2027 (VIGENCIA FUTURA)</t>
  </si>
  <si>
    <t>Periodo de ejecución</t>
  </si>
  <si>
    <t>Sección</t>
  </si>
  <si>
    <t>Ítem</t>
  </si>
  <si>
    <t>Parámetro</t>
  </si>
  <si>
    <t>Cantidad referencial</t>
  </si>
  <si>
    <t>Lasertec</t>
  </si>
  <si>
    <t>Chemilab</t>
  </si>
  <si>
    <t>CIMA</t>
  </si>
  <si>
    <t>SGI</t>
  </si>
  <si>
    <t>Javeriana</t>
  </si>
  <si>
    <t>Acueducto Bogotá</t>
  </si>
  <si>
    <t>CARDIQUE</t>
  </si>
  <si>
    <t>UPB Montería</t>
  </si>
  <si>
    <t>Soportes totales</t>
  </si>
  <si>
    <t>Soportes formales</t>
  </si>
  <si>
    <t>Proveedor menor</t>
  </si>
  <si>
    <t>Menor</t>
  </si>
  <si>
    <t>Proveedor mayor</t>
  </si>
  <si>
    <t>Mayor</t>
  </si>
  <si>
    <t>Mediana mercado</t>
  </si>
  <si>
    <t>Precio sugerido</t>
  </si>
  <si>
    <t>Total sugerido</t>
  </si>
  <si>
    <t>Var. sugerido vs mediana</t>
  </si>
  <si>
    <t>Robustez</t>
  </si>
  <si>
    <t>Acción sugerida</t>
  </si>
  <si>
    <t>Observación</t>
  </si>
  <si>
    <t>Rango % vs mediana</t>
  </si>
  <si>
    <t>Coef. variación</t>
  </si>
  <si>
    <t>Nivel dispersión</t>
  </si>
  <si>
    <t>Revisión obligatoria</t>
  </si>
  <si>
    <t>Método aplicado</t>
  </si>
  <si>
    <t>Aplica recorte</t>
  </si>
  <si>
    <t>Soportes útiles</t>
  </si>
  <si>
    <t>Menor útil</t>
  </si>
  <si>
    <t>Mayor útil</t>
  </si>
  <si>
    <t>Precio depurado sin extremos</t>
  </si>
  <si>
    <t>Total depurado</t>
  </si>
  <si>
    <t>Var. depurado vs mediana original</t>
  </si>
  <si>
    <t>Rango % sin extremos</t>
  </si>
  <si>
    <t>Nivel dispersión sin extremos</t>
  </si>
  <si>
    <t>Calificación sin extremos</t>
  </si>
  <si>
    <t>Observación sin extremos</t>
  </si>
  <si>
    <t>Método final aplicado</t>
  </si>
  <si>
    <t>Estado</t>
  </si>
  <si>
    <t>Recomendación</t>
  </si>
  <si>
    <t>Conductividad eléctrica</t>
  </si>
  <si>
    <t>Oxígeno disuelto</t>
  </si>
  <si>
    <t>Sólidos sedimentables</t>
  </si>
  <si>
    <t>Dureza total</t>
  </si>
  <si>
    <t>DBO5</t>
  </si>
  <si>
    <t>DBO5 filtrada</t>
  </si>
  <si>
    <t>DBO5 soluble</t>
  </si>
  <si>
    <t>DQO</t>
  </si>
  <si>
    <t>Sólidos suspendidos totales</t>
  </si>
  <si>
    <t>Sólidos suspendidos volátiles</t>
  </si>
  <si>
    <t>Sólidos disueltos totales</t>
  </si>
  <si>
    <t>Nitrógeno total</t>
  </si>
  <si>
    <t>Nitrógeno amoniacal</t>
  </si>
  <si>
    <t>Fósforo total</t>
  </si>
  <si>
    <t>Fósforo reactivo disuelto</t>
  </si>
  <si>
    <t>Aceites y grasas</t>
  </si>
  <si>
    <t>SAAM</t>
  </si>
  <si>
    <t>Arsénico total</t>
  </si>
  <si>
    <t>Bario total</t>
  </si>
  <si>
    <t>Cadmio total</t>
  </si>
  <si>
    <t>Zinc total</t>
  </si>
  <si>
    <t>Cobre total</t>
  </si>
  <si>
    <t>Cromo total</t>
  </si>
  <si>
    <t>Hierro total</t>
  </si>
  <si>
    <t>Manganeso total</t>
  </si>
  <si>
    <t>Mercurio total</t>
  </si>
  <si>
    <t>Níquel total</t>
  </si>
  <si>
    <t>Plomo total</t>
  </si>
  <si>
    <t>Selenio total</t>
  </si>
  <si>
    <t>Coliformes termotolerantes</t>
  </si>
  <si>
    <t>Coliformes totales</t>
  </si>
  <si>
    <t>Macroinvertebrados bentónicos</t>
  </si>
  <si>
    <t>Ictiofauna (peces)</t>
  </si>
  <si>
    <t>Macroinvertebrados asociados a macrófitas</t>
  </si>
  <si>
    <t>Monitoreo hidrobiológico</t>
  </si>
  <si>
    <t>Agua superficial</t>
  </si>
  <si>
    <t>Caudal flujo magnético inductivo</t>
  </si>
  <si>
    <t>Caudal ADCP</t>
  </si>
  <si>
    <t>Clorofila a</t>
  </si>
  <si>
    <t>Índice BMWP</t>
  </si>
  <si>
    <t>Índice promedio ponderado</t>
  </si>
  <si>
    <t>Índice de calidad ecológica (ICE)</t>
  </si>
  <si>
    <t>Índices Shannon-Wiener, Simpson y Pielou</t>
  </si>
  <si>
    <t>TOTAL GENERAL</t>
  </si>
  <si>
    <t>Caudal Molinete</t>
  </si>
  <si>
    <t>Matriz de agua + Aforo Molinete</t>
  </si>
  <si>
    <t xml:space="preserve">Matriz de agua + Flujo Magnético </t>
  </si>
  <si>
    <t xml:space="preserve">Matriz de agua + ADCP </t>
  </si>
  <si>
    <t xml:space="preserve">Valor unitario </t>
  </si>
  <si>
    <t>Nota Aclaratoria</t>
  </si>
  <si>
    <t>No. puntos dos campañas</t>
  </si>
  <si>
    <t>En 18 puntos de la Corriente principal (Aforo ADCP)</t>
  </si>
  <si>
    <t>Matriz Biota</t>
  </si>
  <si>
    <t>ANCLA</t>
  </si>
  <si>
    <t>índices</t>
  </si>
  <si>
    <t>Índices Hidrobiología</t>
  </si>
  <si>
    <t xml:space="preserve">Informe </t>
  </si>
  <si>
    <t>Agua residual doméstica (ARD)</t>
  </si>
  <si>
    <t>Caudal volumétrico</t>
  </si>
  <si>
    <t>Servicio de monitoreo compuesto</t>
  </si>
  <si>
    <t>Servicio de monitoreo integrado</t>
  </si>
  <si>
    <t>Monitoreo de Vertimiento</t>
  </si>
  <si>
    <t>Total por vertimiento</t>
  </si>
  <si>
    <t>Valor unitario.  No incluye la logística del monitoreo</t>
  </si>
  <si>
    <t>Suma total presupuesto</t>
  </si>
  <si>
    <t>Logística Monitoreo Biota</t>
  </si>
  <si>
    <t>Logística Monitoreo Agua Superficial</t>
  </si>
  <si>
    <t>9 Vertimiento sobre la corriente principal</t>
  </si>
  <si>
    <t>Proc_SECOP II - COT 1</t>
  </si>
  <si>
    <t>Proc_SECOP II - COT 2</t>
  </si>
  <si>
    <t xml:space="preserve">Descripción </t>
  </si>
  <si>
    <r>
      <rPr>
        <sz val="9"/>
        <color theme="5"/>
        <rFont val="Arial Narrow"/>
        <family val="2"/>
      </rPr>
      <t>Servicio de monitoreo Fisicoquímico:</t>
    </r>
    <r>
      <rPr>
        <sz val="9"/>
        <color theme="1"/>
        <rFont val="Arial Narrow"/>
        <family val="2"/>
        <charset val="1"/>
      </rPr>
      <t xml:space="preserve">
- Coordinación y logística general para la toma de muestras. - Traslado del personal técnico al sitio. - Materiales, equipos y reactivos para la preservación y conservación de las muestras. - Viáticos del personal participante.</t>
    </r>
  </si>
  <si>
    <r>
      <rPr>
        <sz val="9"/>
        <color theme="5"/>
        <rFont val="Arial Narrow"/>
        <family val="2"/>
      </rPr>
      <t>Servicio de monitoreo Hidrobiológico Incluye:</t>
    </r>
    <r>
      <rPr>
        <sz val="9"/>
        <color theme="1"/>
        <rFont val="Arial Narrow"/>
        <family val="2"/>
        <charset val="1"/>
      </rPr>
      <t xml:space="preserve">
- Coordinación y logística general para la toma de muestras. - Traslado del personal técnico al sitio. - Materiales, equipos y reactivos para la preservación y conservación de las muestras. - Viáticos del personal participante.</t>
    </r>
  </si>
  <si>
    <t>Sedimentos - N.A.</t>
  </si>
  <si>
    <t>2.8. Hidrología (Oferta, Demanda e Indicadores)</t>
  </si>
  <si>
    <t>2.10. Impresión y publicaciones medios</t>
  </si>
  <si>
    <t>Cuenca río Medio y Bajo Suárez jurisdicción CAS</t>
  </si>
  <si>
    <t>2.4 - (A,B,C y D) LABORATORIO</t>
  </si>
  <si>
    <t>2.5 (A,B y C) - HIDROBIOLOGÍA</t>
  </si>
  <si>
    <t>2.6 - LABORATORIO - VTOs</t>
  </si>
  <si>
    <t>Paso 9. Socialización de los resultados de la fase de Formulación del PORH (CUATRO TALLERES) Equipo Técnico)</t>
  </si>
  <si>
    <t>Regionales CAS que hacen parte del área de drenaje de la cuenca del río Medio y Bajo Suárez</t>
  </si>
  <si>
    <t>Corriente principal y principales tributarios de la cuenca del río Medio y Bajo Suárez</t>
  </si>
  <si>
    <t>Paso 1. Censo de usuarios y consolidación de información (REVISIÓN INFORMACIÓN AUTORIDAD AMBIENTAL) - Profesionales de campo</t>
  </si>
  <si>
    <t>Paso 1. Censo de usuarios y consolidación de información (RECOLECCIÓN DE INFORMACIÓN EN CAMPO CENSO DE USUARIOS) - Profesionales de campo</t>
  </si>
  <si>
    <t>Parámetros Insitu</t>
  </si>
  <si>
    <t>No. puntos Una campaña</t>
  </si>
  <si>
    <t>Logística Monitoreo Agua Residual</t>
  </si>
  <si>
    <r>
      <rPr>
        <b/>
        <sz val="9"/>
        <color theme="5"/>
        <rFont val="Arial Narrow"/>
        <family val="2"/>
      </rPr>
      <t>Servicio de monitoreo 24 horas con toma de alícuota cada hora y compuesta cada 8 horas Incluye:</t>
    </r>
    <r>
      <rPr>
        <sz val="9"/>
        <color theme="1"/>
        <rFont val="Arial Narrow"/>
        <family val="2"/>
        <charset val="1"/>
      </rPr>
      <t xml:space="preserve">
- Coordinación y logística general para la toma de muestras. - Traslado del personal técnico al sitio. - Materiales, equipos y reactivos para la preservación y conservación de las muestras. - Viáticos del personal participante.</t>
    </r>
  </si>
  <si>
    <t xml:space="preserve">Elaboración de 7 indumentarias para identificación del equipo consultor
- 7 Chalecos tela algodón, estampados en pecho y espalda, a una tinta.
- 7 Escarapelas impresas en vinilo con porta escarapela y cinta para colgar. </t>
  </si>
  <si>
    <t>Director Profesional en Recurso Hídrico</t>
  </si>
  <si>
    <t>La identificación de actores clave constituye una actividad fundamental dentro del diseño e implementación del proceso de participación para la formulación del Plan de Ordenamiento del Recurso Hídrico (PORH) de la cuenca del río Medio y Bajo Suárez, en el área de jurisdicción de la Corporación Autónoma Regional de Santander – CAS. Esta actividad es desarrollada por el componente social del equipo técnico y tiene como propósito reconocer, caracterizar y priorizar los actores institucionales, comunitarios, productivos y organizativos con incidencia en la gestión del recurso hídrico</t>
  </si>
  <si>
    <t>La ejecución de esta actividad requiere desplazamientos de los profesionales de campo a lo largo de la corriente principal de la cuenca río Medio y Bajo Suárez y en los tributarios con mayor influencia sobre el recurso hídrico en jurisdicción CAS, con el fin de verificar directamente la información de los usuarios del agua. Durante los recorridos se realiza la validación de captaciones, vertimientos, ocupaciones de cauce, explotación de material de arrastre y demás usos y permisos asociados, así como la revisión de sistemas de tratamiento municipales y acueductos que abastecen poblaciones superiores a 50 usuarios. Dada la extensión de la cuenca y la distribución espacial de estos sistemas, es necesario contemplar costos de transporte para garantizar el desarrollo adecuado de las actividades de verificación y recolección de información en campo, conforme a los lineamientos de la Guía PORH del Ministerio de Ambiente y Desarrollo Sostenible y la normativa vigente.</t>
  </si>
  <si>
    <t>La socialización de los resultados del diagnóstico del Plan de Ordenamiento del Recurso Hídrico (PORH) requiere el desplazamiento del equipo técnico a diferentes sectores de la cuenca para realizar cuatro talleres de presentación con actores institucionales y comunitarios. En estos espacios se expondrán los principales hallazgos del diagnóstico contenidos en el documento ejecutivo. Debido a la localización de los municipios dentro de la cuenca, es necesario contemplar costos de transporte para garantizar la realización de estos encuentros y la adecuada divulgación de los resultados del estudio en el territorio.</t>
  </si>
  <si>
    <t>La socialización de la fase de identificación de usos potenciales del recurso hídrico requiere el desplazamiento del equipo técnico a distintos municipios de la cuenca del río Medio y Bajo Suárez para la realización de cuatro talleres con actores institucionales y comunitarios. En estos espacios se presentan y discuten los posibles usos del agua identificados para los diferentes tramos del cuerpo de agua, permitiendo recoger aportes del territorio que apoyen la definición de la clasificación y los usos del recurso hídrico dentro del proceso de ordenamiento. Debido a la localización de los municipios dentro de la cuenca, es necesario contemplar costos de transporte para garantizar la realización de estos encuentros participativos.</t>
  </si>
  <si>
    <t>La socialización de los resultados del diagnóstico del Plan de Ordenamiento del Recurso Hídrico (PORH) requiere el desplazamiento y permanencia del equipo técnico en diferentes sectores de la cuenca para realizar cuatro talleres de presentación con actores institucionales y comunitarios. En estos espacios se expondrán los principales hallazgos del diagnóstico contenidos en el documento ejecutivo. Debido a la localización de los municipios dentro de la cuenca, se contemplan gastos de viaje asociados a viáticos para cubrir alojamiento, alimentación y permanencia del personal técnico durante la realización de estos encuentros y la adecuada divulgación de los resultados del estudio en el territorio.</t>
  </si>
  <si>
    <t>La socialización de los resultados de la fase de identificación de usos potenciales del recurso hídrico requiere el desplazamiento y permanencia del equipo técnico en distintos municipios de la cuenca del río Medio y Bajo Suárez para la realización de cuatro talleres con actores institucionales y comunitarios. En estos espacios se presentan y discuten los resultados obtenidos sobre los posibles usos del agua para los diferentes tramos del cuerpo de agua, permitiendo recoger aportes del territorio que apoyen la definición de la clasificación y los usos del recurso hídrico dentro del proceso de ordenamiento. Debido a la localización de los municipios dentro de la cuenca, se contemplan gastos de viaje asociados a viáticos para cubrir alojamiento, alimentación y permanencia del personal técnico durante el desarrollo de estos encuentros participativos.</t>
  </si>
  <si>
    <t>COT 1
Lasertec</t>
  </si>
  <si>
    <t>COT 2
Chemilab</t>
  </si>
  <si>
    <t>COT 3
CIMA</t>
  </si>
  <si>
    <t>COT 4
SGI</t>
  </si>
  <si>
    <t>PM 1
Javeriana</t>
  </si>
  <si>
    <t>PM 2
Acueducto Bogotá</t>
  </si>
  <si>
    <t>PM 3
CARDIQUE</t>
  </si>
  <si>
    <t>PM 4
UPB Montería</t>
  </si>
  <si>
    <t>PM 5
Proc_SECOP II - COT 1</t>
  </si>
  <si>
    <t>PM 6
Proc_SECOP II - COT 2</t>
  </si>
  <si>
    <t>Ir a INTERVENTORÍA</t>
  </si>
  <si>
    <t>Marca Institucional</t>
  </si>
  <si>
    <t>Identificación Institucional</t>
  </si>
  <si>
    <t>CONSULTORÍA IVA (19%)</t>
  </si>
  <si>
    <t>INTERVENTORÍA IVA (19%)</t>
  </si>
  <si>
    <t>FACTOR MULTIPLICADOR CONSULTORÍA</t>
  </si>
  <si>
    <t>COT 1</t>
  </si>
  <si>
    <t>COT 2</t>
  </si>
  <si>
    <t>COT 3</t>
  </si>
  <si>
    <t>Papelería</t>
  </si>
  <si>
    <t>CORPORACIÓN AUTÓNOMA REGIONAL DE SANTANDER - CAS</t>
  </si>
  <si>
    <t>CUENCA RÍO MEDIO Y BAJO SUÁREZ EN JURISDICCIÓN CAS</t>
  </si>
  <si>
    <t>LOGÍSTICA DE MONITOREO</t>
  </si>
  <si>
    <t>LABORATORIOS VERTIMIENTOS</t>
  </si>
  <si>
    <t>HIDROBIOLOGÍA</t>
  </si>
  <si>
    <t>Mes 1 Transporte =</t>
  </si>
  <si>
    <t>Mes 2 Transporte =</t>
  </si>
  <si>
    <t>Mes 3 Transporte =</t>
  </si>
  <si>
    <t>Mes 4 Transporte =</t>
  </si>
  <si>
    <t>Mes 5 Transporte =</t>
  </si>
  <si>
    <t>Mes 6 Transporte =</t>
  </si>
  <si>
    <t>Mes 7 Transporte =</t>
  </si>
  <si>
    <t>Mes 8 Transporte =</t>
  </si>
  <si>
    <t>Mes 9 Transporte =</t>
  </si>
  <si>
    <t>Mes 10 Transporte =</t>
  </si>
  <si>
    <t>Mes 11 Transporte =</t>
  </si>
  <si>
    <t>Mes 12 Transporte =</t>
  </si>
  <si>
    <t>Puntos de monitoreo: 34.  Dos campañas. 2*34 = 68</t>
  </si>
  <si>
    <t>Índice por Puntos de monitoreo: 34.  Dos campañas. 2*34 = 68 y por tramos</t>
  </si>
  <si>
    <t>Son 34 puntos de monitoreo, de los cuales 20 están a menos de 200 m entre sí. Por lo tanto, el valor de la logística para cada uno de esos puntos cercanos se reduce a la mitad.</t>
  </si>
  <si>
    <t>Impresión color de planos de pliego en papel bond.</t>
  </si>
  <si>
    <t>CONSULTORÍA</t>
  </si>
  <si>
    <t>COT 1 - COOFONCE</t>
  </si>
  <si>
    <t>COT 2 - PERSONA NATURAL</t>
  </si>
  <si>
    <t>COT 3 - CONIDING</t>
  </si>
  <si>
    <t>LABORATORIOS AGUA SUPERFICIAL</t>
  </si>
  <si>
    <t>Proyección Demanda</t>
  </si>
  <si>
    <t>Socialización</t>
  </si>
  <si>
    <t>2.9. Determinación de zonas de recarga hídrica</t>
  </si>
  <si>
    <t>Monitoreo compuesto 24 horas. El valor 9 está asociado a los nueve vertimientos: una (1) muestra compuesta por vertimiento en una sola campaña de monitoreo.</t>
  </si>
  <si>
    <t>Ir a (%) DE AVANCE INTERVENTORÍA</t>
  </si>
  <si>
    <t>Ir a (%) DE AVANCE CONSULTORÍA</t>
  </si>
  <si>
    <t>Ir a CRONOGRAMA CONSULTORÍA</t>
  </si>
  <si>
    <t xml:space="preserve">Revisión y aprobación del Paso 1. Diseño e implementación del proceso de participación </t>
  </si>
  <si>
    <t xml:space="preserve">Revisión y aprobación del Paso 3. Definición para la estructura conceptual para la modelación de calidad del agua </t>
  </si>
  <si>
    <t>SALARIO BÁSICO ( nómina total mensual)</t>
  </si>
  <si>
    <t xml:space="preserve">DESCRIPCIÓN </t>
  </si>
  <si>
    <t>CÁLCULO DEL FACTOR MULTIPLICADOR</t>
  </si>
  <si>
    <t>No. de meses</t>
  </si>
  <si>
    <t>No. de vehículos</t>
  </si>
  <si>
    <t>Se estiman 250 mediciones de pH, C.E., OD, temperatura, SS y Q durante 24 horas, incluyendo una medición al inicio o al cierre. Se estiman 25 mediciones por cada vertimiento. No. de vertimientos: 9</t>
  </si>
  <si>
    <r>
      <rPr>
        <b/>
        <sz val="10"/>
        <rFont val="Arial Narrow"/>
        <family val="2"/>
      </rPr>
      <t>FASE 2, FASE 3 Y FASE 4</t>
    </r>
    <r>
      <rPr>
        <sz val="10"/>
        <rFont val="Arial Narrow"/>
        <family val="2"/>
      </rPr>
      <t xml:space="preserve">
Alquiler de equipos y salones taller diagnóstico
Implementación de la estrategia de participación
Doce (12) Talleres de Socialización</t>
    </r>
  </si>
  <si>
    <t>2.1 - Transporte</t>
  </si>
  <si>
    <t>2.2 - Viáticos</t>
  </si>
  <si>
    <t>2.3 - Socialización</t>
  </si>
  <si>
    <t>2.7 - (A,B y C) logis_Monitoreo</t>
  </si>
  <si>
    <t>2.8 - Ofer-Deman-Ind</t>
  </si>
  <si>
    <t>2.9 - Zonas de Recarga</t>
  </si>
  <si>
    <t>2.10 - Impresiones</t>
  </si>
  <si>
    <r>
      <t xml:space="preserve">Resumen ejecutivo del proyecto.
</t>
    </r>
    <r>
      <rPr>
        <sz val="10"/>
        <rFont val="Arial Narrow"/>
        <family val="2"/>
      </rPr>
      <t>La formulación del PORH de la cuenca del río Medio y Bajo Suárez – NSS y sus principales tributarios busca ordenar y gestionar sosteniblemente el recurso hídrico superficial, promoviendo su calidad, disponibilidad y uso equitativo. El proceso, basado en la normativa vigente, incluye diagnóstico, definición de usos, metas de reducción de contaminación, monitoreo y análisis de escenarios climáticos e hidrológicos para orientar la protección de los ecosistemas y el aprovechamiento responsable del agua.</t>
    </r>
  </si>
  <si>
    <t>Factor Multiplicador</t>
  </si>
  <si>
    <t>FASE 1. Declaratoria y Acciones Previas</t>
  </si>
  <si>
    <t>2.2. Gastos de Alojamiento, alimentación e Hidratación</t>
  </si>
  <si>
    <t>La ejecución del plan de monitoreo requiere el desplazamiento y permanencia de profesionales especializados en diferentes sectores de la cuenca del río Medio y Bajo Suárez para supervisar y acompañar las campañas de monitoreo en 34 puntos establecidos. Estas actividades se desarrollan durante dos campañas (periodo seco y periodo de lluvias) y permiten verificar en campo las condiciones de los sitios de monitoreo y el adecuado desarrollo de las mediciones de cantidad (niveles, caudales, sedimentos) y calidad del agua (variables fisicoquímicas, hidrobiológicas y sedimentos). Debido a la extensión de la cuenca y a la distribución de los puntos de monitoreo, es necesario contemplar gastos de viaje asociados a viáticos para cubrir alojamiento, alimentación y permanencia del personal técnico durante el seguimiento de estas actividades. La logística operativa de muestreo se encuentra contemplada en el componente de caracterización.</t>
  </si>
  <si>
    <t>2.10. Impresiones</t>
  </si>
  <si>
    <t>Impresión de informes finales</t>
  </si>
  <si>
    <t>% FM</t>
  </si>
  <si>
    <t>COSTO TOTAL (1+2)</t>
  </si>
  <si>
    <t>Dedicación / mes (%)</t>
  </si>
  <si>
    <t>No. de viajes</t>
  </si>
  <si>
    <t>Unidad</t>
  </si>
  <si>
    <t>SUB TOTAL COSTO PERSONAL PROFESIONAL</t>
  </si>
  <si>
    <t>Dedicación Mensual</t>
  </si>
  <si>
    <t>Informe</t>
  </si>
  <si>
    <t>2 Informes que incluyan los requerimientos de la guía PORH en el capítulo de hidrobiología</t>
  </si>
  <si>
    <t>La socialización de la fase de formulación del Plan de Ordenamiento del Recurso Hídrico (PORH) requiere el desplazamiento del equipo técnico a diferentes municipios de la cuenca del río Medio y Bajo Suárez para la realización de cuatro talleres con actores institucionales y comunitarios. En estos espacios se presentan los principales componentes del plan, incluyendo los objetivos de calidad, programas, proyectos y medidas de manejo del recurso hídrico. Debido a la extensión de la cuenca y a la localización de los municipios, es necesario contemplar costos de transporte para garantizar el desarrollo de estos espacios de participación en el territorio.</t>
  </si>
  <si>
    <t>Unidades de pH</t>
  </si>
  <si>
    <t>µS/cm</t>
  </si>
  <si>
    <t>mg O2/L</t>
  </si>
  <si>
    <t>ºC</t>
  </si>
  <si>
    <t>L/s</t>
  </si>
  <si>
    <t>mL/L</t>
  </si>
  <si>
    <t>mg CaCO3/L</t>
  </si>
  <si>
    <t>mg SST/L</t>
  </si>
  <si>
    <t>mg SSV/L</t>
  </si>
  <si>
    <t>mg SDT/L</t>
  </si>
  <si>
    <t>UNT</t>
  </si>
  <si>
    <t>mg N/L</t>
  </si>
  <si>
    <t>mg NH3-N/L</t>
  </si>
  <si>
    <t>mg NO2-N/L</t>
  </si>
  <si>
    <t>mg NO3-N/L</t>
  </si>
  <si>
    <t>mg P/L</t>
  </si>
  <si>
    <t>mg PO4-P/L</t>
  </si>
  <si>
    <t>mg/L</t>
  </si>
  <si>
    <t>µg/L</t>
  </si>
  <si>
    <t>NMP/100 mL</t>
  </si>
  <si>
    <t>mg/m3</t>
  </si>
  <si>
    <t>Ind/cm2</t>
  </si>
  <si>
    <t>Ind/L</t>
  </si>
  <si>
    <t>Ind/m2</t>
  </si>
  <si>
    <t>% cobertura</t>
  </si>
  <si>
    <t>Unidades capturadas</t>
  </si>
  <si>
    <t>No. de Puntos</t>
  </si>
  <si>
    <t>Punto</t>
  </si>
  <si>
    <t>Campaña</t>
  </si>
  <si>
    <t>Unidades</t>
  </si>
  <si>
    <t>La socialización de los resultados de la fase de formulación del Plan de Ordenamiento del Recurso Hídrico (PORH) requiere el desplazamiento y permanencia del equipo técnico en diferentes municipios de la cuenca del río Medio y Bajo Suárez para la realización de cuatro talleres con actores institucionales y comunitarios. En estos espacios se presentan los principales resultados y componentes del plan, incluyendo los objetivos de calidad, programas, proyectos y medidas de manejo del recurso hídrico. Debido a la extensión de la cuenca y a la localización de los municipios, se contemplan gastos de viaje asociados a viáticos para cubrir alojamiento, alimentación y permanencia del personal técnico durante el desarrollo de estos espacios de participación en el territorio.</t>
  </si>
  <si>
    <t>Recopilación de información de redes hidrometeorológicas hidrobiológicas y de calidad</t>
  </si>
  <si>
    <t>Revisión y aprobación de la recopilación de información de redes hidrometeorológicas hidrobiológicas y de calidad</t>
  </si>
  <si>
    <t>Paso 5. Socialización de los resultados de la fase de Usos Potenciales (CUATRO TALLERES Equipo Técnico)</t>
  </si>
  <si>
    <r>
      <rPr>
        <b/>
        <sz val="9"/>
        <color theme="5"/>
        <rFont val="Arial Narrow"/>
        <family val="2"/>
      </rPr>
      <t>Número total de puntos: 34. Dos campañas: 34*2 = 68</t>
    </r>
    <r>
      <rPr>
        <b/>
        <sz val="9"/>
        <color rgb="FF004E9A"/>
        <rFont val="Arial Narrow"/>
        <family val="2"/>
      </rPr>
      <t xml:space="preserve"> 
Aforo ríos Caudalosos (ADCP): 20. Dos campañas: 20*2 = 40
Aforo Con Molinete: 4.  Dos campañas: 4*2 = 8
Aforo Con Flujo Magnético: 10. Dos Campañas: 2*10 = 20</t>
    </r>
  </si>
  <si>
    <t>La implementación de la estrategia de participación del Plan de Ordenamiento del Recurso Hídrico (PORH) en las fases de diagnóstico, identificación de usos potenciales y formulación del plan contempla la realización de doce (12) talleres de socialización con actores institucionales y comunitarios de la cuenca. Para el adecuado desarrollo de estos espacios participativos es necesario contar con el alquiler de salones de reuniones, equipos y medios de apoyo para presentaciones, así como el suministro de refrigerios para los asistentes, consistentes en jugo natural y sándwich frío. Estos elementos facilitan la logística y garantizan condiciones adecuadas para la participación y el intercambio de información durante los talleres.  Los talleres se realizarán 4 en la fase 2, 4 en la fase 3 y 4 en la fase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</si>
</sst>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6" formatCode="&quot;$&quot;#,##0_);[Red]\(&quot;$&quot;#,##0\)"/>
    <numFmt numFmtId="8" formatCode="&quot;$&quot;#,##0.00_);[Red]\(&quot;$&quot;#,##0.00\)"/>
    <numFmt numFmtId="44" formatCode="_(&quot;$&quot;* #,##0.00_);_(&quot;$&quot;* \(#,##0.00\);_(&quot;$&quot;* &quot;-&quot;??_);_(@_)"/>
    <numFmt numFmtId="43" formatCode="_(* #,##0.00_);_(* \(#,##0.00\);_(* &quot;-&quot;??_);_(@_)"/>
    <numFmt numFmtId="164" formatCode="_-* #,##0.00_-;\-* #,##0.00_-;_-* &quot;-&quot;??_-;_-@_-"/>
    <numFmt numFmtId="165" formatCode="_ * #,##0.00_ ;_ * \-#,##0.00_ ;_ * &quot;-&quot;??_ ;_ @_ "/>
    <numFmt numFmtId="166" formatCode="_ * #,##0_ ;_ * \-#,##0_ ;_ * &quot;-&quot;??_ ;_ @_ "/>
    <numFmt numFmtId="167" formatCode="&quot;$&quot;#,##0.00"/>
    <numFmt numFmtId="168" formatCode="_(* #,##0.000_);_(* \(#,##0.000\);_(* &quot;-&quot;??_);_(@_)"/>
    <numFmt numFmtId="169" formatCode="[$$-240A]\ #,##0.00"/>
    <numFmt numFmtId="170" formatCode="0.0000"/>
    <numFmt numFmtId="171" formatCode="0.0%"/>
    <numFmt numFmtId="172" formatCode="#,##0.0000"/>
    <numFmt numFmtId="173" formatCode="_-* #,##0.00\ _€_-;\-* #,##0.00\ _€_-;_-* &quot;-&quot;??\ _€_-;_-@_-"/>
    <numFmt numFmtId="174" formatCode="_(* #,##0.00000_);_(* \(#,##0.00000\);_(* &quot;-&quot;??_);_(@_)"/>
    <numFmt numFmtId="175" formatCode="_ * #,##0.000_ ;_ * \-#,##0.000_ ;_ * &quot;-&quot;??_ ;_ @_ "/>
    <numFmt numFmtId="176" formatCode="0.000%"/>
    <numFmt numFmtId="177" formatCode="0.00000%"/>
    <numFmt numFmtId="178" formatCode="0.000"/>
    <numFmt numFmtId="179" formatCode="&quot;$&quot;#,##0"/>
    <numFmt numFmtId="180" formatCode="0.0"/>
    <numFmt numFmtId="181" formatCode="&quot;$&quot;#,##0.00000000"/>
    <numFmt numFmtId="182" formatCode="&quot;$&quot;#,##0.000000000000000"/>
    <numFmt numFmtId="183" formatCode="&quot;$&quot;#,##0.000000"/>
    <numFmt numFmtId="184" formatCode="\$#,##0"/>
  </numFmts>
  <fonts count="7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1"/>
      <name val="Arial"/>
      <family val="2"/>
    </font>
    <font>
      <b/>
      <sz val="11"/>
      <name val="Arial"/>
      <family val="2"/>
    </font>
    <font>
      <sz val="11"/>
      <color indexed="18"/>
      <name val="Arial"/>
      <family val="2"/>
    </font>
    <font>
      <b/>
      <sz val="12"/>
      <name val="Arial"/>
      <family val="2"/>
    </font>
    <font>
      <sz val="12"/>
      <name val="Arial"/>
      <family val="2"/>
    </font>
    <font>
      <sz val="10"/>
      <color indexed="8"/>
      <name val="Arial"/>
      <family val="2"/>
    </font>
    <font>
      <sz val="11"/>
      <color rgb="FF000000"/>
      <name val="Calibri"/>
      <family val="2"/>
    </font>
    <font>
      <sz val="10"/>
      <name val="Arial Narrow"/>
      <family val="2"/>
    </font>
    <font>
      <b/>
      <sz val="10"/>
      <color theme="0"/>
      <name val="Arial Narrow"/>
      <family val="2"/>
    </font>
    <font>
      <sz val="11"/>
      <color theme="1"/>
      <name val="Arial Narrow"/>
      <family val="2"/>
    </font>
    <font>
      <b/>
      <sz val="10"/>
      <name val="Arial Narrow"/>
      <family val="2"/>
    </font>
    <font>
      <sz val="11"/>
      <color theme="1"/>
      <name val="Arial"/>
      <family val="2"/>
    </font>
    <font>
      <b/>
      <sz val="11"/>
      <color theme="1"/>
      <name val="Arial"/>
      <family val="2"/>
    </font>
    <font>
      <b/>
      <sz val="11"/>
      <color rgb="FF000000"/>
      <name val="Arial"/>
      <family val="2"/>
    </font>
    <font>
      <sz val="11"/>
      <color rgb="FF000000"/>
      <name val="Arial"/>
      <family val="2"/>
    </font>
    <font>
      <sz val="10"/>
      <name val="Arial"/>
      <family val="2"/>
    </font>
    <font>
      <b/>
      <sz val="9"/>
      <color theme="1"/>
      <name val="Arial Narrow"/>
      <family val="2"/>
    </font>
    <font>
      <b/>
      <i/>
      <sz val="8"/>
      <color theme="0"/>
      <name val="Arial Narrow"/>
      <family val="2"/>
    </font>
    <font>
      <sz val="8"/>
      <color theme="1"/>
      <name val="Arial Narrow"/>
      <family val="2"/>
    </font>
    <font>
      <sz val="8"/>
      <color theme="1"/>
      <name val="Calibri"/>
      <family val="2"/>
      <scheme val="minor"/>
    </font>
    <font>
      <sz val="9"/>
      <name val="Arial Narrow"/>
      <family val="2"/>
    </font>
    <font>
      <b/>
      <sz val="12"/>
      <color theme="0"/>
      <name val="Arial Narrow"/>
      <family val="2"/>
    </font>
    <font>
      <b/>
      <sz val="10"/>
      <name val="Arial"/>
      <family val="2"/>
    </font>
    <font>
      <sz val="11"/>
      <name val="Arial Narrow"/>
      <family val="2"/>
    </font>
    <font>
      <b/>
      <sz val="11"/>
      <name val="Arial Narrow"/>
      <family val="2"/>
    </font>
    <font>
      <b/>
      <sz val="11"/>
      <color theme="1"/>
      <name val="Arial Narrow"/>
      <family val="2"/>
    </font>
    <font>
      <b/>
      <sz val="10"/>
      <color rgb="FFFFFFFF"/>
      <name val="Arial Narrow"/>
      <family val="2"/>
    </font>
    <font>
      <sz val="10"/>
      <color theme="1"/>
      <name val="Arial Narrow"/>
      <family val="2"/>
    </font>
    <font>
      <i/>
      <sz val="10"/>
      <color theme="1"/>
      <name val="Arial Narrow"/>
      <family val="2"/>
    </font>
    <font>
      <b/>
      <sz val="10"/>
      <color theme="1"/>
      <name val="Arial Narrow"/>
      <family val="2"/>
    </font>
    <font>
      <b/>
      <i/>
      <sz val="10"/>
      <color theme="1"/>
      <name val="Arial Narrow"/>
      <family val="2"/>
    </font>
    <font>
      <b/>
      <i/>
      <sz val="11"/>
      <color theme="0"/>
      <name val="Arial Narrow"/>
      <family val="2"/>
    </font>
    <font>
      <b/>
      <sz val="11"/>
      <color theme="0"/>
      <name val="Arial Narrow"/>
      <family val="2"/>
    </font>
    <font>
      <b/>
      <sz val="11"/>
      <color rgb="FFFFFFFF"/>
      <name val="Arial Narrow"/>
      <family val="2"/>
    </font>
    <font>
      <b/>
      <sz val="9"/>
      <name val="Arial Narrow"/>
      <family val="2"/>
    </font>
    <font>
      <b/>
      <sz val="8"/>
      <name val="Calibri"/>
      <family val="2"/>
      <scheme val="minor"/>
    </font>
    <font>
      <sz val="11"/>
      <color theme="0"/>
      <name val="Arial Narrow"/>
      <family val="2"/>
    </font>
    <font>
      <b/>
      <sz val="11"/>
      <color rgb="FF3A3A3A"/>
      <name val="Arial Narrow"/>
      <family val="2"/>
    </font>
    <font>
      <b/>
      <sz val="10"/>
      <color theme="3" tint="-0.499984740745262"/>
      <name val="Arial Narrow"/>
      <family val="2"/>
    </font>
    <font>
      <sz val="10"/>
      <color rgb="FF000000"/>
      <name val="Arial Narrow"/>
      <family val="2"/>
    </font>
    <font>
      <sz val="9"/>
      <color theme="1"/>
      <name val="Arial Narrow"/>
      <family val="2"/>
    </font>
    <font>
      <b/>
      <sz val="10"/>
      <color theme="4" tint="-0.499984740745262"/>
      <name val="Arial Narrow"/>
      <family val="2"/>
    </font>
    <font>
      <b/>
      <sz val="11"/>
      <color rgb="FFFF0000"/>
      <name val="Arial Narrow"/>
      <family val="2"/>
    </font>
    <font>
      <u/>
      <sz val="10"/>
      <color theme="10"/>
      <name val="Arial"/>
      <family val="2"/>
    </font>
    <font>
      <b/>
      <sz val="16"/>
      <color rgb="FFFFFFFF"/>
      <name val="Arial Narrow"/>
      <family val="2"/>
    </font>
    <font>
      <i/>
      <sz val="11"/>
      <name val="Arial Narrow"/>
      <family val="2"/>
    </font>
    <font>
      <sz val="11"/>
      <color rgb="FF000000"/>
      <name val="Arial Narrow"/>
      <family val="2"/>
    </font>
    <font>
      <i/>
      <u/>
      <sz val="11"/>
      <color theme="10"/>
      <name val="Arial Narrow"/>
      <family val="2"/>
    </font>
    <font>
      <i/>
      <u/>
      <sz val="11"/>
      <color theme="10"/>
      <name val="Arial"/>
      <family val="2"/>
    </font>
    <font>
      <i/>
      <u/>
      <sz val="10"/>
      <color theme="10"/>
      <name val="Arial Narrow"/>
      <family val="2"/>
    </font>
    <font>
      <b/>
      <sz val="9.5"/>
      <name val="Arial Narrow"/>
      <family val="2"/>
    </font>
    <font>
      <b/>
      <sz val="12"/>
      <name val="Arial Narrow"/>
      <family val="2"/>
    </font>
    <font>
      <b/>
      <sz val="9"/>
      <color rgb="FFFFFFFF"/>
      <name val="Arial Narrow"/>
      <family val="2"/>
    </font>
    <font>
      <b/>
      <sz val="9"/>
      <color rgb="FFFFFFFF"/>
      <name val="Arial Narrow"/>
      <family val="2"/>
      <charset val="1"/>
    </font>
    <font>
      <sz val="9"/>
      <color theme="1"/>
      <name val="Arial Narrow"/>
      <family val="2"/>
      <charset val="1"/>
    </font>
    <font>
      <b/>
      <sz val="9"/>
      <color rgb="FF004E9A"/>
      <name val="Arial Narrow"/>
      <family val="2"/>
    </font>
    <font>
      <b/>
      <sz val="9"/>
      <color theme="5"/>
      <name val="Arial Narrow"/>
      <family val="2"/>
    </font>
    <font>
      <sz val="9"/>
      <color theme="5"/>
      <name val="Arial Narrow"/>
      <family val="2"/>
    </font>
    <font>
      <sz val="11"/>
      <color indexed="18"/>
      <name val="Arial Narrow"/>
      <family val="2"/>
    </font>
    <font>
      <sz val="12"/>
      <name val="Arial Narrow"/>
      <family val="2"/>
    </font>
    <font>
      <b/>
      <u/>
      <sz val="11"/>
      <name val="Arial Narrow"/>
      <family val="2"/>
    </font>
    <font>
      <b/>
      <u/>
      <sz val="11"/>
      <color theme="0"/>
      <name val="Arial Narrow"/>
      <family val="2"/>
    </font>
    <font>
      <u/>
      <sz val="10"/>
      <color theme="10"/>
      <name val="Arial Narrow"/>
      <family val="2"/>
    </font>
    <font>
      <sz val="10"/>
      <color theme="1"/>
      <name val="Calibri"/>
      <family val="2"/>
      <scheme val="minor"/>
    </font>
    <font>
      <sz val="10"/>
      <color rgb="FFFF0000"/>
      <name val="Arial Narrow"/>
      <family val="2"/>
    </font>
    <font>
      <u/>
      <sz val="9.5"/>
      <color theme="10"/>
      <name val="Arial Narrow"/>
      <family val="2"/>
    </font>
  </fonts>
  <fills count="60">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rgb="FF002060"/>
        <bgColor indexed="64"/>
      </patternFill>
    </fill>
    <fill>
      <patternFill patternType="solid">
        <fgColor rgb="FFFFFF99"/>
        <bgColor indexed="64"/>
      </patternFill>
    </fill>
    <fill>
      <patternFill patternType="solid">
        <fgColor theme="0" tint="-0.14999847407452621"/>
        <bgColor indexed="64"/>
      </patternFill>
    </fill>
    <fill>
      <patternFill patternType="solid">
        <fgColor rgb="FF4D4D4D"/>
        <bgColor indexed="64"/>
      </patternFill>
    </fill>
    <fill>
      <patternFill patternType="solid">
        <fgColor theme="4" tint="-0.499984740745262"/>
        <bgColor theme="4" tint="-0.499984740745262"/>
      </patternFill>
    </fill>
    <fill>
      <patternFill patternType="solid">
        <fgColor theme="8" tint="-0.499984740745262"/>
        <bgColor indexed="64"/>
      </patternFill>
    </fill>
    <fill>
      <patternFill patternType="solid">
        <fgColor theme="6" tint="0.79998168889431442"/>
        <bgColor indexed="64"/>
      </patternFill>
    </fill>
    <fill>
      <patternFill patternType="solid">
        <fgColor theme="8"/>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006600"/>
        <bgColor indexed="64"/>
      </patternFill>
    </fill>
    <fill>
      <patternFill patternType="solid">
        <fgColor rgb="FF003366"/>
        <bgColor indexed="64"/>
      </patternFill>
    </fill>
    <fill>
      <patternFill patternType="solid">
        <fgColor rgb="FF990000"/>
        <bgColor indexed="64"/>
      </patternFill>
    </fill>
    <fill>
      <patternFill patternType="solid">
        <fgColor theme="0" tint="-0.249977111117893"/>
        <bgColor indexed="64"/>
      </patternFill>
    </fill>
    <fill>
      <patternFill patternType="solid">
        <fgColor rgb="FFD9D9D9"/>
        <bgColor indexed="64"/>
      </patternFill>
    </fill>
    <fill>
      <patternFill patternType="solid">
        <fgColor rgb="FFF2F2F2"/>
        <bgColor indexed="64"/>
      </patternFill>
    </fill>
    <fill>
      <patternFill patternType="solid">
        <fgColor theme="4" tint="0.79998168889431442"/>
        <bgColor indexed="64"/>
      </patternFill>
    </fill>
    <fill>
      <patternFill patternType="solid">
        <fgColor rgb="FF800000"/>
        <bgColor indexed="64"/>
      </patternFill>
    </fill>
    <fill>
      <patternFill patternType="solid">
        <fgColor rgb="FFFDE9D9"/>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rgb="FF66FF99"/>
        <bgColor indexed="64"/>
      </patternFill>
    </fill>
    <fill>
      <patternFill patternType="solid">
        <fgColor rgb="FFEBF1DE"/>
        <bgColor indexed="64"/>
      </patternFill>
    </fill>
    <fill>
      <patternFill patternType="solid">
        <fgColor rgb="FFD8E4BC"/>
        <bgColor theme="4" tint="-0.499984740745262"/>
      </patternFill>
    </fill>
    <fill>
      <patternFill patternType="solid">
        <fgColor rgb="FFD8E4BC"/>
        <bgColor indexed="64"/>
      </patternFill>
    </fill>
    <fill>
      <patternFill patternType="solid">
        <fgColor rgb="FF003366"/>
        <bgColor theme="4" tint="-0.499984740745262"/>
      </patternFill>
    </fill>
    <fill>
      <patternFill patternType="solid">
        <fgColor rgb="FFFFFF0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rgb="FFDAEEF3"/>
        <bgColor indexed="64"/>
      </patternFill>
    </fill>
    <fill>
      <patternFill patternType="solid">
        <fgColor rgb="FFF2F2F2"/>
      </patternFill>
    </fill>
    <fill>
      <patternFill patternType="solid">
        <fgColor rgb="FF1F4E78"/>
      </patternFill>
    </fill>
    <fill>
      <patternFill patternType="solid">
        <fgColor rgb="FFD9EAF7"/>
      </patternFill>
    </fill>
    <fill>
      <patternFill patternType="solid">
        <fgColor rgb="FFE2F0D9"/>
      </patternFill>
    </fill>
    <fill>
      <patternFill patternType="solid">
        <fgColor rgb="FFF3F3F3"/>
      </patternFill>
    </fill>
    <fill>
      <patternFill patternType="solid">
        <fgColor rgb="FF1F4E78"/>
        <bgColor rgb="FF003366"/>
      </patternFill>
    </fill>
    <fill>
      <patternFill patternType="solid">
        <fgColor rgb="FF2E8B57"/>
        <bgColor rgb="FF008080"/>
      </patternFill>
    </fill>
    <fill>
      <patternFill patternType="solid">
        <fgColor rgb="FF4F81BD"/>
        <bgColor rgb="FF3366FF"/>
      </patternFill>
    </fill>
    <fill>
      <patternFill patternType="solid">
        <fgColor rgb="FF8064A2"/>
        <bgColor rgb="FF4F81BD"/>
      </patternFill>
    </fill>
    <fill>
      <patternFill patternType="solid">
        <fgColor rgb="FFC55A11"/>
        <bgColor rgb="FF993300"/>
      </patternFill>
    </fill>
    <fill>
      <patternFill patternType="solid">
        <fgColor rgb="FFE2F0D9"/>
        <bgColor rgb="FFD9EAD3"/>
      </patternFill>
    </fill>
    <fill>
      <patternFill patternType="solid">
        <fgColor rgb="FFD9EAD3"/>
        <bgColor rgb="FFE2F0D9"/>
      </patternFill>
    </fill>
    <fill>
      <patternFill patternType="solid">
        <fgColor rgb="FF777777"/>
        <bgColor rgb="FF008080"/>
      </patternFill>
    </fill>
    <fill>
      <patternFill patternType="solid">
        <fgColor rgb="FFFF7474"/>
        <bgColor indexed="64"/>
      </patternFill>
    </fill>
    <fill>
      <patternFill patternType="solid">
        <fgColor theme="4"/>
        <bgColor indexed="64"/>
      </patternFill>
    </fill>
    <fill>
      <patternFill patternType="solid">
        <fgColor rgb="FF1F4E78"/>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55A11"/>
        <bgColor rgb="FFFF6600"/>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right/>
      <top/>
      <bottom style="thin">
        <color theme="4" tint="0.39997558519241921"/>
      </bottom>
      <diagonal/>
    </border>
    <border>
      <left style="thin">
        <color theme="4" tint="0.39997558519241921"/>
      </left>
      <right/>
      <top style="thin">
        <color theme="4" tint="0.39997558519241921"/>
      </top>
      <bottom/>
      <diagonal/>
    </border>
    <border>
      <left style="thin">
        <color theme="0" tint="-0.499984740745262"/>
      </left>
      <right style="thin">
        <color theme="0" tint="-0.499984740745262"/>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theme="0"/>
      </left>
      <right style="thin">
        <color theme="0"/>
      </right>
      <top style="thin">
        <color theme="0"/>
      </top>
      <bottom style="thin">
        <color theme="0"/>
      </bottom>
      <diagonal/>
    </border>
    <border>
      <left/>
      <right/>
      <top/>
      <bottom style="thin">
        <color theme="0"/>
      </bottom>
      <diagonal/>
    </border>
    <border>
      <left/>
      <right/>
      <top style="thin">
        <color theme="0"/>
      </top>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medium">
        <color auto="1"/>
      </left>
      <right style="thin">
        <color auto="1"/>
      </right>
      <top style="thin">
        <color auto="1"/>
      </top>
      <bottom/>
      <diagonal/>
    </border>
    <border>
      <left style="thin">
        <color theme="4" tint="0.39994506668294322"/>
      </left>
      <right/>
      <top style="thin">
        <color theme="4" tint="0.39994506668294322"/>
      </top>
      <bottom/>
      <diagonal/>
    </border>
    <border>
      <left/>
      <right/>
      <top/>
      <bottom style="thin">
        <color theme="4" tint="0.39994506668294322"/>
      </bottom>
      <diagonal/>
    </border>
    <border>
      <left style="thin">
        <color indexed="64"/>
      </left>
      <right/>
      <top style="medium">
        <color indexed="64"/>
      </top>
      <bottom style="thin">
        <color indexed="64"/>
      </bottom>
      <diagonal/>
    </border>
    <border>
      <left/>
      <right style="thin">
        <color theme="0"/>
      </right>
      <top/>
      <bottom/>
      <diagonal/>
    </border>
    <border>
      <left style="thin">
        <color theme="0"/>
      </left>
      <right/>
      <top/>
      <bottom style="thin">
        <color theme="0"/>
      </bottom>
      <diagonal/>
    </border>
    <border>
      <left style="thin">
        <color indexed="64"/>
      </left>
      <right/>
      <top style="thin">
        <color indexed="64"/>
      </top>
      <bottom/>
      <diagonal/>
    </border>
    <border>
      <left style="thin">
        <color indexed="64"/>
      </left>
      <right style="thin">
        <color theme="0"/>
      </right>
      <top style="thin">
        <color indexed="64"/>
      </top>
      <bottom/>
      <diagonal/>
    </border>
    <border>
      <left style="thin">
        <color indexed="64"/>
      </left>
      <right/>
      <top/>
      <bottom/>
      <diagonal/>
    </border>
    <border>
      <left/>
      <right style="thin">
        <color indexed="64"/>
      </right>
      <top/>
      <bottom/>
      <diagonal/>
    </border>
    <border>
      <left style="thin">
        <color theme="4" tint="0.39997558519241921"/>
      </left>
      <right/>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style="thin">
        <color theme="0"/>
      </bottom>
      <diagonal/>
    </border>
    <border>
      <left style="thin">
        <color rgb="FFBFBFBF"/>
      </left>
      <right style="thin">
        <color rgb="FFBFBFBF"/>
      </right>
      <top style="thin">
        <color rgb="FFBFBFBF"/>
      </top>
      <bottom style="thin">
        <color rgb="FFBFBFBF"/>
      </bottom>
      <diagonal/>
    </border>
    <border>
      <left style="thin">
        <color rgb="FFC7D0D9"/>
      </left>
      <right style="thin">
        <color rgb="FFC7D0D9"/>
      </right>
      <top style="thin">
        <color rgb="FFC7D0D9"/>
      </top>
      <bottom style="thin">
        <color rgb="FFC7D0D9"/>
      </bottom>
      <diagonal/>
    </border>
    <border>
      <left style="thin">
        <color rgb="FFBFBFBF"/>
      </left>
      <right/>
      <top/>
      <bottom/>
      <diagonal/>
    </border>
    <border>
      <left/>
      <right/>
      <top/>
      <bottom style="thin">
        <color rgb="FFBFBFBF"/>
      </bottom>
      <diagonal/>
    </border>
    <border>
      <left style="thin">
        <color theme="0" tint="-0.24994659260841701"/>
      </left>
      <right/>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D9D9D9"/>
      </left>
      <right style="thin">
        <color rgb="FFD9D9D9"/>
      </right>
      <top style="thin">
        <color rgb="FFD9D9D9"/>
      </top>
      <bottom style="thin">
        <color rgb="FFD9D9D9"/>
      </bottom>
      <diagonal/>
    </border>
    <border>
      <left/>
      <right style="thin">
        <color rgb="FFD9D9D9"/>
      </right>
      <top style="thin">
        <color rgb="FFD9D9D9"/>
      </top>
      <bottom style="thin">
        <color rgb="FFD9D9D9"/>
      </bottom>
      <diagonal/>
    </border>
    <border>
      <left style="thin">
        <color rgb="FFD9D9D9"/>
      </left>
      <right style="thin">
        <color rgb="FFD9D9D9"/>
      </right>
      <top/>
      <bottom style="thin">
        <color rgb="FFD9D9D9"/>
      </bottom>
      <diagonal/>
    </border>
    <border>
      <left style="thin">
        <color rgb="FFD9D9D9"/>
      </left>
      <right/>
      <top/>
      <bottom/>
      <diagonal/>
    </border>
    <border>
      <left/>
      <right style="thin">
        <color rgb="FFD9D9D9"/>
      </right>
      <top/>
      <bottom/>
      <diagonal/>
    </border>
    <border>
      <left style="thin">
        <color rgb="FFD9D9D9"/>
      </left>
      <right/>
      <top/>
      <bottom style="thin">
        <color rgb="FFD9D9D9"/>
      </bottom>
      <diagonal/>
    </border>
    <border>
      <left/>
      <right/>
      <top/>
      <bottom style="thin">
        <color rgb="FFD9D9D9"/>
      </bottom>
      <diagonal/>
    </border>
    <border>
      <left/>
      <right style="thin">
        <color rgb="FFD9D9D9"/>
      </right>
      <top/>
      <bottom style="thin">
        <color rgb="FFD9D9D9"/>
      </bottom>
      <diagonal/>
    </border>
    <border>
      <left style="thin">
        <color rgb="FFD9D9D9"/>
      </left>
      <right style="thin">
        <color rgb="FFD9D9D9"/>
      </right>
      <top style="thin">
        <color rgb="FFD9D9D9"/>
      </top>
      <bottom/>
      <diagonal/>
    </border>
    <border>
      <left style="thin">
        <color rgb="FFD9D9D9"/>
      </left>
      <right/>
      <top style="thin">
        <color theme="0"/>
      </top>
      <bottom style="thin">
        <color rgb="FFD9D9D9"/>
      </bottom>
      <diagonal/>
    </border>
    <border>
      <left/>
      <right style="thin">
        <color rgb="FFD9D9D9"/>
      </right>
      <top style="thin">
        <color theme="0"/>
      </top>
      <bottom style="thin">
        <color rgb="FFD9D9D9"/>
      </bottom>
      <diagonal/>
    </border>
    <border>
      <left style="thin">
        <color rgb="FFD9D9D9"/>
      </left>
      <right/>
      <top style="thin">
        <color rgb="FFD9D9D9"/>
      </top>
      <bottom style="thin">
        <color rgb="FFD9D9D9"/>
      </bottom>
      <diagonal/>
    </border>
    <border>
      <left style="thin">
        <color theme="0" tint="-0.499984740745262"/>
      </left>
      <right/>
      <top style="thin">
        <color theme="0"/>
      </top>
      <bottom style="thin">
        <color theme="0" tint="-0.499984740745262"/>
      </bottom>
      <diagonal/>
    </border>
    <border>
      <left/>
      <right style="thin">
        <color theme="0" tint="-0.499984740745262"/>
      </right>
      <top style="thin">
        <color theme="0"/>
      </top>
      <bottom style="thin">
        <color theme="0" tint="-0.499984740745262"/>
      </bottom>
      <diagonal/>
    </border>
  </borders>
  <cellStyleXfs count="11">
    <xf numFmtId="0" fontId="0" fillId="0" borderId="0"/>
    <xf numFmtId="165" fontId="4" fillId="0" borderId="0" applyFont="0" applyFill="0" applyBorder="0" applyAlignment="0" applyProtection="0"/>
    <xf numFmtId="0" fontId="11" fillId="0" borderId="0"/>
    <xf numFmtId="9" fontId="4" fillId="0" borderId="0" applyFont="0" applyFill="0" applyBorder="0" applyAlignment="0" applyProtection="0"/>
    <xf numFmtId="0" fontId="12" fillId="0" borderId="0"/>
    <xf numFmtId="0" fontId="3" fillId="0" borderId="0"/>
    <xf numFmtId="0" fontId="4" fillId="0" borderId="0"/>
    <xf numFmtId="44" fontId="21" fillId="0" borderId="0" applyFont="0" applyFill="0" applyBorder="0" applyAlignment="0" applyProtection="0"/>
    <xf numFmtId="173" fontId="2" fillId="0" borderId="0" applyFont="0" applyFill="0" applyBorder="0" applyAlignment="0" applyProtection="0"/>
    <xf numFmtId="0" fontId="49" fillId="0" borderId="0" applyNumberFormat="0" applyFill="0" applyBorder="0" applyAlignment="0" applyProtection="0"/>
    <xf numFmtId="0" fontId="1" fillId="0" borderId="0"/>
  </cellStyleXfs>
  <cellXfs count="880">
    <xf numFmtId="0" fontId="0" fillId="0" borderId="0" xfId="0"/>
    <xf numFmtId="0" fontId="13" fillId="0" borderId="0" xfId="0" applyFont="1"/>
    <xf numFmtId="0" fontId="15" fillId="0" borderId="1" xfId="0" applyFont="1" applyBorder="1" applyAlignment="1">
      <alignment horizontal="center" vertical="center"/>
    </xf>
    <xf numFmtId="0" fontId="7" fillId="0" borderId="10" xfId="0" applyFont="1" applyBorder="1" applyAlignment="1">
      <alignment horizontal="center" vertical="center" wrapText="1"/>
    </xf>
    <xf numFmtId="0" fontId="10" fillId="0" borderId="0" xfId="0" applyFont="1"/>
    <xf numFmtId="0" fontId="9" fillId="0" borderId="1" xfId="0" applyFont="1" applyBorder="1" applyAlignment="1">
      <alignment horizontal="center" vertical="center" wrapText="1"/>
    </xf>
    <xf numFmtId="165" fontId="9" fillId="0" borderId="1" xfId="1" applyFont="1" applyFill="1" applyBorder="1" applyAlignment="1">
      <alignment horizontal="center" vertical="center" wrapText="1"/>
    </xf>
    <xf numFmtId="0" fontId="10" fillId="0" borderId="1" xfId="0" applyFont="1" applyBorder="1" applyAlignment="1">
      <alignment horizontal="center"/>
    </xf>
    <xf numFmtId="165" fontId="10" fillId="0" borderId="1" xfId="1" applyFont="1" applyBorder="1"/>
    <xf numFmtId="0" fontId="10" fillId="0" borderId="1" xfId="0" applyFont="1" applyBorder="1" applyAlignment="1">
      <alignment horizontal="center" vertical="center"/>
    </xf>
    <xf numFmtId="0" fontId="10" fillId="4" borderId="4" xfId="0" applyFont="1" applyFill="1" applyBorder="1"/>
    <xf numFmtId="0" fontId="10" fillId="4" borderId="8" xfId="0" applyFont="1" applyFill="1" applyBorder="1"/>
    <xf numFmtId="0" fontId="10" fillId="4" borderId="3" xfId="0" applyFont="1" applyFill="1" applyBorder="1"/>
    <xf numFmtId="0" fontId="9" fillId="4" borderId="8" xfId="0" applyFont="1" applyFill="1" applyBorder="1" applyAlignment="1">
      <alignment horizontal="center" vertical="center" wrapText="1"/>
    </xf>
    <xf numFmtId="0" fontId="9" fillId="4" borderId="8" xfId="0" applyFont="1" applyFill="1" applyBorder="1" applyAlignment="1">
      <alignment vertical="center" wrapText="1"/>
    </xf>
    <xf numFmtId="0" fontId="10" fillId="4" borderId="3" xfId="0" applyFont="1" applyFill="1" applyBorder="1" applyAlignment="1">
      <alignment horizontal="center"/>
    </xf>
    <xf numFmtId="43" fontId="10" fillId="0" borderId="0" xfId="0" applyNumberFormat="1" applyFont="1"/>
    <xf numFmtId="2" fontId="10" fillId="0" borderId="0" xfId="0" applyNumberFormat="1" applyFont="1"/>
    <xf numFmtId="0" fontId="6" fillId="0" borderId="13" xfId="0" applyFont="1" applyBorder="1" applyAlignment="1">
      <alignment horizontal="left"/>
    </xf>
    <xf numFmtId="9" fontId="8" fillId="0" borderId="1" xfId="3" applyFont="1" applyFill="1" applyBorder="1" applyAlignment="1">
      <alignment horizontal="center"/>
    </xf>
    <xf numFmtId="0" fontId="7" fillId="0" borderId="1" xfId="0" applyFont="1" applyBorder="1" applyAlignment="1">
      <alignment horizontal="center"/>
    </xf>
    <xf numFmtId="0" fontId="6" fillId="0" borderId="13" xfId="0" applyFont="1" applyBorder="1" applyAlignment="1">
      <alignment horizontal="justify" vertical="center" wrapText="1"/>
    </xf>
    <xf numFmtId="9" fontId="8" fillId="0" borderId="1" xfId="3" applyFont="1" applyFill="1" applyBorder="1" applyAlignment="1">
      <alignment horizontal="center" vertical="center"/>
    </xf>
    <xf numFmtId="0" fontId="7" fillId="0" borderId="1" xfId="0" applyFont="1" applyBorder="1" applyAlignment="1">
      <alignment horizontal="center" vertical="center"/>
    </xf>
    <xf numFmtId="0" fontId="17" fillId="0" borderId="0" xfId="5" applyFont="1"/>
    <xf numFmtId="0" fontId="18" fillId="4" borderId="29" xfId="5" applyFont="1" applyFill="1" applyBorder="1" applyAlignment="1">
      <alignment horizontal="center" vertical="center"/>
    </xf>
    <xf numFmtId="0" fontId="18" fillId="4" borderId="0" xfId="5" applyFont="1" applyFill="1" applyAlignment="1">
      <alignment horizontal="center" vertical="center"/>
    </xf>
    <xf numFmtId="0" fontId="18" fillId="4" borderId="14" xfId="5" applyFont="1" applyFill="1" applyBorder="1" applyAlignment="1">
      <alignment horizontal="center" vertical="center"/>
    </xf>
    <xf numFmtId="0" fontId="18" fillId="0" borderId="13" xfId="5" applyFont="1" applyBorder="1" applyAlignment="1">
      <alignment horizontal="center"/>
    </xf>
    <xf numFmtId="0" fontId="18" fillId="0" borderId="1" xfId="5" applyFont="1" applyBorder="1" applyAlignment="1">
      <alignment horizontal="center"/>
    </xf>
    <xf numFmtId="0" fontId="18" fillId="0" borderId="5" xfId="5" applyFont="1" applyBorder="1" applyAlignment="1">
      <alignment horizontal="center"/>
    </xf>
    <xf numFmtId="0" fontId="18" fillId="6" borderId="13" xfId="5" applyFont="1" applyFill="1" applyBorder="1" applyAlignment="1">
      <alignment horizontal="center"/>
    </xf>
    <xf numFmtId="0" fontId="18" fillId="6" borderId="1" xfId="5" applyFont="1" applyFill="1" applyBorder="1" applyAlignment="1">
      <alignment wrapText="1"/>
    </xf>
    <xf numFmtId="2" fontId="19" fillId="6" borderId="5" xfId="5" applyNumberFormat="1" applyFont="1" applyFill="1" applyBorder="1" applyAlignment="1">
      <alignment horizontal="right"/>
    </xf>
    <xf numFmtId="0" fontId="20" fillId="0" borderId="13" xfId="5" applyFont="1" applyBorder="1" applyAlignment="1">
      <alignment horizontal="center"/>
    </xf>
    <xf numFmtId="0" fontId="18" fillId="6" borderId="1" xfId="5" applyFont="1" applyFill="1" applyBorder="1"/>
    <xf numFmtId="2" fontId="20" fillId="0" borderId="5" xfId="5" applyNumberFormat="1" applyFont="1" applyBorder="1" applyAlignment="1">
      <alignment horizontal="right"/>
    </xf>
    <xf numFmtId="0" fontId="20" fillId="0" borderId="1" xfId="5" applyFont="1" applyBorder="1"/>
    <xf numFmtId="2" fontId="20" fillId="0" borderId="5" xfId="5" applyNumberFormat="1" applyFont="1" applyBorder="1"/>
    <xf numFmtId="169" fontId="17" fillId="0" borderId="0" xfId="5" applyNumberFormat="1" applyFont="1"/>
    <xf numFmtId="2" fontId="19" fillId="6" borderId="5" xfId="5" applyNumberFormat="1" applyFont="1" applyFill="1" applyBorder="1"/>
    <xf numFmtId="0" fontId="20" fillId="6" borderId="13" xfId="5" applyFont="1" applyFill="1" applyBorder="1" applyAlignment="1">
      <alignment horizontal="center"/>
    </xf>
    <xf numFmtId="0" fontId="20" fillId="0" borderId="13" xfId="5" applyFont="1" applyBorder="1"/>
    <xf numFmtId="0" fontId="18" fillId="8" borderId="1" xfId="5" applyFont="1" applyFill="1" applyBorder="1" applyAlignment="1">
      <alignment horizontal="right"/>
    </xf>
    <xf numFmtId="2" fontId="19" fillId="8" borderId="5" xfId="5" applyNumberFormat="1" applyFont="1" applyFill="1" applyBorder="1"/>
    <xf numFmtId="0" fontId="20" fillId="0" borderId="15" xfId="5" applyFont="1" applyBorder="1"/>
    <xf numFmtId="0" fontId="18" fillId="8" borderId="7" xfId="5" applyFont="1" applyFill="1" applyBorder="1" applyAlignment="1">
      <alignment horizontal="right"/>
    </xf>
    <xf numFmtId="0" fontId="20" fillId="0" borderId="0" xfId="5" applyFont="1"/>
    <xf numFmtId="0" fontId="18" fillId="6" borderId="1" xfId="5" applyFont="1" applyFill="1" applyBorder="1" applyAlignment="1">
      <alignment horizontal="center"/>
    </xf>
    <xf numFmtId="2" fontId="19" fillId="6" borderId="1" xfId="5" applyNumberFormat="1" applyFont="1" applyFill="1" applyBorder="1" applyAlignment="1">
      <alignment horizontal="right"/>
    </xf>
    <xf numFmtId="0" fontId="20" fillId="4" borderId="1" xfId="5" applyFont="1" applyFill="1" applyBorder="1" applyAlignment="1">
      <alignment horizontal="center"/>
    </xf>
    <xf numFmtId="0" fontId="18" fillId="4" borderId="1" xfId="5" applyFont="1" applyFill="1" applyBorder="1"/>
    <xf numFmtId="2" fontId="19" fillId="4" borderId="1" xfId="5" applyNumberFormat="1" applyFont="1" applyFill="1" applyBorder="1" applyAlignment="1">
      <alignment horizontal="right"/>
    </xf>
    <xf numFmtId="0" fontId="20" fillId="0" borderId="1" xfId="5" applyFont="1" applyBorder="1" applyAlignment="1">
      <alignment horizontal="center"/>
    </xf>
    <xf numFmtId="2" fontId="20" fillId="0" borderId="1" xfId="5" applyNumberFormat="1" applyFont="1" applyBorder="1" applyAlignment="1">
      <alignment horizontal="right"/>
    </xf>
    <xf numFmtId="170" fontId="19" fillId="6" borderId="1" xfId="5" applyNumberFormat="1" applyFont="1" applyFill="1" applyBorder="1"/>
    <xf numFmtId="167" fontId="6" fillId="0" borderId="0" xfId="0" applyNumberFormat="1" applyFont="1"/>
    <xf numFmtId="0" fontId="0" fillId="0" borderId="31" xfId="0" applyBorder="1"/>
    <xf numFmtId="0" fontId="24" fillId="4" borderId="31" xfId="0" applyFont="1" applyFill="1" applyBorder="1"/>
    <xf numFmtId="0" fontId="25" fillId="10" borderId="31" xfId="0" applyFont="1" applyFill="1" applyBorder="1"/>
    <xf numFmtId="0" fontId="25" fillId="4" borderId="31" xfId="0" applyFont="1" applyFill="1" applyBorder="1"/>
    <xf numFmtId="0" fontId="25" fillId="0" borderId="31" xfId="0" applyFont="1" applyBorder="1"/>
    <xf numFmtId="44" fontId="13" fillId="0" borderId="0" xfId="7" applyFont="1"/>
    <xf numFmtId="9" fontId="13" fillId="0" borderId="0" xfId="3" applyFont="1" applyAlignment="1">
      <alignment horizontal="center"/>
    </xf>
    <xf numFmtId="0" fontId="26" fillId="0" borderId="0" xfId="0" applyFont="1"/>
    <xf numFmtId="0" fontId="16" fillId="0" borderId="0" xfId="0" applyFont="1" applyAlignment="1">
      <alignment horizontal="center"/>
    </xf>
    <xf numFmtId="172" fontId="10" fillId="0" borderId="1" xfId="0" applyNumberFormat="1" applyFont="1" applyBorder="1" applyAlignment="1">
      <alignment horizontal="center" vertical="center"/>
    </xf>
    <xf numFmtId="44" fontId="13" fillId="0" borderId="0" xfId="0" applyNumberFormat="1" applyFont="1"/>
    <xf numFmtId="174" fontId="15" fillId="0" borderId="1" xfId="1" applyNumberFormat="1" applyFont="1" applyBorder="1" applyAlignment="1">
      <alignment horizontal="center" vertical="center"/>
    </xf>
    <xf numFmtId="0" fontId="0" fillId="0" borderId="34" xfId="0" applyBorder="1"/>
    <xf numFmtId="0" fontId="26" fillId="0" borderId="35" xfId="0" applyFont="1" applyBorder="1" applyAlignment="1">
      <alignment wrapText="1"/>
    </xf>
    <xf numFmtId="0" fontId="14" fillId="14" borderId="37" xfId="0" applyFont="1" applyFill="1" applyBorder="1" applyAlignment="1">
      <alignment horizontal="center" vertical="center"/>
    </xf>
    <xf numFmtId="0" fontId="14" fillId="14" borderId="3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justify" vertical="center" wrapText="1"/>
    </xf>
    <xf numFmtId="0" fontId="27" fillId="15" borderId="8" xfId="0" applyFont="1" applyFill="1" applyBorder="1" applyAlignment="1">
      <alignment horizontal="center"/>
    </xf>
    <xf numFmtId="0" fontId="27" fillId="15" borderId="8" xfId="0" applyFont="1" applyFill="1" applyBorder="1"/>
    <xf numFmtId="0" fontId="27" fillId="15" borderId="3" xfId="0" applyFont="1" applyFill="1" applyBorder="1"/>
    <xf numFmtId="6" fontId="27" fillId="15" borderId="3" xfId="0" applyNumberFormat="1" applyFont="1" applyFill="1" applyBorder="1"/>
    <xf numFmtId="0" fontId="13" fillId="0" borderId="1" xfId="0" applyFont="1" applyBorder="1" applyAlignment="1">
      <alignment horizontal="justify" vertical="top" wrapText="1"/>
    </xf>
    <xf numFmtId="167" fontId="13" fillId="0" borderId="1" xfId="0" applyNumberFormat="1" applyFont="1" applyBorder="1" applyAlignment="1">
      <alignment horizontal="center" vertical="center"/>
    </xf>
    <xf numFmtId="8" fontId="13" fillId="0" borderId="1" xfId="0" applyNumberFormat="1" applyFont="1" applyBorder="1" applyAlignment="1">
      <alignment horizontal="right" vertical="center"/>
    </xf>
    <xf numFmtId="8" fontId="13" fillId="0" borderId="0" xfId="0" applyNumberFormat="1" applyFont="1"/>
    <xf numFmtId="8" fontId="27" fillId="15" borderId="1" xfId="0" applyNumberFormat="1" applyFont="1" applyFill="1" applyBorder="1"/>
    <xf numFmtId="6" fontId="13" fillId="0" borderId="0" xfId="0" applyNumberFormat="1" applyFont="1"/>
    <xf numFmtId="43" fontId="13" fillId="0" borderId="0" xfId="0" applyNumberFormat="1" applyFont="1"/>
    <xf numFmtId="0" fontId="15" fillId="0" borderId="0" xfId="0" applyFont="1" applyAlignment="1">
      <alignment horizontal="center" vertical="center"/>
    </xf>
    <xf numFmtId="0" fontId="6" fillId="0" borderId="1" xfId="0" applyFont="1" applyBorder="1" applyAlignment="1">
      <alignment horizontal="center" vertical="center"/>
    </xf>
    <xf numFmtId="0" fontId="13" fillId="0" borderId="0" xfId="3" applyNumberFormat="1" applyFont="1" applyAlignment="1">
      <alignment horizontal="center"/>
    </xf>
    <xf numFmtId="0" fontId="22" fillId="0" borderId="38" xfId="0" applyFont="1" applyBorder="1" applyAlignment="1">
      <alignment horizontal="center"/>
    </xf>
    <xf numFmtId="0" fontId="15" fillId="0" borderId="1" xfId="8" applyNumberFormat="1" applyFont="1" applyBorder="1" applyAlignment="1">
      <alignment horizontal="right" vertical="center"/>
    </xf>
    <xf numFmtId="167" fontId="13" fillId="0" borderId="0" xfId="0" applyNumberFormat="1" applyFont="1"/>
    <xf numFmtId="167" fontId="9" fillId="0" borderId="2" xfId="0" applyNumberFormat="1" applyFont="1" applyBorder="1" applyAlignment="1">
      <alignment horizontal="right"/>
    </xf>
    <xf numFmtId="167" fontId="10" fillId="0" borderId="1" xfId="1" applyNumberFormat="1" applyFont="1" applyFill="1" applyBorder="1" applyAlignment="1">
      <alignment horizontal="right" vertical="center"/>
    </xf>
    <xf numFmtId="43" fontId="29" fillId="4" borderId="0" xfId="0" applyNumberFormat="1" applyFont="1" applyFill="1"/>
    <xf numFmtId="168" fontId="29" fillId="4" borderId="0" xfId="0" applyNumberFormat="1" applyFont="1" applyFill="1" applyAlignment="1">
      <alignment horizontal="center"/>
    </xf>
    <xf numFmtId="0" fontId="29" fillId="4" borderId="0" xfId="0" applyFont="1" applyFill="1" applyAlignment="1">
      <alignment horizontal="center"/>
    </xf>
    <xf numFmtId="165" fontId="29" fillId="4" borderId="0" xfId="1" applyFont="1" applyFill="1"/>
    <xf numFmtId="167" fontId="30" fillId="4" borderId="0" xfId="0" applyNumberFormat="1" applyFont="1" applyFill="1" applyAlignment="1">
      <alignment horizontal="right"/>
    </xf>
    <xf numFmtId="0" fontId="29" fillId="4" borderId="0" xfId="0" applyFont="1" applyFill="1"/>
    <xf numFmtId="0" fontId="15" fillId="0" borderId="42" xfId="0" applyFont="1" applyBorder="1"/>
    <xf numFmtId="0" fontId="15" fillId="0" borderId="26" xfId="0" applyFont="1" applyBorder="1"/>
    <xf numFmtId="0" fontId="32" fillId="19" borderId="29" xfId="0" applyFont="1" applyFill="1" applyBorder="1" applyAlignment="1">
      <alignment vertical="center" wrapText="1"/>
    </xf>
    <xf numFmtId="0" fontId="32" fillId="19" borderId="0" xfId="0" applyFont="1" applyFill="1" applyAlignment="1">
      <alignment horizontal="center" vertical="center" wrapText="1"/>
    </xf>
    <xf numFmtId="0" fontId="33" fillId="0" borderId="0" xfId="0" applyFont="1"/>
    <xf numFmtId="0" fontId="34" fillId="0" borderId="29" xfId="0" applyFont="1" applyBorder="1" applyAlignment="1">
      <alignment vertical="center" wrapText="1"/>
    </xf>
    <xf numFmtId="0" fontId="34" fillId="0" borderId="0" xfId="0" applyFont="1" applyAlignment="1">
      <alignment vertical="center" wrapText="1"/>
    </xf>
    <xf numFmtId="0" fontId="15" fillId="0" borderId="0" xfId="0" applyFont="1"/>
    <xf numFmtId="0" fontId="15" fillId="0" borderId="14" xfId="0" applyFont="1" applyBorder="1"/>
    <xf numFmtId="0" fontId="32" fillId="20" borderId="40" xfId="0" applyFont="1" applyFill="1" applyBorder="1" applyAlignment="1">
      <alignment horizontal="center"/>
    </xf>
    <xf numFmtId="0" fontId="32" fillId="20" borderId="43" xfId="0" applyFont="1" applyFill="1" applyBorder="1"/>
    <xf numFmtId="0" fontId="15" fillId="0" borderId="43" xfId="0" applyFont="1" applyBorder="1"/>
    <xf numFmtId="0" fontId="15" fillId="0" borderId="41" xfId="0" applyFont="1" applyBorder="1"/>
    <xf numFmtId="0" fontId="31" fillId="16" borderId="0" xfId="0" applyFont="1" applyFill="1"/>
    <xf numFmtId="0" fontId="32" fillId="20" borderId="40" xfId="0" applyFont="1" applyFill="1" applyBorder="1"/>
    <xf numFmtId="0" fontId="35" fillId="3" borderId="29" xfId="0" applyFont="1" applyFill="1" applyBorder="1" applyAlignment="1">
      <alignment vertical="center" wrapText="1"/>
    </xf>
    <xf numFmtId="0" fontId="35" fillId="3" borderId="0" xfId="0" applyFont="1" applyFill="1" applyAlignment="1">
      <alignment vertical="center" wrapText="1"/>
    </xf>
    <xf numFmtId="0" fontId="36" fillId="3" borderId="0" xfId="0" applyFont="1" applyFill="1" applyAlignment="1">
      <alignment vertical="center" wrapText="1"/>
    </xf>
    <xf numFmtId="0" fontId="35" fillId="3" borderId="29" xfId="0" applyFont="1" applyFill="1" applyBorder="1" applyAlignment="1">
      <alignment horizontal="center" vertical="center" wrapText="1"/>
    </xf>
    <xf numFmtId="176" fontId="13" fillId="0" borderId="0" xfId="3" applyNumberFormat="1" applyFont="1" applyAlignment="1">
      <alignment horizontal="center"/>
    </xf>
    <xf numFmtId="171" fontId="16" fillId="0" borderId="0" xfId="0" applyNumberFormat="1" applyFont="1" applyAlignment="1">
      <alignment horizontal="center"/>
    </xf>
    <xf numFmtId="177" fontId="13" fillId="0" borderId="0" xfId="3" applyNumberFormat="1" applyFont="1" applyAlignment="1">
      <alignment horizontal="center"/>
    </xf>
    <xf numFmtId="0" fontId="32" fillId="0" borderId="0" xfId="0" applyFont="1" applyAlignment="1">
      <alignment horizontal="center"/>
    </xf>
    <xf numFmtId="0" fontId="32" fillId="0" borderId="0" xfId="0" applyFont="1"/>
    <xf numFmtId="170" fontId="10" fillId="0" borderId="0" xfId="0" applyNumberFormat="1" applyFont="1"/>
    <xf numFmtId="178" fontId="19" fillId="8" borderId="16" xfId="5" applyNumberFormat="1" applyFont="1" applyFill="1" applyBorder="1"/>
    <xf numFmtId="9" fontId="31" fillId="0" borderId="31" xfId="3" applyFont="1" applyBorder="1" applyAlignment="1">
      <alignment horizontal="center" vertical="center"/>
    </xf>
    <xf numFmtId="0" fontId="31" fillId="0" borderId="31" xfId="3" applyNumberFormat="1" applyFont="1" applyBorder="1" applyAlignment="1">
      <alignment horizontal="center" vertical="center"/>
    </xf>
    <xf numFmtId="44" fontId="31" fillId="0" borderId="31" xfId="7" applyFont="1" applyBorder="1" applyAlignment="1">
      <alignment horizontal="center" vertical="center" wrapText="1"/>
    </xf>
    <xf numFmtId="0" fontId="30" fillId="0" borderId="31" xfId="0" applyFont="1" applyBorder="1" applyAlignment="1">
      <alignment horizontal="center" vertical="center"/>
    </xf>
    <xf numFmtId="0" fontId="29" fillId="0" borderId="31" xfId="0" applyFont="1" applyBorder="1" applyAlignment="1">
      <alignment wrapText="1"/>
    </xf>
    <xf numFmtId="10" fontId="15" fillId="0" borderId="31" xfId="3" applyNumberFormat="1" applyFont="1" applyBorder="1" applyAlignment="1">
      <alignment horizontal="center" vertical="center" wrapText="1"/>
    </xf>
    <xf numFmtId="0" fontId="15" fillId="0" borderId="31" xfId="3" applyNumberFormat="1" applyFont="1" applyBorder="1" applyAlignment="1">
      <alignment horizontal="center" vertical="center" wrapText="1"/>
    </xf>
    <xf numFmtId="167" fontId="15" fillId="0" borderId="31" xfId="0" applyNumberFormat="1" applyFont="1" applyBorder="1"/>
    <xf numFmtId="0" fontId="30" fillId="11" borderId="31" xfId="0" applyFont="1" applyFill="1" applyBorder="1" applyAlignment="1">
      <alignment horizontal="center"/>
    </xf>
    <xf numFmtId="44" fontId="29" fillId="11" borderId="31" xfId="7" applyFont="1" applyFill="1" applyBorder="1"/>
    <xf numFmtId="0" fontId="29" fillId="11" borderId="31" xfId="7" applyNumberFormat="1" applyFont="1" applyFill="1" applyBorder="1"/>
    <xf numFmtId="167" fontId="30" fillId="11" borderId="31" xfId="0" applyNumberFormat="1" applyFont="1" applyFill="1" applyBorder="1"/>
    <xf numFmtId="0" fontId="30" fillId="12" borderId="31" xfId="0" applyFont="1" applyFill="1" applyBorder="1" applyAlignment="1">
      <alignment horizontal="center"/>
    </xf>
    <xf numFmtId="9" fontId="29" fillId="12" borderId="31" xfId="3" applyFont="1" applyFill="1" applyBorder="1" applyAlignment="1">
      <alignment horizontal="center"/>
    </xf>
    <xf numFmtId="0" fontId="29" fillId="12" borderId="31" xfId="3" applyNumberFormat="1" applyFont="1" applyFill="1" applyBorder="1" applyAlignment="1">
      <alignment horizontal="center"/>
    </xf>
    <xf numFmtId="167" fontId="30" fillId="12" borderId="31" xfId="0" applyNumberFormat="1" applyFont="1" applyFill="1" applyBorder="1"/>
    <xf numFmtId="0" fontId="29" fillId="0" borderId="0" xfId="0" applyFont="1"/>
    <xf numFmtId="0" fontId="38" fillId="13" borderId="31" xfId="0" applyFont="1" applyFill="1" applyBorder="1" applyAlignment="1">
      <alignment horizontal="center" vertical="center"/>
    </xf>
    <xf numFmtId="9" fontId="38" fillId="13" borderId="31" xfId="3" applyFont="1" applyFill="1" applyBorder="1" applyAlignment="1">
      <alignment horizontal="center" vertical="center"/>
    </xf>
    <xf numFmtId="0" fontId="38" fillId="13" borderId="31" xfId="3" applyNumberFormat="1" applyFont="1" applyFill="1" applyBorder="1" applyAlignment="1">
      <alignment horizontal="center" vertical="center"/>
    </xf>
    <xf numFmtId="167" fontId="38" fillId="13" borderId="31" xfId="0" applyNumberFormat="1" applyFont="1" applyFill="1" applyBorder="1" applyAlignment="1">
      <alignment horizontal="center" vertical="center"/>
    </xf>
    <xf numFmtId="10" fontId="13" fillId="0" borderId="0" xfId="3" applyNumberFormat="1" applyFont="1" applyAlignment="1">
      <alignment horizontal="center"/>
    </xf>
    <xf numFmtId="0" fontId="15" fillId="0" borderId="39" xfId="0" applyFont="1" applyBorder="1"/>
    <xf numFmtId="0" fontId="33" fillId="0" borderId="29" xfId="0" applyFont="1" applyBorder="1"/>
    <xf numFmtId="0" fontId="15" fillId="0" borderId="40" xfId="0" applyFont="1" applyBorder="1"/>
    <xf numFmtId="0" fontId="15" fillId="0" borderId="42" xfId="0" applyFont="1" applyBorder="1" applyAlignment="1">
      <alignment horizontal="center" vertical="center"/>
    </xf>
    <xf numFmtId="0" fontId="15" fillId="0" borderId="26" xfId="0" applyFont="1" applyBorder="1" applyAlignment="1">
      <alignment horizontal="center" vertical="center"/>
    </xf>
    <xf numFmtId="0" fontId="33" fillId="0" borderId="0" xfId="0" applyFont="1" applyAlignment="1">
      <alignment horizontal="center" vertical="center"/>
    </xf>
    <xf numFmtId="0" fontId="33" fillId="0" borderId="14" xfId="0" applyFont="1" applyBorder="1" applyAlignment="1">
      <alignment horizontal="center" vertical="center"/>
    </xf>
    <xf numFmtId="0" fontId="33" fillId="17" borderId="1" xfId="0" applyFont="1" applyFill="1" applyBorder="1" applyAlignment="1">
      <alignment horizontal="center" vertical="center"/>
    </xf>
    <xf numFmtId="0" fontId="15" fillId="0" borderId="43" xfId="0" applyFont="1" applyBorder="1" applyAlignment="1">
      <alignment horizontal="center" vertical="center"/>
    </xf>
    <xf numFmtId="0" fontId="15" fillId="0" borderId="41" xfId="0" applyFont="1" applyBorder="1" applyAlignment="1">
      <alignment horizontal="center" vertical="center"/>
    </xf>
    <xf numFmtId="167" fontId="15" fillId="0" borderId="0" xfId="0" applyNumberFormat="1" applyFont="1"/>
    <xf numFmtId="0" fontId="31" fillId="0" borderId="42" xfId="0" applyFont="1" applyBorder="1" applyAlignment="1">
      <alignment horizontal="center"/>
    </xf>
    <xf numFmtId="167" fontId="29" fillId="0" borderId="0" xfId="0" applyNumberFormat="1" applyFont="1"/>
    <xf numFmtId="0" fontId="31" fillId="0" borderId="38" xfId="0" applyFont="1" applyBorder="1" applyAlignment="1">
      <alignment horizontal="center"/>
    </xf>
    <xf numFmtId="167" fontId="29" fillId="0" borderId="0" xfId="0" applyNumberFormat="1" applyFont="1" applyAlignment="1">
      <alignment horizontal="center"/>
    </xf>
    <xf numFmtId="167" fontId="29" fillId="0" borderId="0" xfId="0" applyNumberFormat="1" applyFont="1" applyAlignment="1">
      <alignment horizontal="center" vertical="center"/>
    </xf>
    <xf numFmtId="0" fontId="38" fillId="0" borderId="0" xfId="0" applyFont="1" applyAlignment="1">
      <alignment horizontal="center"/>
    </xf>
    <xf numFmtId="0" fontId="30" fillId="0" borderId="0" xfId="0" applyFont="1" applyAlignment="1">
      <alignment horizontal="center"/>
    </xf>
    <xf numFmtId="167" fontId="30" fillId="0" borderId="0" xfId="0" applyNumberFormat="1" applyFont="1" applyAlignment="1">
      <alignment horizontal="center"/>
    </xf>
    <xf numFmtId="2" fontId="29" fillId="0" borderId="0" xfId="0" applyNumberFormat="1" applyFont="1" applyAlignment="1">
      <alignment vertical="center"/>
    </xf>
    <xf numFmtId="10" fontId="29" fillId="0" borderId="0" xfId="0" applyNumberFormat="1" applyFont="1"/>
    <xf numFmtId="1" fontId="30" fillId="0" borderId="0" xfId="0" applyNumberFormat="1" applyFont="1" applyAlignment="1">
      <alignment horizontal="center" vertical="center"/>
    </xf>
    <xf numFmtId="167" fontId="30" fillId="0" borderId="0" xfId="0" applyNumberFormat="1" applyFont="1" applyAlignment="1">
      <alignment vertical="center"/>
    </xf>
    <xf numFmtId="167" fontId="30" fillId="0" borderId="0" xfId="0" applyNumberFormat="1" applyFont="1" applyAlignment="1">
      <alignment horizontal="center" vertical="center"/>
    </xf>
    <xf numFmtId="1" fontId="38" fillId="21" borderId="0" xfId="0" applyNumberFormat="1" applyFont="1" applyFill="1" applyAlignment="1">
      <alignment horizontal="center" vertical="center"/>
    </xf>
    <xf numFmtId="167" fontId="29" fillId="0" borderId="0" xfId="0" applyNumberFormat="1" applyFont="1" applyAlignment="1">
      <alignment vertical="center"/>
    </xf>
    <xf numFmtId="10" fontId="29" fillId="0" borderId="0" xfId="0" applyNumberFormat="1" applyFont="1" applyAlignment="1">
      <alignment horizontal="center"/>
    </xf>
    <xf numFmtId="0" fontId="29" fillId="0" borderId="0" xfId="0" applyFont="1" applyAlignment="1">
      <alignment vertical="center"/>
    </xf>
    <xf numFmtId="0" fontId="31" fillId="3" borderId="45" xfId="0" applyFont="1" applyFill="1" applyBorder="1" applyAlignment="1">
      <alignment horizontal="justify" vertical="center" wrapText="1"/>
    </xf>
    <xf numFmtId="167" fontId="30" fillId="0" borderId="0" xfId="0" applyNumberFormat="1" applyFont="1"/>
    <xf numFmtId="167" fontId="30" fillId="23" borderId="0" xfId="0" applyNumberFormat="1" applyFont="1" applyFill="1"/>
    <xf numFmtId="10" fontId="30" fillId="23" borderId="0" xfId="0" applyNumberFormat="1" applyFont="1" applyFill="1"/>
    <xf numFmtId="167" fontId="30" fillId="0" borderId="0" xfId="0" applyNumberFormat="1" applyFont="1" applyAlignment="1">
      <alignment horizontal="right"/>
    </xf>
    <xf numFmtId="0" fontId="30" fillId="3" borderId="45" xfId="0" applyFont="1" applyFill="1" applyBorder="1"/>
    <xf numFmtId="1" fontId="30" fillId="5" borderId="0" xfId="0" applyNumberFormat="1" applyFont="1" applyFill="1" applyAlignment="1">
      <alignment horizontal="center" vertical="center"/>
    </xf>
    <xf numFmtId="10" fontId="30" fillId="0" borderId="0" xfId="0" applyNumberFormat="1" applyFont="1"/>
    <xf numFmtId="176" fontId="29" fillId="0" borderId="0" xfId="0" applyNumberFormat="1" applyFont="1"/>
    <xf numFmtId="167" fontId="37" fillId="9" borderId="31" xfId="7" applyNumberFormat="1" applyFont="1" applyFill="1" applyBorder="1" applyAlignment="1">
      <alignment horizontal="center" vertical="center" wrapText="1"/>
    </xf>
    <xf numFmtId="167" fontId="15" fillId="0" borderId="31" xfId="7" applyNumberFormat="1" applyFont="1" applyBorder="1" applyAlignment="1">
      <alignment vertical="top" wrapText="1"/>
    </xf>
    <xf numFmtId="167" fontId="30" fillId="11" borderId="30" xfId="0" applyNumberFormat="1" applyFont="1" applyFill="1" applyBorder="1"/>
    <xf numFmtId="167" fontId="15" fillId="0" borderId="31" xfId="7" applyNumberFormat="1" applyFont="1" applyFill="1" applyBorder="1" applyAlignment="1">
      <alignment vertical="top" wrapText="1"/>
    </xf>
    <xf numFmtId="167" fontId="29" fillId="0" borderId="31" xfId="0" applyNumberFormat="1" applyFont="1" applyBorder="1"/>
    <xf numFmtId="167" fontId="30" fillId="11" borderId="31" xfId="7" applyNumberFormat="1" applyFont="1" applyFill="1" applyBorder="1"/>
    <xf numFmtId="167" fontId="30" fillId="12" borderId="31" xfId="7" applyNumberFormat="1" applyFont="1" applyFill="1" applyBorder="1"/>
    <xf numFmtId="167" fontId="38" fillId="13" borderId="31" xfId="7" applyNumberFormat="1" applyFont="1" applyFill="1" applyBorder="1" applyAlignment="1">
      <alignment horizontal="center" vertical="center"/>
    </xf>
    <xf numFmtId="167" fontId="15" fillId="0" borderId="31" xfId="0" applyNumberFormat="1" applyFont="1" applyBorder="1" applyAlignment="1">
      <alignment vertical="center"/>
    </xf>
    <xf numFmtId="167" fontId="29" fillId="0" borderId="31" xfId="0" applyNumberFormat="1" applyFont="1" applyBorder="1" applyAlignment="1">
      <alignment vertical="center"/>
    </xf>
    <xf numFmtId="10" fontId="29" fillId="0" borderId="0" xfId="0" applyNumberFormat="1" applyFont="1" applyAlignment="1">
      <alignment vertical="center"/>
    </xf>
    <xf numFmtId="176" fontId="29" fillId="0" borderId="0" xfId="0" applyNumberFormat="1" applyFont="1" applyAlignment="1">
      <alignment vertical="center"/>
    </xf>
    <xf numFmtId="0" fontId="30" fillId="0" borderId="45" xfId="0" applyFont="1" applyBorder="1"/>
    <xf numFmtId="0" fontId="30" fillId="24" borderId="0" xfId="0" applyFont="1" applyFill="1" applyAlignment="1">
      <alignment horizontal="center" vertical="center"/>
    </xf>
    <xf numFmtId="10" fontId="15" fillId="0" borderId="32" xfId="3" applyNumberFormat="1" applyFont="1" applyBorder="1" applyAlignment="1">
      <alignment horizontal="center" vertical="top" wrapText="1"/>
    </xf>
    <xf numFmtId="167" fontId="29" fillId="0" borderId="5" xfId="0" applyNumberFormat="1" applyFont="1" applyBorder="1" applyAlignment="1">
      <alignment vertical="center"/>
    </xf>
    <xf numFmtId="0" fontId="31" fillId="0" borderId="39" xfId="0" applyFont="1" applyBorder="1" applyAlignment="1">
      <alignment horizontal="center"/>
    </xf>
    <xf numFmtId="0" fontId="16" fillId="3" borderId="0" xfId="0" applyFont="1" applyFill="1"/>
    <xf numFmtId="0" fontId="16" fillId="0" borderId="0" xfId="0" applyFont="1" applyAlignment="1">
      <alignment horizontal="right"/>
    </xf>
    <xf numFmtId="0" fontId="13" fillId="0" borderId="42" xfId="0" applyFont="1" applyBorder="1"/>
    <xf numFmtId="0" fontId="13" fillId="0" borderId="0" xfId="0" applyFont="1" applyAlignment="1">
      <alignment horizontal="right" vertical="center"/>
    </xf>
    <xf numFmtId="0" fontId="14" fillId="21" borderId="0" xfId="0" applyFont="1" applyFill="1" applyAlignment="1">
      <alignment horizontal="center"/>
    </xf>
    <xf numFmtId="0" fontId="14" fillId="21" borderId="0" xfId="0" applyFont="1" applyFill="1"/>
    <xf numFmtId="167" fontId="16" fillId="0" borderId="0" xfId="0" applyNumberFormat="1" applyFont="1"/>
    <xf numFmtId="167" fontId="29" fillId="4" borderId="0" xfId="0" applyNumberFormat="1" applyFont="1" applyFill="1" applyAlignment="1">
      <alignment horizontal="center" vertical="center"/>
    </xf>
    <xf numFmtId="0" fontId="31" fillId="0" borderId="1" xfId="0" applyFont="1" applyBorder="1" applyAlignment="1">
      <alignment horizontal="center" vertical="center"/>
    </xf>
    <xf numFmtId="0" fontId="31" fillId="3" borderId="0" xfId="0" applyFont="1" applyFill="1" applyAlignment="1">
      <alignment horizontal="justify" vertical="center" wrapText="1"/>
    </xf>
    <xf numFmtId="0" fontId="31" fillId="7" borderId="0" xfId="0" applyFont="1" applyFill="1" applyAlignment="1">
      <alignment horizontal="justify" vertical="center" wrapText="1"/>
    </xf>
    <xf numFmtId="0" fontId="31" fillId="3" borderId="0" xfId="0" applyFont="1" applyFill="1" applyAlignment="1">
      <alignment horizontal="center" vertical="center" wrapText="1"/>
    </xf>
    <xf numFmtId="167" fontId="29" fillId="0" borderId="47" xfId="0" applyNumberFormat="1" applyFont="1" applyBorder="1" applyAlignment="1">
      <alignment horizontal="center" vertical="center"/>
    </xf>
    <xf numFmtId="0" fontId="39" fillId="22" borderId="0" xfId="0" applyFont="1" applyFill="1" applyAlignment="1">
      <alignment horizontal="center" vertical="center"/>
    </xf>
    <xf numFmtId="1" fontId="15" fillId="0" borderId="31" xfId="3" applyNumberFormat="1" applyFont="1" applyBorder="1" applyAlignment="1">
      <alignment horizontal="center" vertical="center" wrapText="1"/>
    </xf>
    <xf numFmtId="0" fontId="18" fillId="0" borderId="0" xfId="5" applyFont="1" applyAlignment="1">
      <alignment vertical="center"/>
    </xf>
    <xf numFmtId="10" fontId="30" fillId="0" borderId="0" xfId="0" applyNumberFormat="1" applyFont="1" applyAlignment="1">
      <alignment horizontal="center" vertical="center"/>
    </xf>
    <xf numFmtId="0" fontId="29" fillId="4" borderId="35" xfId="0" applyFont="1" applyFill="1" applyBorder="1" applyAlignment="1">
      <alignment horizontal="left" wrapText="1"/>
    </xf>
    <xf numFmtId="0" fontId="13" fillId="0" borderId="0" xfId="0" applyFont="1" applyAlignment="1">
      <alignment wrapText="1"/>
    </xf>
    <xf numFmtId="0" fontId="13" fillId="0" borderId="0" xfId="0" applyFont="1" applyAlignment="1">
      <alignment horizontal="center"/>
    </xf>
    <xf numFmtId="176" fontId="30" fillId="0" borderId="0" xfId="0" applyNumberFormat="1" applyFont="1"/>
    <xf numFmtId="0" fontId="13" fillId="0" borderId="0" xfId="0" applyFont="1" applyAlignment="1">
      <alignment vertical="center" wrapText="1"/>
    </xf>
    <xf numFmtId="0" fontId="31" fillId="0" borderId="0" xfId="0" applyFont="1"/>
    <xf numFmtId="0" fontId="35" fillId="0" borderId="29" xfId="0" applyFont="1" applyBorder="1" applyAlignment="1">
      <alignment vertical="center" wrapText="1"/>
    </xf>
    <xf numFmtId="0" fontId="35" fillId="0" borderId="0" xfId="0" applyFont="1" applyAlignment="1">
      <alignment vertical="center" wrapText="1"/>
    </xf>
    <xf numFmtId="0" fontId="16" fillId="0" borderId="0" xfId="0" applyFont="1"/>
    <xf numFmtId="0" fontId="13" fillId="0" borderId="0" xfId="0" applyFont="1" applyAlignment="1">
      <alignment horizontal="left" vertical="center" wrapText="1"/>
    </xf>
    <xf numFmtId="0" fontId="31" fillId="16" borderId="43" xfId="0" applyFont="1" applyFill="1" applyBorder="1"/>
    <xf numFmtId="0" fontId="24" fillId="0" borderId="0" xfId="0" applyFont="1" applyAlignment="1">
      <alignment vertical="center" wrapText="1"/>
    </xf>
    <xf numFmtId="0" fontId="35" fillId="0" borderId="0" xfId="0" applyFont="1" applyAlignment="1">
      <alignment horizontal="center" vertical="center" wrapText="1"/>
    </xf>
    <xf numFmtId="167" fontId="16" fillId="0" borderId="43" xfId="0" applyNumberFormat="1" applyFont="1" applyBorder="1"/>
    <xf numFmtId="0" fontId="7" fillId="0" borderId="10" xfId="0" applyFont="1" applyBorder="1" applyAlignment="1">
      <alignment vertical="center" wrapText="1"/>
    </xf>
    <xf numFmtId="0" fontId="6" fillId="0" borderId="1" xfId="0" applyFont="1" applyBorder="1" applyAlignment="1">
      <alignment horizontal="center" vertical="center" wrapText="1"/>
    </xf>
    <xf numFmtId="10" fontId="6" fillId="0" borderId="1" xfId="0" applyNumberFormat="1" applyFont="1" applyBorder="1" applyAlignment="1">
      <alignment horizontal="center" vertical="center" wrapText="1"/>
    </xf>
    <xf numFmtId="167" fontId="6" fillId="0" borderId="1" xfId="1" applyNumberFormat="1" applyFont="1" applyFill="1" applyBorder="1" applyAlignment="1">
      <alignment vertical="center" wrapText="1"/>
    </xf>
    <xf numFmtId="167" fontId="6" fillId="0" borderId="1" xfId="0" applyNumberFormat="1" applyFont="1" applyBorder="1" applyAlignment="1">
      <alignment horizontal="right" vertical="center"/>
    </xf>
    <xf numFmtId="0" fontId="6" fillId="0" borderId="2" xfId="0" applyFont="1" applyBorder="1" applyAlignment="1">
      <alignment horizontal="center" vertical="center" wrapText="1"/>
    </xf>
    <xf numFmtId="165" fontId="6" fillId="0" borderId="2" xfId="1" applyFont="1" applyFill="1" applyBorder="1" applyAlignment="1">
      <alignment vertical="center" wrapText="1"/>
    </xf>
    <xf numFmtId="167" fontId="6" fillId="0" borderId="2" xfId="1" applyNumberFormat="1" applyFont="1" applyFill="1" applyBorder="1" applyAlignment="1">
      <alignment vertical="center" wrapText="1"/>
    </xf>
    <xf numFmtId="167" fontId="7" fillId="0" borderId="2" xfId="0" applyNumberFormat="1" applyFont="1" applyBorder="1" applyAlignment="1">
      <alignment horizontal="right"/>
    </xf>
    <xf numFmtId="0" fontId="29" fillId="0" borderId="33" xfId="0" applyFont="1" applyBorder="1" applyAlignment="1">
      <alignment horizontal="justify" vertical="top" wrapText="1"/>
    </xf>
    <xf numFmtId="0" fontId="37" fillId="22" borderId="33" xfId="0" applyFont="1" applyFill="1" applyBorder="1" applyAlignment="1">
      <alignment horizontal="left" vertical="center" wrapText="1"/>
    </xf>
    <xf numFmtId="10" fontId="37" fillId="22" borderId="31" xfId="3" applyNumberFormat="1" applyFont="1" applyFill="1" applyBorder="1" applyAlignment="1">
      <alignment horizontal="center" vertical="center" wrapText="1"/>
    </xf>
    <xf numFmtId="9" fontId="37" fillId="22" borderId="31" xfId="3" applyFont="1" applyFill="1" applyBorder="1" applyAlignment="1">
      <alignment horizontal="center" vertical="center" wrapText="1"/>
    </xf>
    <xf numFmtId="0" fontId="37" fillId="22" borderId="31" xfId="3" applyNumberFormat="1" applyFont="1" applyFill="1" applyBorder="1" applyAlignment="1">
      <alignment horizontal="center" vertical="center" wrapText="1"/>
    </xf>
    <xf numFmtId="167" fontId="37" fillId="22" borderId="31" xfId="7" applyNumberFormat="1" applyFont="1" applyFill="1" applyBorder="1" applyAlignment="1">
      <alignment horizontal="center" vertical="center" wrapText="1"/>
    </xf>
    <xf numFmtId="0" fontId="37" fillId="22" borderId="33" xfId="0" applyFont="1" applyFill="1" applyBorder="1" applyAlignment="1">
      <alignment horizontal="justify" vertical="center" wrapText="1"/>
    </xf>
    <xf numFmtId="0" fontId="37" fillId="22" borderId="33" xfId="0" applyFont="1" applyFill="1" applyBorder="1" applyAlignment="1">
      <alignment horizontal="justify" vertical="top" wrapText="1"/>
    </xf>
    <xf numFmtId="10" fontId="37" fillId="22" borderId="31" xfId="0" applyNumberFormat="1" applyFont="1" applyFill="1" applyBorder="1" applyAlignment="1">
      <alignment vertical="center" wrapText="1"/>
    </xf>
    <xf numFmtId="0" fontId="37" fillId="22" borderId="31" xfId="0" applyFont="1" applyFill="1" applyBorder="1" applyAlignment="1">
      <alignment vertical="center" wrapText="1"/>
    </xf>
    <xf numFmtId="10" fontId="37" fillId="22" borderId="33" xfId="0" applyNumberFormat="1" applyFont="1" applyFill="1" applyBorder="1" applyAlignment="1">
      <alignment horizontal="justify" vertical="top" wrapText="1"/>
    </xf>
    <xf numFmtId="167" fontId="37" fillId="22" borderId="33" xfId="0" applyNumberFormat="1" applyFont="1" applyFill="1" applyBorder="1" applyAlignment="1">
      <alignment horizontal="center" vertical="top" wrapText="1"/>
    </xf>
    <xf numFmtId="9" fontId="30" fillId="3" borderId="31" xfId="3" applyFont="1" applyFill="1" applyBorder="1" applyAlignment="1">
      <alignment horizontal="center" wrapText="1"/>
    </xf>
    <xf numFmtId="0" fontId="30" fillId="3" borderId="35" xfId="0" applyFont="1" applyFill="1" applyBorder="1" applyAlignment="1">
      <alignment horizontal="center" wrapText="1"/>
    </xf>
    <xf numFmtId="167" fontId="37" fillId="22" borderId="31" xfId="3" applyNumberFormat="1" applyFont="1" applyFill="1" applyBorder="1" applyAlignment="1">
      <alignment horizontal="center" vertical="center" wrapText="1"/>
    </xf>
    <xf numFmtId="167" fontId="29" fillId="22" borderId="31" xfId="0" applyNumberFormat="1" applyFont="1" applyFill="1" applyBorder="1"/>
    <xf numFmtId="10" fontId="15" fillId="0" borderId="32" xfId="3" applyNumberFormat="1" applyFont="1" applyBorder="1" applyAlignment="1">
      <alignment horizontal="center" vertical="center" wrapText="1"/>
    </xf>
    <xf numFmtId="167" fontId="15" fillId="0" borderId="31" xfId="7" applyNumberFormat="1" applyFont="1" applyBorder="1" applyAlignment="1">
      <alignment vertical="center" wrapText="1"/>
    </xf>
    <xf numFmtId="167" fontId="37" fillId="22" borderId="31" xfId="0" applyNumberFormat="1" applyFont="1" applyFill="1" applyBorder="1" applyAlignment="1">
      <alignment vertical="center" wrapText="1"/>
    </xf>
    <xf numFmtId="0" fontId="14" fillId="14" borderId="53" xfId="0" applyFont="1" applyFill="1" applyBorder="1" applyAlignment="1">
      <alignment horizontal="center" vertical="center"/>
    </xf>
    <xf numFmtId="0" fontId="13" fillId="0" borderId="0" xfId="0" applyFont="1" applyAlignment="1">
      <alignment vertical="center"/>
    </xf>
    <xf numFmtId="0" fontId="13" fillId="0" borderId="0" xfId="0" applyFont="1" applyAlignment="1">
      <alignment horizontal="center" vertical="center"/>
    </xf>
    <xf numFmtId="0" fontId="14" fillId="14" borderId="53" xfId="0" applyFont="1" applyFill="1" applyBorder="1" applyAlignment="1">
      <alignment horizontal="center" vertical="center" wrapText="1"/>
    </xf>
    <xf numFmtId="167" fontId="13" fillId="0" borderId="1" xfId="0" applyNumberFormat="1" applyFont="1" applyBorder="1" applyAlignment="1">
      <alignment horizontal="center" vertical="center" wrapText="1"/>
    </xf>
    <xf numFmtId="0" fontId="23" fillId="22" borderId="0" xfId="0" applyFont="1" applyFill="1" applyAlignment="1">
      <alignment vertical="center" wrapText="1"/>
    </xf>
    <xf numFmtId="0" fontId="23" fillId="22" borderId="31" xfId="0" applyFont="1" applyFill="1" applyBorder="1" applyAlignment="1">
      <alignment wrapText="1"/>
    </xf>
    <xf numFmtId="0" fontId="25" fillId="22" borderId="31" xfId="0" applyFont="1" applyFill="1" applyBorder="1"/>
    <xf numFmtId="0" fontId="25" fillId="10" borderId="35" xfId="0" applyFont="1" applyFill="1" applyBorder="1"/>
    <xf numFmtId="0" fontId="25" fillId="0" borderId="35" xfId="0" applyFont="1" applyBorder="1"/>
    <xf numFmtId="0" fontId="25" fillId="4" borderId="33" xfId="0" applyFont="1" applyFill="1" applyBorder="1"/>
    <xf numFmtId="0" fontId="25" fillId="10" borderId="33" xfId="0" applyFont="1" applyFill="1" applyBorder="1"/>
    <xf numFmtId="0" fontId="0" fillId="22" borderId="31" xfId="0" applyFill="1" applyBorder="1"/>
    <xf numFmtId="0" fontId="41" fillId="12" borderId="35" xfId="0" applyFont="1" applyFill="1" applyBorder="1"/>
    <xf numFmtId="0" fontId="41" fillId="12" borderId="31" xfId="0" applyFont="1" applyFill="1" applyBorder="1"/>
    <xf numFmtId="0" fontId="30" fillId="0" borderId="0" xfId="0" applyFont="1" applyAlignment="1">
      <alignment horizontal="center" vertical="top"/>
    </xf>
    <xf numFmtId="0" fontId="40" fillId="12" borderId="35" xfId="0" applyFont="1" applyFill="1" applyBorder="1" applyAlignment="1">
      <alignment horizontal="center" wrapText="1"/>
    </xf>
    <xf numFmtId="0" fontId="31" fillId="0" borderId="0" xfId="0" applyFont="1" applyAlignment="1">
      <alignment horizontal="justify" vertical="center" wrapText="1"/>
    </xf>
    <xf numFmtId="167" fontId="30" fillId="23" borderId="45" xfId="0" applyNumberFormat="1" applyFont="1" applyFill="1" applyBorder="1"/>
    <xf numFmtId="10" fontId="30" fillId="23" borderId="45" xfId="0" applyNumberFormat="1" applyFont="1" applyFill="1" applyBorder="1"/>
    <xf numFmtId="0" fontId="30" fillId="0" borderId="0" xfId="0" applyFont="1" applyAlignment="1">
      <alignment horizontal="center" vertical="center" wrapText="1"/>
    </xf>
    <xf numFmtId="179" fontId="13" fillId="0" borderId="1" xfId="0" applyNumberFormat="1" applyFont="1" applyBorder="1" applyAlignment="1">
      <alignment horizontal="center" vertical="center"/>
    </xf>
    <xf numFmtId="0" fontId="29" fillId="4" borderId="35" xfId="0" applyFont="1" applyFill="1" applyBorder="1" applyAlignment="1">
      <alignment horizontal="justify" wrapText="1"/>
    </xf>
    <xf numFmtId="167" fontId="30" fillId="3" borderId="31" xfId="3" applyNumberFormat="1" applyFont="1" applyFill="1" applyBorder="1" applyAlignment="1">
      <alignment horizontal="center" wrapText="1"/>
    </xf>
    <xf numFmtId="167" fontId="6" fillId="0" borderId="1" xfId="1" applyNumberFormat="1" applyFont="1" applyFill="1" applyBorder="1"/>
    <xf numFmtId="167" fontId="10" fillId="0" borderId="1" xfId="0" applyNumberFormat="1" applyFont="1" applyBorder="1" applyAlignment="1">
      <alignment horizontal="right" vertical="center"/>
    </xf>
    <xf numFmtId="167" fontId="6" fillId="0" borderId="1" xfId="1" applyNumberFormat="1" applyFont="1" applyFill="1" applyBorder="1" applyAlignment="1">
      <alignment vertical="center"/>
    </xf>
    <xf numFmtId="0" fontId="6" fillId="0" borderId="52" xfId="0" applyFont="1" applyBorder="1" applyAlignment="1">
      <alignment horizontal="left"/>
    </xf>
    <xf numFmtId="9" fontId="8" fillId="0" borderId="2" xfId="3" applyFont="1" applyFill="1" applyBorder="1" applyAlignment="1">
      <alignment horizontal="center"/>
    </xf>
    <xf numFmtId="0" fontId="32" fillId="0" borderId="0" xfId="0" applyFont="1" applyAlignment="1">
      <alignment horizontal="center" vertical="center" wrapText="1"/>
    </xf>
    <xf numFmtId="0" fontId="16" fillId="5" borderId="29" xfId="0" applyFont="1" applyFill="1" applyBorder="1" applyAlignment="1">
      <alignment horizontal="center" vertical="center" wrapText="1"/>
    </xf>
    <xf numFmtId="0" fontId="15" fillId="0" borderId="0" xfId="0" applyFont="1" applyAlignment="1">
      <alignment vertical="center"/>
    </xf>
    <xf numFmtId="0" fontId="15" fillId="0" borderId="14" xfId="0" applyFont="1" applyBorder="1" applyAlignment="1">
      <alignment vertical="center"/>
    </xf>
    <xf numFmtId="0" fontId="16" fillId="5" borderId="45" xfId="0" applyFont="1" applyFill="1" applyBorder="1" applyAlignment="1">
      <alignment horizontal="center"/>
    </xf>
    <xf numFmtId="0" fontId="13" fillId="0" borderId="0" xfId="0" applyFont="1" applyAlignment="1">
      <alignment horizontal="justify" vertical="center" wrapText="1"/>
    </xf>
    <xf numFmtId="0" fontId="34" fillId="0" borderId="29" xfId="0" applyFont="1" applyBorder="1" applyAlignment="1">
      <alignment horizontal="justify" vertical="center" wrapText="1"/>
    </xf>
    <xf numFmtId="0" fontId="31" fillId="0" borderId="2" xfId="0" applyFont="1" applyBorder="1" applyAlignment="1">
      <alignment horizontal="center" vertical="center"/>
    </xf>
    <xf numFmtId="0" fontId="13" fillId="0" borderId="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0" xfId="0" applyFont="1" applyBorder="1" applyAlignment="1">
      <alignment horizontal="center" vertical="center" wrapText="1"/>
    </xf>
    <xf numFmtId="169" fontId="13" fillId="0" borderId="0" xfId="0" applyNumberFormat="1" applyFont="1" applyAlignment="1">
      <alignment vertical="center"/>
    </xf>
    <xf numFmtId="0" fontId="13" fillId="0" borderId="10" xfId="0" applyFont="1" applyBorder="1" applyAlignment="1">
      <alignment horizontal="center" vertical="center"/>
    </xf>
    <xf numFmtId="169" fontId="13" fillId="0" borderId="0" xfId="0" applyNumberFormat="1" applyFont="1"/>
    <xf numFmtId="0" fontId="13" fillId="0" borderId="23" xfId="0" applyFont="1" applyBorder="1" applyAlignment="1">
      <alignment horizontal="center" vertical="center"/>
    </xf>
    <xf numFmtId="0" fontId="13" fillId="0" borderId="10" xfId="0" applyFont="1" applyBorder="1" applyAlignment="1">
      <alignment horizontal="justify" vertical="top" wrapText="1"/>
    </xf>
    <xf numFmtId="167" fontId="13" fillId="0" borderId="10" xfId="0" applyNumberFormat="1" applyFont="1" applyBorder="1" applyAlignment="1">
      <alignment horizontal="center" vertical="center"/>
    </xf>
    <xf numFmtId="8" fontId="13" fillId="0" borderId="10" xfId="0" applyNumberFormat="1" applyFont="1" applyBorder="1" applyAlignment="1">
      <alignment horizontal="center" vertical="center"/>
    </xf>
    <xf numFmtId="0" fontId="14" fillId="14" borderId="45" xfId="0" applyFont="1" applyFill="1" applyBorder="1" applyAlignment="1">
      <alignment horizontal="center" vertical="center" wrapText="1"/>
    </xf>
    <xf numFmtId="0" fontId="14" fillId="14" borderId="45" xfId="0" applyFont="1" applyFill="1" applyBorder="1" applyAlignment="1">
      <alignment horizontal="center" vertical="center"/>
    </xf>
    <xf numFmtId="0" fontId="33" fillId="0" borderId="29" xfId="0" applyFont="1" applyBorder="1" applyAlignment="1">
      <alignment horizontal="justify" vertical="center" wrapText="1"/>
    </xf>
    <xf numFmtId="1" fontId="13" fillId="0" borderId="10" xfId="0" applyNumberFormat="1" applyFont="1" applyBorder="1" applyAlignment="1">
      <alignment horizontal="center" vertical="center"/>
    </xf>
    <xf numFmtId="1" fontId="13" fillId="0" borderId="27" xfId="0" applyNumberFormat="1" applyFont="1" applyBorder="1" applyAlignment="1">
      <alignment horizontal="center" vertical="center"/>
    </xf>
    <xf numFmtId="1" fontId="27" fillId="15" borderId="3" xfId="0" applyNumberFormat="1" applyFont="1" applyFill="1" applyBorder="1"/>
    <xf numFmtId="8" fontId="27" fillId="15" borderId="8" xfId="0" applyNumberFormat="1" applyFont="1" applyFill="1" applyBorder="1" applyAlignment="1">
      <alignment horizontal="center"/>
    </xf>
    <xf numFmtId="0" fontId="30" fillId="24" borderId="45" xfId="0" applyFont="1" applyFill="1" applyBorder="1"/>
    <xf numFmtId="0" fontId="13" fillId="0" borderId="10"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2" xfId="0" applyFont="1" applyBorder="1" applyAlignment="1">
      <alignment horizontal="justify" vertical="top" wrapText="1"/>
    </xf>
    <xf numFmtId="167" fontId="13" fillId="0" borderId="23" xfId="0" applyNumberFormat="1" applyFont="1" applyBorder="1" applyAlignment="1">
      <alignment horizontal="center" vertical="center"/>
    </xf>
    <xf numFmtId="8" fontId="13" fillId="0" borderId="23" xfId="0" applyNumberFormat="1" applyFont="1" applyBorder="1" applyAlignment="1">
      <alignment horizontal="center" vertical="center"/>
    </xf>
    <xf numFmtId="1" fontId="13" fillId="0" borderId="2" xfId="0" applyNumberFormat="1" applyFont="1" applyBorder="1" applyAlignment="1">
      <alignment horizontal="center" vertical="center"/>
    </xf>
    <xf numFmtId="1" fontId="13" fillId="0" borderId="60" xfId="0" applyNumberFormat="1" applyFont="1" applyBorder="1" applyAlignment="1">
      <alignment horizontal="center" vertical="center"/>
    </xf>
    <xf numFmtId="0" fontId="13" fillId="0" borderId="2" xfId="0" applyFont="1" applyBorder="1" applyAlignment="1">
      <alignment horizontal="center" vertical="center"/>
    </xf>
    <xf numFmtId="0" fontId="31" fillId="35" borderId="39" xfId="0" applyFont="1" applyFill="1" applyBorder="1" applyAlignment="1">
      <alignment horizontal="center"/>
    </xf>
    <xf numFmtId="1" fontId="13" fillId="0" borderId="9" xfId="0" applyNumberFormat="1" applyFont="1" applyBorder="1" applyAlignment="1">
      <alignment horizontal="center" vertical="center"/>
    </xf>
    <xf numFmtId="167" fontId="13" fillId="0" borderId="9" xfId="0" applyNumberFormat="1" applyFont="1" applyBorder="1" applyAlignment="1">
      <alignment horizontal="center" vertical="center"/>
    </xf>
    <xf numFmtId="0" fontId="13" fillId="0" borderId="23" xfId="0" applyFont="1" applyBorder="1" applyAlignment="1">
      <alignment horizontal="justify" vertical="center" wrapText="1"/>
    </xf>
    <xf numFmtId="0" fontId="13" fillId="0" borderId="23" xfId="0" applyFont="1" applyBorder="1" applyAlignment="1">
      <alignment horizontal="justify" vertical="top" wrapText="1"/>
    </xf>
    <xf numFmtId="167" fontId="13" fillId="0" borderId="61" xfId="0" applyNumberFormat="1" applyFont="1" applyBorder="1" applyAlignment="1">
      <alignment horizontal="center" vertical="center"/>
    </xf>
    <xf numFmtId="1" fontId="13" fillId="0" borderId="61" xfId="0" applyNumberFormat="1" applyFont="1" applyBorder="1" applyAlignment="1">
      <alignment horizontal="center" vertical="center"/>
    </xf>
    <xf numFmtId="1" fontId="13" fillId="0" borderId="23" xfId="0" applyNumberFormat="1" applyFont="1" applyBorder="1" applyAlignment="1">
      <alignment horizontal="center" vertical="center"/>
    </xf>
    <xf numFmtId="8" fontId="13" fillId="0" borderId="10" xfId="0" applyNumberFormat="1" applyFont="1" applyBorder="1" applyAlignment="1">
      <alignment horizontal="center" vertical="center" wrapText="1"/>
    </xf>
    <xf numFmtId="1" fontId="15" fillId="0" borderId="1" xfId="8" applyNumberFormat="1" applyFont="1" applyBorder="1" applyAlignment="1">
      <alignment horizontal="right" vertical="center"/>
    </xf>
    <xf numFmtId="0" fontId="13" fillId="37" borderId="10" xfId="0" applyFont="1" applyFill="1" applyBorder="1" applyAlignment="1">
      <alignment horizontal="center" vertical="center"/>
    </xf>
    <xf numFmtId="0" fontId="13" fillId="37" borderId="23" xfId="0" applyFont="1" applyFill="1" applyBorder="1" applyAlignment="1">
      <alignment horizontal="center" vertical="center"/>
    </xf>
    <xf numFmtId="0" fontId="13" fillId="0" borderId="1" xfId="0" applyFont="1" applyBorder="1" applyAlignment="1">
      <alignment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xf>
    <xf numFmtId="0" fontId="27" fillId="15" borderId="44" xfId="0" applyFont="1" applyFill="1" applyBorder="1" applyAlignment="1">
      <alignment horizontal="center"/>
    </xf>
    <xf numFmtId="167" fontId="27" fillId="15" borderId="44" xfId="0" applyNumberFormat="1" applyFont="1" applyFill="1" applyBorder="1" applyAlignment="1">
      <alignment horizontal="center"/>
    </xf>
    <xf numFmtId="0" fontId="13" fillId="0" borderId="4" xfId="0" applyFont="1" applyBorder="1" applyAlignment="1">
      <alignment vertical="center" wrapText="1"/>
    </xf>
    <xf numFmtId="0" fontId="13" fillId="0" borderId="8" xfId="0" applyFont="1" applyBorder="1" applyAlignment="1">
      <alignment horizontal="center" vertical="center" wrapText="1"/>
    </xf>
    <xf numFmtId="0" fontId="13" fillId="0" borderId="8" xfId="0" applyFont="1" applyBorder="1" applyAlignment="1">
      <alignment horizontal="justify" vertical="center" wrapText="1"/>
    </xf>
    <xf numFmtId="0" fontId="13" fillId="0" borderId="8" xfId="0" applyFont="1" applyBorder="1" applyAlignment="1">
      <alignment horizontal="center" vertical="center"/>
    </xf>
    <xf numFmtId="167" fontId="13" fillId="0" borderId="8" xfId="0" applyNumberFormat="1" applyFont="1" applyBorder="1" applyAlignment="1">
      <alignment horizontal="center" vertical="center"/>
    </xf>
    <xf numFmtId="167" fontId="13" fillId="0" borderId="3" xfId="0" applyNumberFormat="1" applyFont="1" applyBorder="1" applyAlignment="1">
      <alignment horizontal="center" vertical="center"/>
    </xf>
    <xf numFmtId="0" fontId="14" fillId="14" borderId="62" xfId="0" applyFont="1" applyFill="1" applyBorder="1" applyAlignment="1">
      <alignment horizontal="center" vertical="center"/>
    </xf>
    <xf numFmtId="0" fontId="14" fillId="14" borderId="62" xfId="0" applyFont="1" applyFill="1" applyBorder="1" applyAlignment="1">
      <alignment horizontal="center" vertical="center" wrapText="1"/>
    </xf>
    <xf numFmtId="167" fontId="13" fillId="0" borderId="1" xfId="0" applyNumberFormat="1" applyFont="1" applyBorder="1" applyAlignment="1">
      <alignment horizontal="justify" vertical="center" wrapText="1"/>
    </xf>
    <xf numFmtId="167" fontId="27" fillId="15" borderId="8" xfId="0" applyNumberFormat="1" applyFont="1" applyFill="1" applyBorder="1"/>
    <xf numFmtId="0" fontId="45" fillId="0" borderId="1" xfId="0" applyFont="1" applyBorder="1" applyAlignment="1">
      <alignment horizontal="justify" vertical="center" wrapText="1"/>
    </xf>
    <xf numFmtId="0" fontId="29" fillId="0" borderId="35" xfId="0" applyFont="1" applyBorder="1" applyAlignment="1">
      <alignment horizontal="left" wrapText="1"/>
    </xf>
    <xf numFmtId="9" fontId="30" fillId="0" borderId="31" xfId="3" applyFont="1" applyFill="1" applyBorder="1" applyAlignment="1">
      <alignment horizontal="center" wrapText="1"/>
    </xf>
    <xf numFmtId="0" fontId="29" fillId="0" borderId="33" xfId="0" applyFont="1" applyBorder="1" applyAlignment="1">
      <alignment horizontal="justify" vertical="center" wrapText="1"/>
    </xf>
    <xf numFmtId="167" fontId="15" fillId="0" borderId="31" xfId="7" applyNumberFormat="1" applyFont="1" applyFill="1" applyBorder="1" applyAlignment="1">
      <alignment vertical="center" wrapText="1"/>
    </xf>
    <xf numFmtId="1" fontId="30" fillId="0" borderId="1" xfId="0" applyNumberFormat="1" applyFont="1" applyBorder="1" applyAlignment="1">
      <alignment horizontal="center"/>
    </xf>
    <xf numFmtId="180" fontId="30" fillId="5" borderId="0" xfId="0" applyNumberFormat="1" applyFont="1" applyFill="1" applyAlignment="1">
      <alignment horizontal="center" vertical="center"/>
    </xf>
    <xf numFmtId="2" fontId="30" fillId="5" borderId="0" xfId="0" applyNumberFormat="1" applyFont="1" applyFill="1" applyAlignment="1">
      <alignment horizontal="center" vertical="center"/>
    </xf>
    <xf numFmtId="167" fontId="29" fillId="0" borderId="0" xfId="0" applyNumberFormat="1" applyFont="1" applyAlignment="1">
      <alignment horizontal="right" vertical="center"/>
    </xf>
    <xf numFmtId="1" fontId="29" fillId="0" borderId="0" xfId="0" applyNumberFormat="1" applyFont="1" applyAlignment="1">
      <alignment horizontal="center" vertical="center"/>
    </xf>
    <xf numFmtId="9" fontId="30" fillId="0" borderId="31" xfId="3" applyFont="1" applyFill="1" applyBorder="1" applyAlignment="1">
      <alignment horizontal="center" vertical="center" wrapText="1"/>
    </xf>
    <xf numFmtId="0" fontId="29" fillId="0" borderId="35" xfId="0" applyFont="1" applyBorder="1" applyAlignment="1">
      <alignment horizontal="left" vertical="center" wrapText="1"/>
    </xf>
    <xf numFmtId="182" fontId="29" fillId="0" borderId="0" xfId="0" applyNumberFormat="1" applyFont="1"/>
    <xf numFmtId="10" fontId="37" fillId="22" borderId="33" xfId="0" applyNumberFormat="1" applyFont="1" applyFill="1" applyBorder="1" applyAlignment="1">
      <alignment horizontal="center" vertical="top" wrapText="1"/>
    </xf>
    <xf numFmtId="10" fontId="29" fillId="0" borderId="31" xfId="0" applyNumberFormat="1" applyFont="1" applyBorder="1"/>
    <xf numFmtId="10" fontId="37" fillId="9" borderId="31" xfId="7" applyNumberFormat="1" applyFont="1" applyFill="1" applyBorder="1" applyAlignment="1">
      <alignment horizontal="center" vertical="center" wrapText="1"/>
    </xf>
    <xf numFmtId="10" fontId="15" fillId="0" borderId="31" xfId="7" applyNumberFormat="1" applyFont="1" applyFill="1" applyBorder="1" applyAlignment="1">
      <alignment vertical="center" wrapText="1"/>
    </xf>
    <xf numFmtId="10" fontId="29" fillId="0" borderId="31" xfId="0" applyNumberFormat="1" applyFont="1" applyBorder="1" applyAlignment="1">
      <alignment vertical="center"/>
    </xf>
    <xf numFmtId="10" fontId="15" fillId="0" borderId="31" xfId="7" applyNumberFormat="1" applyFont="1" applyFill="1" applyBorder="1" applyAlignment="1">
      <alignment vertical="top" wrapText="1"/>
    </xf>
    <xf numFmtId="10" fontId="29" fillId="22" borderId="31" xfId="0" applyNumberFormat="1" applyFont="1" applyFill="1" applyBorder="1"/>
    <xf numFmtId="10" fontId="30" fillId="3" borderId="31" xfId="3" applyNumberFormat="1" applyFont="1" applyFill="1" applyBorder="1" applyAlignment="1">
      <alignment horizontal="center" wrapText="1"/>
    </xf>
    <xf numFmtId="10" fontId="15" fillId="0" borderId="31" xfId="0" applyNumberFormat="1" applyFont="1" applyBorder="1" applyAlignment="1">
      <alignment vertical="center"/>
    </xf>
    <xf numFmtId="10" fontId="30" fillId="0" borderId="31" xfId="3" applyNumberFormat="1" applyFont="1" applyFill="1" applyBorder="1" applyAlignment="1">
      <alignment horizontal="center" vertical="center" wrapText="1"/>
    </xf>
    <xf numFmtId="10" fontId="30" fillId="0" borderId="31" xfId="3" applyNumberFormat="1" applyFont="1" applyFill="1" applyBorder="1" applyAlignment="1">
      <alignment horizontal="center" wrapText="1"/>
    </xf>
    <xf numFmtId="10" fontId="30" fillId="3" borderId="35" xfId="0" applyNumberFormat="1" applyFont="1" applyFill="1" applyBorder="1" applyAlignment="1">
      <alignment horizontal="center" wrapText="1"/>
    </xf>
    <xf numFmtId="10" fontId="15" fillId="0" borderId="31" xfId="0" applyNumberFormat="1" applyFont="1" applyBorder="1"/>
    <xf numFmtId="10" fontId="30" fillId="11" borderId="31" xfId="0" applyNumberFormat="1" applyFont="1" applyFill="1" applyBorder="1"/>
    <xf numFmtId="10" fontId="30" fillId="11" borderId="30" xfId="0" applyNumberFormat="1" applyFont="1" applyFill="1" applyBorder="1"/>
    <xf numFmtId="10" fontId="30" fillId="12" borderId="31" xfId="0" applyNumberFormat="1" applyFont="1" applyFill="1" applyBorder="1"/>
    <xf numFmtId="10" fontId="38" fillId="13" borderId="31" xfId="0" applyNumberFormat="1" applyFont="1" applyFill="1" applyBorder="1" applyAlignment="1">
      <alignment horizontal="center" vertical="center"/>
    </xf>
    <xf numFmtId="183" fontId="30" fillId="0" borderId="0" xfId="0" applyNumberFormat="1" applyFont="1" applyAlignment="1">
      <alignment horizontal="center"/>
    </xf>
    <xf numFmtId="0" fontId="48" fillId="0" borderId="0" xfId="0" applyFont="1" applyAlignment="1">
      <alignment horizontal="center"/>
    </xf>
    <xf numFmtId="167" fontId="48" fillId="0" borderId="0" xfId="0" applyNumberFormat="1" applyFont="1" applyAlignment="1">
      <alignment horizontal="center"/>
    </xf>
    <xf numFmtId="167" fontId="29" fillId="0" borderId="31" xfId="0" applyNumberFormat="1" applyFont="1" applyBorder="1" applyAlignment="1">
      <alignment wrapText="1"/>
    </xf>
    <xf numFmtId="0" fontId="30" fillId="0" borderId="0" xfId="0" applyFont="1" applyAlignment="1">
      <alignment horizontal="center" vertical="top" wrapText="1"/>
    </xf>
    <xf numFmtId="0" fontId="29" fillId="0" borderId="31" xfId="0" applyFont="1" applyBorder="1" applyAlignment="1">
      <alignment vertical="center" wrapText="1"/>
    </xf>
    <xf numFmtId="167" fontId="29" fillId="0" borderId="31" xfId="0" applyNumberFormat="1" applyFont="1" applyBorder="1" applyAlignment="1">
      <alignment vertical="center" wrapText="1"/>
    </xf>
    <xf numFmtId="0" fontId="29" fillId="5" borderId="0" xfId="0" applyFont="1" applyFill="1" applyAlignment="1">
      <alignment vertical="center"/>
    </xf>
    <xf numFmtId="0" fontId="29" fillId="4" borderId="35" xfId="0" applyFont="1" applyFill="1" applyBorder="1" applyAlignment="1">
      <alignment horizontal="left" vertical="center" wrapText="1"/>
    </xf>
    <xf numFmtId="0" fontId="33" fillId="0" borderId="0" xfId="0" applyFont="1" applyAlignment="1">
      <alignment horizontal="justify" vertical="center" wrapText="1"/>
    </xf>
    <xf numFmtId="9" fontId="30" fillId="3" borderId="31" xfId="3" applyFont="1" applyFill="1" applyBorder="1" applyAlignment="1">
      <alignment horizontal="center" vertical="center" wrapText="1"/>
    </xf>
    <xf numFmtId="0" fontId="30" fillId="3" borderId="35" xfId="0" applyFont="1" applyFill="1" applyBorder="1" applyAlignment="1">
      <alignment horizontal="center" vertical="center" wrapText="1"/>
    </xf>
    <xf numFmtId="10" fontId="29" fillId="0" borderId="31" xfId="0" applyNumberFormat="1" applyFont="1" applyBorder="1" applyAlignment="1">
      <alignment vertical="center" wrapText="1"/>
    </xf>
    <xf numFmtId="10" fontId="29" fillId="0" borderId="31" xfId="0" applyNumberFormat="1" applyFont="1" applyBorder="1" applyAlignment="1">
      <alignment wrapText="1"/>
    </xf>
    <xf numFmtId="0" fontId="26" fillId="0" borderId="35" xfId="0" applyFont="1" applyBorder="1" applyAlignment="1">
      <alignment horizontal="justify" wrapText="1"/>
    </xf>
    <xf numFmtId="0" fontId="16" fillId="41" borderId="70" xfId="0" applyFont="1" applyFill="1" applyBorder="1" applyAlignment="1">
      <alignment vertical="center"/>
    </xf>
    <xf numFmtId="0" fontId="30" fillId="43" borderId="71" xfId="0" applyFont="1" applyFill="1" applyBorder="1"/>
    <xf numFmtId="0" fontId="30" fillId="43" borderId="0" xfId="0" applyFont="1" applyFill="1"/>
    <xf numFmtId="0" fontId="49" fillId="0" borderId="31" xfId="9" applyBorder="1" applyAlignment="1">
      <alignment horizontal="center" vertical="center"/>
    </xf>
    <xf numFmtId="0" fontId="52" fillId="0" borderId="0" xfId="0" applyFont="1" applyAlignment="1">
      <alignment vertical="center"/>
    </xf>
    <xf numFmtId="0" fontId="51" fillId="0" borderId="0" xfId="0" applyFont="1"/>
    <xf numFmtId="0" fontId="49" fillId="16" borderId="39" xfId="9" applyFill="1" applyBorder="1" applyAlignment="1">
      <alignment horizontal="center"/>
    </xf>
    <xf numFmtId="0" fontId="16" fillId="44" borderId="70" xfId="0" applyFont="1" applyFill="1" applyBorder="1" applyAlignment="1">
      <alignment horizontal="center" vertical="center"/>
    </xf>
    <xf numFmtId="0" fontId="56" fillId="0" borderId="70" xfId="0" applyFont="1" applyBorder="1" applyAlignment="1">
      <alignment horizontal="center" wrapText="1"/>
    </xf>
    <xf numFmtId="0" fontId="16" fillId="44" borderId="70" xfId="0" applyFont="1" applyFill="1" applyBorder="1" applyAlignment="1">
      <alignment vertical="center"/>
    </xf>
    <xf numFmtId="0" fontId="14" fillId="21" borderId="70" xfId="0" applyFont="1" applyFill="1" applyBorder="1" applyAlignment="1">
      <alignment horizontal="center" vertical="center"/>
    </xf>
    <xf numFmtId="167" fontId="57" fillId="44" borderId="70" xfId="0" applyNumberFormat="1" applyFont="1" applyFill="1" applyBorder="1" applyAlignment="1">
      <alignment vertical="center"/>
    </xf>
    <xf numFmtId="10" fontId="57" fillId="44" borderId="70" xfId="0" applyNumberFormat="1" applyFont="1" applyFill="1" applyBorder="1" applyAlignment="1">
      <alignment vertical="center"/>
    </xf>
    <xf numFmtId="0" fontId="16" fillId="0" borderId="70" xfId="0" applyFont="1" applyBorder="1" applyAlignment="1">
      <alignment horizontal="center" vertical="center" wrapText="1"/>
    </xf>
    <xf numFmtId="0" fontId="16" fillId="0" borderId="70" xfId="0" applyFont="1" applyBorder="1" applyAlignment="1">
      <alignment horizontal="center" vertical="center"/>
    </xf>
    <xf numFmtId="0" fontId="13" fillId="45" borderId="70" xfId="0" applyFont="1" applyFill="1" applyBorder="1" applyAlignment="1">
      <alignment vertical="center"/>
    </xf>
    <xf numFmtId="167" fontId="29" fillId="4" borderId="49" xfId="0" applyNumberFormat="1" applyFont="1" applyFill="1" applyBorder="1" applyAlignment="1">
      <alignment horizontal="center" vertical="center"/>
    </xf>
    <xf numFmtId="167" fontId="29" fillId="4" borderId="48" xfId="0" applyNumberFormat="1" applyFont="1" applyFill="1" applyBorder="1" applyAlignment="1">
      <alignment horizontal="center" vertical="center"/>
    </xf>
    <xf numFmtId="167" fontId="29" fillId="4" borderId="50" xfId="0" applyNumberFormat="1" applyFont="1" applyFill="1" applyBorder="1" applyAlignment="1">
      <alignment horizontal="center" vertical="center"/>
    </xf>
    <xf numFmtId="0" fontId="46" fillId="0" borderId="0" xfId="0" applyFont="1"/>
    <xf numFmtId="0" fontId="58" fillId="47" borderId="78" xfId="0" applyFont="1" applyFill="1" applyBorder="1" applyAlignment="1">
      <alignment horizontal="center" vertical="center" wrapText="1"/>
    </xf>
    <xf numFmtId="0" fontId="58" fillId="48" borderId="78" xfId="0" applyFont="1" applyFill="1" applyBorder="1" applyAlignment="1">
      <alignment horizontal="center" vertical="center" wrapText="1"/>
    </xf>
    <xf numFmtId="0" fontId="58" fillId="49" borderId="78" xfId="0" applyFont="1" applyFill="1" applyBorder="1" applyAlignment="1">
      <alignment horizontal="center" vertical="center" wrapText="1"/>
    </xf>
    <xf numFmtId="0" fontId="58" fillId="50" borderId="78" xfId="0" applyFont="1" applyFill="1" applyBorder="1" applyAlignment="1">
      <alignment horizontal="center" vertical="center" wrapText="1"/>
    </xf>
    <xf numFmtId="0" fontId="46" fillId="0" borderId="78" xfId="0" applyFont="1" applyBorder="1" applyAlignment="1">
      <alignment vertical="top" wrapText="1"/>
    </xf>
    <xf numFmtId="0" fontId="46" fillId="0" borderId="78" xfId="0" applyFont="1" applyBorder="1" applyAlignment="1">
      <alignment horizontal="center" vertical="top"/>
    </xf>
    <xf numFmtId="3" fontId="46" fillId="0" borderId="78" xfId="0" applyNumberFormat="1" applyFont="1" applyBorder="1" applyAlignment="1">
      <alignment horizontal="center" vertical="top"/>
    </xf>
    <xf numFmtId="184" fontId="46" fillId="0" borderId="78" xfId="0" applyNumberFormat="1" applyFont="1" applyBorder="1" applyAlignment="1">
      <alignment vertical="top"/>
    </xf>
    <xf numFmtId="0" fontId="46" fillId="51" borderId="78" xfId="0" applyFont="1" applyFill="1" applyBorder="1" applyAlignment="1">
      <alignment horizontal="center" vertical="top"/>
    </xf>
    <xf numFmtId="0" fontId="46" fillId="0" borderId="78" xfId="0" applyFont="1" applyBorder="1" applyAlignment="1">
      <alignment vertical="top"/>
    </xf>
    <xf numFmtId="184" fontId="46" fillId="51" borderId="78" xfId="0" applyNumberFormat="1" applyFont="1" applyFill="1" applyBorder="1" applyAlignment="1">
      <alignment vertical="top"/>
    </xf>
    <xf numFmtId="171" fontId="46" fillId="0" borderId="78" xfId="0" applyNumberFormat="1" applyFont="1" applyBorder="1" applyAlignment="1">
      <alignment vertical="top"/>
    </xf>
    <xf numFmtId="184" fontId="46" fillId="52" borderId="78" xfId="0" applyNumberFormat="1" applyFont="1" applyFill="1" applyBorder="1" applyAlignment="1">
      <alignment vertical="top"/>
    </xf>
    <xf numFmtId="171" fontId="46" fillId="0" borderId="78" xfId="0" applyNumberFormat="1" applyFont="1" applyBorder="1" applyAlignment="1">
      <alignment horizontal="center" vertical="top"/>
    </xf>
    <xf numFmtId="3" fontId="46" fillId="0" borderId="78" xfId="0" applyNumberFormat="1" applyFont="1" applyBorder="1" applyAlignment="1">
      <alignment vertical="top"/>
    </xf>
    <xf numFmtId="0" fontId="58" fillId="53" borderId="78" xfId="0" applyFont="1" applyFill="1" applyBorder="1" applyAlignment="1">
      <alignment horizontal="center" vertical="center" wrapText="1"/>
    </xf>
    <xf numFmtId="0" fontId="46" fillId="54" borderId="78" xfId="0" applyFont="1" applyFill="1" applyBorder="1" applyAlignment="1">
      <alignment vertical="top" wrapText="1"/>
    </xf>
    <xf numFmtId="0" fontId="46" fillId="55" borderId="78" xfId="0" applyFont="1" applyFill="1" applyBorder="1" applyAlignment="1">
      <alignment vertical="top" wrapText="1"/>
    </xf>
    <xf numFmtId="0" fontId="46" fillId="37" borderId="78" xfId="0" applyFont="1" applyFill="1" applyBorder="1" applyAlignment="1">
      <alignment vertical="top" wrapText="1"/>
    </xf>
    <xf numFmtId="184" fontId="46" fillId="0" borderId="0" xfId="0" applyNumberFormat="1" applyFont="1"/>
    <xf numFmtId="0" fontId="22" fillId="0" borderId="78" xfId="0" applyFont="1" applyBorder="1" applyAlignment="1">
      <alignment vertical="top" wrapText="1"/>
    </xf>
    <xf numFmtId="0" fontId="22" fillId="0" borderId="78" xfId="0" applyFont="1" applyBorder="1" applyAlignment="1">
      <alignment horizontal="center" vertical="center" wrapText="1"/>
    </xf>
    <xf numFmtId="0" fontId="46" fillId="0" borderId="79" xfId="0" applyFont="1" applyBorder="1" applyAlignment="1">
      <alignment vertical="top" wrapText="1"/>
    </xf>
    <xf numFmtId="0" fontId="22" fillId="0" borderId="80" xfId="0" applyFont="1" applyBorder="1" applyAlignment="1">
      <alignment vertical="top" wrapText="1"/>
    </xf>
    <xf numFmtId="0" fontId="22" fillId="0" borderId="80" xfId="0" applyFont="1" applyBorder="1" applyAlignment="1">
      <alignment horizontal="center" vertical="center" wrapText="1"/>
    </xf>
    <xf numFmtId="0" fontId="22" fillId="6" borderId="45" xfId="0" applyFont="1" applyFill="1" applyBorder="1" applyAlignment="1">
      <alignment horizontal="center" vertical="center" wrapText="1"/>
    </xf>
    <xf numFmtId="0" fontId="46" fillId="39" borderId="78" xfId="0" applyFont="1" applyFill="1" applyBorder="1" applyAlignment="1">
      <alignment vertical="top" wrapText="1"/>
    </xf>
    <xf numFmtId="0" fontId="46" fillId="0" borderId="80" xfId="0" applyFont="1" applyBorder="1" applyAlignment="1">
      <alignment vertical="top" wrapText="1"/>
    </xf>
    <xf numFmtId="0" fontId="46" fillId="0" borderId="45" xfId="0" applyFont="1" applyBorder="1" applyAlignment="1">
      <alignment vertical="top" wrapText="1"/>
    </xf>
    <xf numFmtId="0" fontId="46" fillId="0" borderId="0" xfId="0" applyFont="1" applyAlignment="1">
      <alignment vertical="top" wrapText="1"/>
    </xf>
    <xf numFmtId="0" fontId="22" fillId="0" borderId="80" xfId="0" applyFont="1" applyBorder="1" applyAlignment="1">
      <alignment horizontal="center" vertical="top" wrapText="1"/>
    </xf>
    <xf numFmtId="0" fontId="22" fillId="0" borderId="80" xfId="0" applyFont="1" applyBorder="1" applyAlignment="1">
      <alignment horizontal="left" vertical="center" wrapText="1"/>
    </xf>
    <xf numFmtId="167" fontId="46" fillId="0" borderId="0" xfId="0" applyNumberFormat="1" applyFont="1"/>
    <xf numFmtId="0" fontId="46" fillId="51" borderId="0" xfId="0" applyFont="1" applyFill="1" applyAlignment="1">
      <alignment horizontal="center" vertical="top"/>
    </xf>
    <xf numFmtId="184" fontId="46" fillId="51" borderId="0" xfId="0" applyNumberFormat="1" applyFont="1" applyFill="1" applyAlignment="1">
      <alignment vertical="top"/>
    </xf>
    <xf numFmtId="0" fontId="58" fillId="46" borderId="0" xfId="0" applyFont="1" applyFill="1" applyAlignment="1">
      <alignment vertical="center"/>
    </xf>
    <xf numFmtId="0" fontId="46" fillId="56" borderId="49" xfId="0" applyFont="1" applyFill="1" applyBorder="1"/>
    <xf numFmtId="0" fontId="46" fillId="56" borderId="48" xfId="0" applyFont="1" applyFill="1" applyBorder="1"/>
    <xf numFmtId="0" fontId="46" fillId="56" borderId="50" xfId="0" applyFont="1" applyFill="1" applyBorder="1"/>
    <xf numFmtId="0" fontId="40" fillId="0" borderId="0" xfId="0" applyFont="1" applyAlignment="1">
      <alignment vertical="center"/>
    </xf>
    <xf numFmtId="0" fontId="46" fillId="12" borderId="78" xfId="0" applyFont="1" applyFill="1" applyBorder="1" applyAlignment="1">
      <alignment vertical="top" wrapText="1"/>
    </xf>
    <xf numFmtId="0" fontId="46" fillId="38" borderId="78" xfId="0" applyFont="1" applyFill="1" applyBorder="1" applyAlignment="1">
      <alignment vertical="top" wrapText="1"/>
    </xf>
    <xf numFmtId="0" fontId="46" fillId="57" borderId="78" xfId="0" applyFont="1" applyFill="1" applyBorder="1" applyAlignment="1">
      <alignment vertical="top" wrapText="1"/>
    </xf>
    <xf numFmtId="0" fontId="46" fillId="58" borderId="78" xfId="0" applyFont="1" applyFill="1" applyBorder="1" applyAlignment="1">
      <alignment vertical="top" wrapText="1"/>
    </xf>
    <xf numFmtId="0" fontId="60" fillId="0" borderId="0" xfId="0" applyFont="1"/>
    <xf numFmtId="0" fontId="60" fillId="0" borderId="0" xfId="0" applyFont="1" applyAlignment="1">
      <alignment vertical="center" wrapText="1"/>
    </xf>
    <xf numFmtId="0" fontId="59" fillId="47" borderId="78" xfId="0" applyFont="1" applyFill="1" applyBorder="1" applyAlignment="1">
      <alignment horizontal="center" vertical="center" wrapText="1"/>
    </xf>
    <xf numFmtId="0" fontId="59" fillId="48" borderId="78" xfId="0" applyFont="1" applyFill="1" applyBorder="1" applyAlignment="1">
      <alignment horizontal="center" vertical="center" wrapText="1"/>
    </xf>
    <xf numFmtId="0" fontId="59" fillId="49" borderId="78" xfId="0" applyFont="1" applyFill="1" applyBorder="1" applyAlignment="1">
      <alignment horizontal="center" vertical="center" wrapText="1"/>
    </xf>
    <xf numFmtId="0" fontId="59" fillId="59" borderId="78" xfId="0" applyFont="1" applyFill="1" applyBorder="1" applyAlignment="1">
      <alignment horizontal="center" vertical="center" wrapText="1"/>
    </xf>
    <xf numFmtId="0" fontId="60" fillId="0" borderId="78" xfId="0" applyFont="1" applyBorder="1" applyAlignment="1">
      <alignment vertical="top" wrapText="1"/>
    </xf>
    <xf numFmtId="0" fontId="60" fillId="0" borderId="78" xfId="0" applyFont="1" applyBorder="1" applyAlignment="1">
      <alignment horizontal="center" vertical="top"/>
    </xf>
    <xf numFmtId="3" fontId="60" fillId="0" borderId="78" xfId="0" applyNumberFormat="1" applyFont="1" applyBorder="1" applyAlignment="1">
      <alignment horizontal="center" vertical="top"/>
    </xf>
    <xf numFmtId="184" fontId="60" fillId="0" borderId="78" xfId="0" applyNumberFormat="1" applyFont="1" applyBorder="1" applyAlignment="1">
      <alignment vertical="top"/>
    </xf>
    <xf numFmtId="0" fontId="60" fillId="51" borderId="78" xfId="0" applyFont="1" applyFill="1" applyBorder="1" applyAlignment="1">
      <alignment horizontal="center" vertical="top"/>
    </xf>
    <xf numFmtId="0" fontId="60" fillId="0" borderId="78" xfId="0" applyFont="1" applyBorder="1" applyAlignment="1">
      <alignment vertical="top"/>
    </xf>
    <xf numFmtId="184" fontId="60" fillId="51" borderId="78" xfId="0" applyNumberFormat="1" applyFont="1" applyFill="1" applyBorder="1" applyAlignment="1">
      <alignment vertical="top"/>
    </xf>
    <xf numFmtId="171" fontId="60" fillId="0" borderId="78" xfId="0" applyNumberFormat="1" applyFont="1" applyBorder="1" applyAlignment="1">
      <alignment horizontal="center" vertical="top"/>
    </xf>
    <xf numFmtId="171" fontId="60" fillId="0" borderId="78" xfId="0" applyNumberFormat="1" applyFont="1" applyBorder="1" applyAlignment="1">
      <alignment vertical="top"/>
    </xf>
    <xf numFmtId="184" fontId="60" fillId="52" borderId="78" xfId="0" applyNumberFormat="1" applyFont="1" applyFill="1" applyBorder="1" applyAlignment="1">
      <alignment vertical="top"/>
    </xf>
    <xf numFmtId="3" fontId="60" fillId="0" borderId="78" xfId="0" applyNumberFormat="1" applyFont="1" applyBorder="1" applyAlignment="1">
      <alignment vertical="top"/>
    </xf>
    <xf numFmtId="184" fontId="60" fillId="0" borderId="0" xfId="0" applyNumberFormat="1" applyFont="1"/>
    <xf numFmtId="0" fontId="59" fillId="46" borderId="0" xfId="0" applyFont="1" applyFill="1" applyAlignment="1">
      <alignment vertical="center"/>
    </xf>
    <xf numFmtId="0" fontId="22" fillId="0" borderId="0" xfId="0" applyFont="1" applyAlignment="1">
      <alignment horizontal="center" vertical="center" wrapText="1"/>
    </xf>
    <xf numFmtId="184" fontId="60" fillId="0" borderId="0" xfId="0" applyNumberFormat="1" applyFont="1" applyAlignment="1">
      <alignment vertical="center" wrapText="1"/>
    </xf>
    <xf numFmtId="0" fontId="29" fillId="0" borderId="0" xfId="0" applyFont="1" applyAlignment="1">
      <alignment horizontal="center"/>
    </xf>
    <xf numFmtId="0" fontId="60" fillId="0" borderId="0" xfId="0" applyFont="1" applyAlignment="1">
      <alignment horizontal="center" vertical="center" wrapText="1"/>
    </xf>
    <xf numFmtId="184" fontId="46" fillId="0" borderId="0" xfId="0" applyNumberFormat="1" applyFont="1" applyAlignment="1">
      <alignment vertical="top"/>
    </xf>
    <xf numFmtId="0" fontId="58" fillId="47" borderId="80" xfId="0" applyFont="1" applyFill="1" applyBorder="1" applyAlignment="1">
      <alignment horizontal="center" vertical="center" wrapText="1"/>
    </xf>
    <xf numFmtId="0" fontId="58" fillId="48" borderId="80" xfId="0" applyFont="1" applyFill="1" applyBorder="1" applyAlignment="1">
      <alignment horizontal="center" vertical="center" wrapText="1"/>
    </xf>
    <xf numFmtId="0" fontId="40" fillId="0" borderId="31" xfId="0" applyFont="1" applyBorder="1" applyAlignment="1">
      <alignment vertical="center"/>
    </xf>
    <xf numFmtId="0" fontId="40" fillId="0" borderId="31" xfId="0" applyFont="1" applyBorder="1" applyAlignment="1">
      <alignment horizontal="center" vertical="center"/>
    </xf>
    <xf numFmtId="0" fontId="26" fillId="0" borderId="31" xfId="0" applyFont="1" applyBorder="1"/>
    <xf numFmtId="0" fontId="40" fillId="0" borderId="35" xfId="0" applyFont="1" applyBorder="1" applyAlignment="1">
      <alignment vertical="center"/>
    </xf>
    <xf numFmtId="0" fontId="40" fillId="0" borderId="35" xfId="0" applyFont="1" applyBorder="1" applyAlignment="1">
      <alignment horizontal="center" vertical="center"/>
    </xf>
    <xf numFmtId="0" fontId="22" fillId="0" borderId="78" xfId="0" applyFont="1" applyBorder="1" applyAlignment="1">
      <alignment vertical="center" wrapText="1"/>
    </xf>
    <xf numFmtId="0" fontId="30" fillId="0" borderId="13" xfId="0" applyFont="1" applyBorder="1" applyAlignment="1">
      <alignment horizontal="center" vertical="center" wrapText="1"/>
    </xf>
    <xf numFmtId="0" fontId="30" fillId="0" borderId="1" xfId="0" applyFont="1" applyBorder="1" applyAlignment="1">
      <alignment horizontal="center" vertical="center" wrapText="1"/>
    </xf>
    <xf numFmtId="165" fontId="30" fillId="0" borderId="1" xfId="1" applyFont="1" applyFill="1" applyBorder="1" applyAlignment="1">
      <alignment horizontal="center" vertical="center" wrapText="1"/>
    </xf>
    <xf numFmtId="0" fontId="29" fillId="0" borderId="14" xfId="0" applyFont="1" applyBorder="1" applyAlignment="1">
      <alignment horizontal="center"/>
    </xf>
    <xf numFmtId="0" fontId="30" fillId="0" borderId="5" xfId="0" applyFont="1" applyBorder="1" applyAlignment="1">
      <alignment horizontal="center" vertical="center" wrapText="1"/>
    </xf>
    <xf numFmtId="0" fontId="29" fillId="0" borderId="13" xfId="0" applyFont="1" applyBorder="1" applyAlignment="1">
      <alignment horizontal="center"/>
    </xf>
    <xf numFmtId="0" fontId="29" fillId="0" borderId="1" xfId="0" applyFont="1" applyBorder="1" applyAlignment="1">
      <alignment horizontal="center"/>
    </xf>
    <xf numFmtId="165" fontId="29" fillId="0" borderId="1" xfId="1" applyFont="1" applyBorder="1"/>
    <xf numFmtId="0" fontId="29" fillId="0" borderId="5" xfId="0" applyFont="1" applyBorder="1" applyAlignment="1">
      <alignment horizontal="center"/>
    </xf>
    <xf numFmtId="0" fontId="29" fillId="0" borderId="13" xfId="0" applyFont="1" applyBorder="1" applyAlignment="1">
      <alignment horizontal="left"/>
    </xf>
    <xf numFmtId="165" fontId="29" fillId="4" borderId="1" xfId="1" applyFont="1" applyFill="1" applyBorder="1"/>
    <xf numFmtId="172" fontId="29" fillId="0" borderId="1" xfId="0" applyNumberFormat="1" applyFont="1" applyBorder="1" applyAlignment="1">
      <alignment horizontal="center"/>
    </xf>
    <xf numFmtId="167" fontId="29" fillId="0" borderId="1" xfId="0" applyNumberFormat="1" applyFont="1" applyBorder="1" applyAlignment="1">
      <alignment horizontal="right"/>
    </xf>
    <xf numFmtId="167" fontId="65" fillId="0" borderId="5" xfId="1" applyNumberFormat="1" applyFont="1" applyFill="1" applyBorder="1" applyAlignment="1">
      <alignment horizontal="right"/>
    </xf>
    <xf numFmtId="43" fontId="29" fillId="0" borderId="0" xfId="0" applyNumberFormat="1" applyFont="1"/>
    <xf numFmtId="0" fontId="29" fillId="0" borderId="13" xfId="0" applyFont="1" applyBorder="1" applyAlignment="1">
      <alignment horizontal="justify" vertical="center" wrapText="1"/>
    </xf>
    <xf numFmtId="0" fontId="29" fillId="0" borderId="1" xfId="0" applyFont="1" applyBorder="1" applyAlignment="1">
      <alignment horizontal="center" vertical="center"/>
    </xf>
    <xf numFmtId="167" fontId="57" fillId="0" borderId="16" xfId="0" applyNumberFormat="1" applyFont="1" applyBorder="1" applyAlignment="1">
      <alignment horizontal="right"/>
    </xf>
    <xf numFmtId="0" fontId="30" fillId="4" borderId="17" xfId="0" applyFont="1" applyFill="1" applyBorder="1" applyAlignment="1">
      <alignment vertical="center" wrapText="1"/>
    </xf>
    <xf numFmtId="0" fontId="30" fillId="4" borderId="8" xfId="0" applyFont="1" applyFill="1" applyBorder="1" applyAlignment="1">
      <alignment vertical="center" wrapText="1"/>
    </xf>
    <xf numFmtId="43" fontId="30" fillId="4" borderId="8" xfId="0" applyNumberFormat="1" applyFont="1" applyFill="1" applyBorder="1" applyAlignment="1">
      <alignment vertical="center" wrapText="1"/>
    </xf>
    <xf numFmtId="43" fontId="30" fillId="4" borderId="8" xfId="0" applyNumberFormat="1" applyFont="1" applyFill="1" applyBorder="1" applyAlignment="1">
      <alignment horizontal="center" vertical="center" wrapText="1"/>
    </xf>
    <xf numFmtId="0" fontId="30" fillId="4" borderId="8" xfId="0" applyFont="1" applyFill="1" applyBorder="1" applyAlignment="1">
      <alignment horizontal="center" vertical="center" wrapText="1"/>
    </xf>
    <xf numFmtId="0" fontId="29" fillId="4" borderId="18" xfId="0" applyFont="1" applyFill="1" applyBorder="1" applyAlignment="1">
      <alignment horizontal="center"/>
    </xf>
    <xf numFmtId="0" fontId="30" fillId="0" borderId="10" xfId="0" applyFont="1" applyBorder="1" applyAlignment="1">
      <alignment horizontal="center" vertical="center" wrapText="1"/>
    </xf>
    <xf numFmtId="0" fontId="30" fillId="0" borderId="20" xfId="0" applyFont="1" applyBorder="1" applyAlignment="1">
      <alignment horizontal="center" vertical="center" wrapText="1"/>
    </xf>
    <xf numFmtId="8" fontId="29" fillId="0" borderId="0" xfId="0" applyNumberFormat="1" applyFont="1"/>
    <xf numFmtId="0" fontId="30" fillId="4" borderId="0" xfId="0" applyFont="1" applyFill="1" applyAlignment="1">
      <alignment horizontal="right"/>
    </xf>
    <xf numFmtId="165" fontId="30" fillId="4" borderId="0" xfId="0" applyNumberFormat="1" applyFont="1" applyFill="1" applyAlignment="1">
      <alignment horizontal="center" vertical="center" wrapText="1"/>
    </xf>
    <xf numFmtId="0" fontId="30" fillId="4" borderId="0" xfId="0" applyFont="1" applyFill="1" applyAlignment="1">
      <alignment horizontal="center" vertical="center" wrapText="1"/>
    </xf>
    <xf numFmtId="0" fontId="29" fillId="0" borderId="0" xfId="3" applyNumberFormat="1" applyFont="1"/>
    <xf numFmtId="0" fontId="16" fillId="4" borderId="0" xfId="0" applyFont="1" applyFill="1" applyAlignment="1">
      <alignment horizontal="center"/>
    </xf>
    <xf numFmtId="2" fontId="14" fillId="21" borderId="0" xfId="0" applyNumberFormat="1" applyFont="1" applyFill="1" applyAlignment="1">
      <alignment horizontal="center"/>
    </xf>
    <xf numFmtId="164" fontId="29" fillId="4" borderId="0" xfId="0" applyNumberFormat="1" applyFont="1" applyFill="1" applyAlignment="1">
      <alignment horizontal="center"/>
    </xf>
    <xf numFmtId="43" fontId="29" fillId="4" borderId="0" xfId="0" applyNumberFormat="1" applyFont="1" applyFill="1" applyAlignment="1">
      <alignment horizontal="center"/>
    </xf>
    <xf numFmtId="166" fontId="29" fillId="4" borderId="0" xfId="0" applyNumberFormat="1" applyFont="1" applyFill="1" applyAlignment="1">
      <alignment vertical="center" wrapText="1"/>
    </xf>
    <xf numFmtId="167" fontId="30" fillId="4" borderId="0" xfId="0" applyNumberFormat="1" applyFont="1" applyFill="1" applyAlignment="1">
      <alignment horizontal="center"/>
    </xf>
    <xf numFmtId="43" fontId="30" fillId="4" borderId="0" xfId="0" applyNumberFormat="1" applyFont="1" applyFill="1" applyAlignment="1">
      <alignment horizontal="center"/>
    </xf>
    <xf numFmtId="43" fontId="16" fillId="26" borderId="0" xfId="0" applyNumberFormat="1" applyFont="1" applyFill="1" applyAlignment="1">
      <alignment horizontal="center"/>
    </xf>
    <xf numFmtId="167" fontId="13" fillId="26" borderId="0" xfId="0" applyNumberFormat="1" applyFont="1" applyFill="1" applyAlignment="1">
      <alignment horizontal="right"/>
    </xf>
    <xf numFmtId="43" fontId="16" fillId="16" borderId="0" xfId="0" applyNumberFormat="1" applyFont="1" applyFill="1" applyAlignment="1">
      <alignment horizontal="center"/>
    </xf>
    <xf numFmtId="167" fontId="13" fillId="16" borderId="0" xfId="3" applyNumberFormat="1" applyFont="1" applyFill="1" applyAlignment="1">
      <alignment horizontal="right"/>
    </xf>
    <xf numFmtId="167" fontId="13" fillId="16" borderId="0" xfId="0" applyNumberFormat="1" applyFont="1" applyFill="1" applyAlignment="1">
      <alignment horizontal="right"/>
    </xf>
    <xf numFmtId="168" fontId="14" fillId="21" borderId="0" xfId="0" applyNumberFormat="1" applyFont="1" applyFill="1" applyAlignment="1">
      <alignment horizontal="center"/>
    </xf>
    <xf numFmtId="167" fontId="14" fillId="21" borderId="0" xfId="0" applyNumberFormat="1" applyFont="1" applyFill="1" applyAlignment="1">
      <alignment horizontal="right"/>
    </xf>
    <xf numFmtId="175" fontId="29" fillId="0" borderId="0" xfId="1" applyNumberFormat="1" applyFont="1"/>
    <xf numFmtId="165" fontId="29" fillId="0" borderId="0" xfId="1" applyFont="1"/>
    <xf numFmtId="1" fontId="31" fillId="3" borderId="0" xfId="0" applyNumberFormat="1" applyFont="1" applyFill="1" applyAlignment="1">
      <alignment horizontal="center" vertical="center" wrapText="1"/>
    </xf>
    <xf numFmtId="0" fontId="15" fillId="0" borderId="1" xfId="8" applyNumberFormat="1" applyFont="1" applyFill="1" applyBorder="1" applyAlignment="1">
      <alignment horizontal="right" vertical="center"/>
    </xf>
    <xf numFmtId="174" fontId="15" fillId="0" borderId="1" xfId="1" applyNumberFormat="1" applyFont="1" applyFill="1" applyBorder="1" applyAlignment="1">
      <alignment horizontal="center" vertical="center"/>
    </xf>
    <xf numFmtId="0" fontId="66" fillId="16" borderId="0" xfId="9" applyFont="1" applyFill="1" applyAlignment="1">
      <alignment horizontal="center" vertical="center"/>
    </xf>
    <xf numFmtId="0" fontId="68" fillId="45" borderId="70" xfId="9" applyFont="1" applyFill="1" applyBorder="1" applyAlignment="1">
      <alignment vertical="center"/>
    </xf>
    <xf numFmtId="0" fontId="69" fillId="0" borderId="0" xfId="10" applyFont="1"/>
    <xf numFmtId="10" fontId="64" fillId="0" borderId="1" xfId="3" applyNumberFormat="1" applyFont="1" applyFill="1" applyBorder="1" applyAlignment="1">
      <alignment horizontal="center"/>
    </xf>
    <xf numFmtId="0" fontId="13" fillId="0" borderId="10" xfId="0" applyFont="1" applyBorder="1" applyAlignment="1">
      <alignment horizontal="left" vertical="center" wrapText="1"/>
    </xf>
    <xf numFmtId="2" fontId="30" fillId="5" borderId="0" xfId="0" applyNumberFormat="1" applyFont="1" applyFill="1" applyAlignment="1">
      <alignment horizontal="center" vertical="center" wrapText="1"/>
    </xf>
    <xf numFmtId="0" fontId="0" fillId="0" borderId="0" xfId="0" applyAlignment="1">
      <alignment horizontal="left" vertical="center" indent="1"/>
    </xf>
    <xf numFmtId="0" fontId="70" fillId="0" borderId="0" xfId="0" applyFont="1"/>
    <xf numFmtId="0" fontId="70" fillId="0" borderId="0" xfId="0" applyFont="1" applyAlignment="1">
      <alignment vertical="center"/>
    </xf>
    <xf numFmtId="0" fontId="71" fillId="45" borderId="70" xfId="9" applyFont="1" applyFill="1" applyBorder="1" applyAlignment="1">
      <alignment vertical="center"/>
    </xf>
    <xf numFmtId="0" fontId="13" fillId="0" borderId="0" xfId="0" applyFont="1" applyProtection="1">
      <protection locked="0" hidden="1"/>
    </xf>
    <xf numFmtId="0" fontId="14" fillId="10" borderId="45" xfId="0" applyFont="1" applyFill="1" applyBorder="1" applyAlignment="1" applyProtection="1">
      <alignment horizontal="center" vertical="center"/>
      <protection locked="0" hidden="1"/>
    </xf>
    <xf numFmtId="0" fontId="14" fillId="31" borderId="45" xfId="0" applyFont="1" applyFill="1" applyBorder="1" applyAlignment="1" applyProtection="1">
      <alignment horizontal="center" vertical="center"/>
      <protection locked="0" hidden="1"/>
    </xf>
    <xf numFmtId="0" fontId="47" fillId="32" borderId="45" xfId="0" applyFont="1" applyFill="1" applyBorder="1" applyAlignment="1" applyProtection="1">
      <alignment horizontal="center" vertical="center"/>
      <protection locked="0" hidden="1"/>
    </xf>
    <xf numFmtId="0" fontId="13" fillId="0" borderId="0" xfId="0" applyFont="1" applyAlignment="1" applyProtection="1">
      <alignment horizontal="center"/>
      <protection locked="0" hidden="1"/>
    </xf>
    <xf numFmtId="0" fontId="45" fillId="0" borderId="9" xfId="0" applyFont="1" applyBorder="1" applyAlignment="1" applyProtection="1">
      <alignment horizontal="left" vertical="center" wrapText="1"/>
      <protection locked="0" hidden="1"/>
    </xf>
    <xf numFmtId="0" fontId="13" fillId="0" borderId="10" xfId="0" applyFont="1" applyBorder="1" applyAlignment="1" applyProtection="1">
      <alignment horizontal="center" vertical="center"/>
      <protection locked="0" hidden="1"/>
    </xf>
    <xf numFmtId="9" fontId="13" fillId="0" borderId="10" xfId="3" applyFont="1" applyBorder="1" applyAlignment="1" applyProtection="1">
      <alignment horizontal="center" vertical="center"/>
      <protection locked="0" hidden="1"/>
    </xf>
    <xf numFmtId="0" fontId="45" fillId="0" borderId="3" xfId="0" applyFont="1" applyBorder="1" applyAlignment="1" applyProtection="1">
      <alignment horizontal="left" vertical="center" wrapText="1"/>
      <protection locked="0" hidden="1"/>
    </xf>
    <xf numFmtId="9" fontId="13" fillId="0" borderId="0" xfId="0" applyNumberFormat="1" applyFont="1" applyProtection="1">
      <protection locked="0" hidden="1"/>
    </xf>
    <xf numFmtId="0" fontId="13" fillId="0" borderId="0" xfId="0" applyFont="1" applyAlignment="1" applyProtection="1">
      <alignment vertical="center"/>
      <protection locked="0" hidden="1"/>
    </xf>
    <xf numFmtId="9" fontId="13" fillId="0" borderId="0" xfId="3" applyFont="1" applyProtection="1">
      <protection locked="0" hidden="1"/>
    </xf>
    <xf numFmtId="0" fontId="13" fillId="0" borderId="0" xfId="0" applyFont="1" applyProtection="1">
      <protection hidden="1"/>
    </xf>
    <xf numFmtId="0" fontId="14" fillId="10" borderId="45" xfId="0" applyFont="1" applyFill="1" applyBorder="1" applyAlignment="1" applyProtection="1">
      <alignment horizontal="center" vertical="center"/>
      <protection hidden="1"/>
    </xf>
    <xf numFmtId="0" fontId="14" fillId="10" borderId="49" xfId="0" applyFont="1" applyFill="1" applyBorder="1" applyAlignment="1" applyProtection="1">
      <alignment horizontal="center" vertical="center"/>
      <protection hidden="1"/>
    </xf>
    <xf numFmtId="0" fontId="13" fillId="0" borderId="0" xfId="0" applyFont="1" applyAlignment="1" applyProtection="1">
      <alignment horizontal="center"/>
      <protection hidden="1"/>
    </xf>
    <xf numFmtId="0" fontId="45" fillId="3" borderId="45" xfId="0" applyFont="1" applyFill="1" applyBorder="1" applyAlignment="1" applyProtection="1">
      <alignment vertical="center" wrapText="1"/>
      <protection hidden="1"/>
    </xf>
    <xf numFmtId="178" fontId="33" fillId="0" borderId="45" xfId="0" applyNumberFormat="1" applyFont="1" applyBorder="1" applyAlignment="1" applyProtection="1">
      <alignment horizontal="center" vertical="center"/>
      <protection hidden="1"/>
    </xf>
    <xf numFmtId="2" fontId="0" fillId="0" borderId="0" xfId="0" applyNumberFormat="1" applyAlignment="1" applyProtection="1">
      <alignment horizontal="center" vertical="center"/>
      <protection hidden="1"/>
    </xf>
    <xf numFmtId="2" fontId="0" fillId="0" borderId="0" xfId="3" applyNumberFormat="1" applyFont="1" applyAlignment="1" applyProtection="1">
      <alignment horizontal="center" vertical="center"/>
      <protection hidden="1"/>
    </xf>
    <xf numFmtId="0" fontId="13" fillId="4" borderId="0" xfId="0" applyFont="1" applyFill="1" applyProtection="1">
      <protection hidden="1"/>
    </xf>
    <xf numFmtId="0" fontId="14" fillId="21" borderId="45" xfId="0" applyFont="1" applyFill="1" applyBorder="1" applyProtection="1">
      <protection hidden="1"/>
    </xf>
    <xf numFmtId="178" fontId="13" fillId="4" borderId="0" xfId="0" applyNumberFormat="1" applyFont="1" applyFill="1" applyProtection="1">
      <protection hidden="1"/>
    </xf>
    <xf numFmtId="0" fontId="45" fillId="3" borderId="64" xfId="0" applyFont="1" applyFill="1" applyBorder="1" applyAlignment="1" applyProtection="1">
      <alignment horizontal="left" vertical="center" wrapText="1"/>
      <protection hidden="1"/>
    </xf>
    <xf numFmtId="2" fontId="13" fillId="0" borderId="0" xfId="0" applyNumberFormat="1" applyFont="1" applyProtection="1">
      <protection hidden="1"/>
    </xf>
    <xf numFmtId="178" fontId="33" fillId="0" borderId="64" xfId="0" applyNumberFormat="1" applyFont="1" applyBorder="1" applyAlignment="1" applyProtection="1">
      <alignment horizontal="center" vertical="center"/>
      <protection hidden="1"/>
    </xf>
    <xf numFmtId="0" fontId="45" fillId="3" borderId="45" xfId="0" applyFont="1" applyFill="1" applyBorder="1" applyAlignment="1" applyProtection="1">
      <alignment horizontal="left" vertical="center" wrapText="1"/>
      <protection hidden="1"/>
    </xf>
    <xf numFmtId="167" fontId="29" fillId="4" borderId="49" xfId="0" applyNumberFormat="1" applyFont="1" applyFill="1" applyBorder="1" applyAlignment="1">
      <alignment horizontal="center" vertical="center"/>
    </xf>
    <xf numFmtId="167" fontId="29" fillId="4" borderId="48" xfId="0" applyNumberFormat="1" applyFont="1" applyFill="1" applyBorder="1" applyAlignment="1">
      <alignment horizontal="center" vertical="center"/>
    </xf>
    <xf numFmtId="167" fontId="29" fillId="4" borderId="50" xfId="0" applyNumberFormat="1" applyFont="1" applyFill="1" applyBorder="1" applyAlignment="1">
      <alignment horizontal="center" vertical="center"/>
    </xf>
    <xf numFmtId="167" fontId="29" fillId="0" borderId="0" xfId="0" applyNumberFormat="1" applyFont="1" applyAlignment="1">
      <alignment horizontal="center" vertical="center"/>
    </xf>
    <xf numFmtId="0" fontId="30" fillId="0" borderId="0" xfId="0" applyFont="1" applyAlignment="1">
      <alignment horizontal="center" vertical="center" wrapText="1"/>
    </xf>
    <xf numFmtId="10" fontId="30" fillId="0" borderId="0" xfId="0" applyNumberFormat="1" applyFont="1" applyAlignment="1">
      <alignment horizontal="center" vertical="center"/>
    </xf>
    <xf numFmtId="0" fontId="46" fillId="0" borderId="0" xfId="0" applyFont="1" applyAlignment="1">
      <alignment horizontal="left" wrapText="1"/>
    </xf>
    <xf numFmtId="167" fontId="30" fillId="0" borderId="0" xfId="0" applyNumberFormat="1" applyFont="1" applyAlignment="1">
      <alignment horizontal="center" vertical="center" wrapText="1"/>
    </xf>
    <xf numFmtId="0" fontId="33" fillId="33" borderId="0" xfId="0" applyFont="1" applyFill="1" applyAlignment="1">
      <alignment horizontal="justify" vertical="center" wrapText="1"/>
    </xf>
    <xf numFmtId="1" fontId="30" fillId="0" borderId="47" xfId="0" applyNumberFormat="1" applyFont="1" applyBorder="1" applyAlignment="1">
      <alignment horizontal="center" vertical="center"/>
    </xf>
    <xf numFmtId="167" fontId="30" fillId="0" borderId="0" xfId="0" applyNumberFormat="1" applyFont="1" applyAlignment="1">
      <alignment horizontal="center"/>
    </xf>
    <xf numFmtId="0" fontId="30" fillId="0" borderId="0" xfId="0" applyFont="1" applyAlignment="1">
      <alignment horizontal="center"/>
    </xf>
    <xf numFmtId="167" fontId="29" fillId="0" borderId="46" xfId="0" applyNumberFormat="1" applyFont="1" applyBorder="1" applyAlignment="1">
      <alignment horizontal="center" vertical="center"/>
    </xf>
    <xf numFmtId="0" fontId="29" fillId="0" borderId="0" xfId="0" applyFont="1" applyAlignment="1">
      <alignment horizontal="center" vertical="center"/>
    </xf>
    <xf numFmtId="167" fontId="39" fillId="18" borderId="45" xfId="0" applyNumberFormat="1" applyFont="1" applyFill="1" applyBorder="1" applyAlignment="1">
      <alignment horizontal="center"/>
    </xf>
    <xf numFmtId="0" fontId="38" fillId="0" borderId="69" xfId="0" applyFont="1" applyBorder="1" applyAlignment="1">
      <alignment horizontal="center"/>
    </xf>
    <xf numFmtId="167" fontId="29" fillId="0" borderId="47" xfId="0" applyNumberFormat="1" applyFont="1" applyBorder="1" applyAlignment="1">
      <alignment horizontal="center"/>
    </xf>
    <xf numFmtId="167" fontId="29" fillId="0" borderId="0" xfId="0" applyNumberFormat="1" applyFont="1" applyAlignment="1">
      <alignment horizontal="center"/>
    </xf>
    <xf numFmtId="0" fontId="29" fillId="0" borderId="0" xfId="0" applyFont="1" applyAlignment="1">
      <alignment horizontal="center"/>
    </xf>
    <xf numFmtId="0" fontId="13" fillId="16" borderId="0" xfId="0" applyFont="1" applyFill="1" applyAlignment="1">
      <alignment horizontal="justify" vertical="center" wrapText="1"/>
    </xf>
    <xf numFmtId="0" fontId="29" fillId="5" borderId="0" xfId="0" applyFont="1" applyFill="1" applyAlignment="1">
      <alignment horizontal="center" vertical="center"/>
    </xf>
    <xf numFmtId="0" fontId="13" fillId="0" borderId="45" xfId="0" applyFont="1" applyBorder="1" applyAlignment="1">
      <alignment horizontal="center"/>
    </xf>
    <xf numFmtId="0" fontId="30" fillId="0" borderId="47" xfId="0" applyFont="1" applyBorder="1" applyAlignment="1">
      <alignment horizontal="center"/>
    </xf>
    <xf numFmtId="167" fontId="30" fillId="0" borderId="0" xfId="0" applyNumberFormat="1" applyFont="1" applyAlignment="1">
      <alignment horizontal="center" vertical="center"/>
    </xf>
    <xf numFmtId="10" fontId="29" fillId="0" borderId="0" xfId="0" applyNumberFormat="1" applyFont="1" applyAlignment="1">
      <alignment horizontal="center" vertical="center"/>
    </xf>
    <xf numFmtId="0" fontId="30" fillId="0" borderId="0" xfId="0" applyFont="1" applyAlignment="1">
      <alignment horizontal="center" vertical="center"/>
    </xf>
    <xf numFmtId="0" fontId="13" fillId="0" borderId="0" xfId="0" applyFont="1" applyAlignment="1">
      <alignment horizontal="justify" vertical="top" wrapText="1"/>
    </xf>
    <xf numFmtId="0" fontId="16" fillId="23" borderId="0" xfId="0" applyFont="1" applyFill="1" applyAlignment="1">
      <alignment horizontal="center" vertical="top" wrapText="1"/>
    </xf>
    <xf numFmtId="0" fontId="13" fillId="0" borderId="0" xfId="0" applyFont="1" applyAlignment="1">
      <alignment horizontal="justify" vertical="center" wrapText="1"/>
    </xf>
    <xf numFmtId="167" fontId="29" fillId="4" borderId="0" xfId="0" applyNumberFormat="1" applyFont="1" applyFill="1" applyAlignment="1">
      <alignment horizontal="center" vertical="center"/>
    </xf>
    <xf numFmtId="0" fontId="31" fillId="0" borderId="10" xfId="0" applyFont="1" applyBorder="1" applyAlignment="1">
      <alignment horizontal="center" vertical="center"/>
    </xf>
    <xf numFmtId="0" fontId="31" fillId="3" borderId="51" xfId="0" applyFont="1" applyFill="1" applyBorder="1" applyAlignment="1">
      <alignment horizontal="left" vertical="center" wrapText="1"/>
    </xf>
    <xf numFmtId="0" fontId="31" fillId="3" borderId="0" xfId="0" applyFont="1" applyFill="1" applyAlignment="1">
      <alignment horizontal="left" vertical="center" wrapText="1"/>
    </xf>
    <xf numFmtId="0" fontId="13" fillId="33" borderId="0" xfId="0" applyFont="1" applyFill="1" applyAlignment="1">
      <alignment horizontal="justify" vertical="center" wrapText="1"/>
    </xf>
    <xf numFmtId="167" fontId="29" fillId="0" borderId="44" xfId="0" applyNumberFormat="1" applyFont="1" applyBorder="1" applyAlignment="1">
      <alignment horizontal="center"/>
    </xf>
    <xf numFmtId="167" fontId="29" fillId="4" borderId="45" xfId="0" applyNumberFormat="1" applyFont="1" applyFill="1" applyBorder="1" applyAlignment="1">
      <alignment horizontal="center" vertical="center"/>
    </xf>
    <xf numFmtId="0" fontId="30" fillId="28" borderId="51" xfId="0" applyFont="1" applyFill="1" applyBorder="1" applyAlignment="1">
      <alignment horizontal="center"/>
    </xf>
    <xf numFmtId="0" fontId="30" fillId="28" borderId="0" xfId="0" applyFont="1" applyFill="1" applyAlignment="1">
      <alignment horizontal="center"/>
    </xf>
    <xf numFmtId="167" fontId="29" fillId="4" borderId="2" xfId="0" applyNumberFormat="1" applyFont="1" applyFill="1" applyBorder="1" applyAlignment="1">
      <alignment horizontal="center" vertical="center"/>
    </xf>
    <xf numFmtId="167" fontId="39" fillId="18" borderId="0" xfId="0" applyNumberFormat="1" applyFont="1" applyFill="1" applyAlignment="1">
      <alignment horizontal="center"/>
    </xf>
    <xf numFmtId="0" fontId="30" fillId="7" borderId="0" xfId="0" applyFont="1" applyFill="1" applyAlignment="1">
      <alignment horizontal="center"/>
    </xf>
    <xf numFmtId="167" fontId="29" fillId="4" borderId="58" xfId="0" applyNumberFormat="1" applyFont="1" applyFill="1" applyBorder="1" applyAlignment="1">
      <alignment horizontal="center" vertical="center"/>
    </xf>
    <xf numFmtId="167" fontId="29" fillId="0" borderId="47" xfId="0" applyNumberFormat="1" applyFont="1" applyBorder="1" applyAlignment="1">
      <alignment horizontal="right" vertical="center"/>
    </xf>
    <xf numFmtId="167" fontId="30" fillId="0" borderId="45" xfId="0" applyNumberFormat="1" applyFont="1" applyBorder="1" applyAlignment="1">
      <alignment horizontal="center" vertical="center"/>
    </xf>
    <xf numFmtId="0" fontId="30" fillId="0" borderId="45" xfId="0" applyFont="1" applyBorder="1" applyAlignment="1">
      <alignment horizontal="center" vertical="center"/>
    </xf>
    <xf numFmtId="167" fontId="29" fillId="0" borderId="48" xfId="0" applyNumberFormat="1" applyFont="1" applyBorder="1" applyAlignment="1">
      <alignment horizontal="right" vertical="center"/>
    </xf>
    <xf numFmtId="0" fontId="30" fillId="3" borderId="45" xfId="0" applyFont="1" applyFill="1" applyBorder="1" applyAlignment="1">
      <alignment horizontal="center" vertical="center"/>
    </xf>
    <xf numFmtId="0" fontId="30" fillId="12" borderId="45" xfId="0" applyFont="1" applyFill="1" applyBorder="1" applyAlignment="1">
      <alignment horizontal="center" vertical="center"/>
    </xf>
    <xf numFmtId="0" fontId="39" fillId="21" borderId="0" xfId="0" applyFont="1" applyFill="1" applyAlignment="1">
      <alignment horizontal="center" vertical="center"/>
    </xf>
    <xf numFmtId="0" fontId="30" fillId="24" borderId="45" xfId="0" applyFont="1" applyFill="1" applyBorder="1" applyAlignment="1">
      <alignment horizontal="center" vertical="center"/>
    </xf>
    <xf numFmtId="167" fontId="29" fillId="0" borderId="47" xfId="0" applyNumberFormat="1" applyFont="1" applyBorder="1" applyAlignment="1">
      <alignment horizontal="right"/>
    </xf>
    <xf numFmtId="167" fontId="29" fillId="0" borderId="48" xfId="0" applyNumberFormat="1" applyFont="1" applyBorder="1" applyAlignment="1">
      <alignment horizontal="center"/>
    </xf>
    <xf numFmtId="0" fontId="29" fillId="0" borderId="48" xfId="0" applyFont="1" applyBorder="1" applyAlignment="1">
      <alignment horizontal="center"/>
    </xf>
    <xf numFmtId="167" fontId="29" fillId="0" borderId="0" xfId="0" applyNumberFormat="1" applyFont="1" applyAlignment="1">
      <alignment horizontal="right"/>
    </xf>
    <xf numFmtId="167" fontId="29" fillId="0" borderId="48" xfId="0" applyNumberFormat="1" applyFont="1" applyBorder="1" applyAlignment="1">
      <alignment horizontal="center" vertical="center"/>
    </xf>
    <xf numFmtId="0" fontId="30" fillId="3" borderId="45" xfId="0" applyFont="1" applyFill="1" applyBorder="1" applyAlignment="1">
      <alignment horizontal="center" vertical="center" wrapText="1"/>
    </xf>
    <xf numFmtId="167" fontId="29" fillId="0" borderId="47" xfId="0" applyNumberFormat="1" applyFont="1" applyBorder="1" applyAlignment="1">
      <alignment horizontal="center" vertical="center"/>
    </xf>
    <xf numFmtId="0" fontId="38" fillId="21" borderId="0" xfId="0" applyFont="1" applyFill="1" applyAlignment="1">
      <alignment horizontal="center" vertical="center" wrapText="1"/>
    </xf>
    <xf numFmtId="0" fontId="14" fillId="21" borderId="0" xfId="0" applyFont="1" applyFill="1" applyAlignment="1">
      <alignment horizontal="center" vertical="center" wrapText="1"/>
    </xf>
    <xf numFmtId="0" fontId="30" fillId="12" borderId="45" xfId="0" applyFont="1" applyFill="1" applyBorder="1" applyAlignment="1">
      <alignment horizontal="center" vertical="center" wrapText="1"/>
    </xf>
    <xf numFmtId="167" fontId="30" fillId="0" borderId="47" xfId="0" applyNumberFormat="1" applyFont="1" applyBorder="1" applyAlignment="1">
      <alignment horizontal="center"/>
    </xf>
    <xf numFmtId="167" fontId="29" fillId="0" borderId="46" xfId="0" applyNumberFormat="1" applyFont="1" applyBorder="1" applyAlignment="1">
      <alignment horizontal="center"/>
    </xf>
    <xf numFmtId="167" fontId="30" fillId="0" borderId="46" xfId="0" applyNumberFormat="1" applyFont="1" applyBorder="1" applyAlignment="1">
      <alignment horizontal="center"/>
    </xf>
    <xf numFmtId="167" fontId="29" fillId="4" borderId="59" xfId="0" applyNumberFormat="1" applyFont="1" applyFill="1" applyBorder="1" applyAlignment="1">
      <alignment horizontal="center" vertical="center"/>
    </xf>
    <xf numFmtId="167" fontId="30" fillId="0" borderId="49" xfId="0" applyNumberFormat="1" applyFont="1" applyBorder="1" applyAlignment="1">
      <alignment horizontal="center" vertical="center"/>
    </xf>
    <xf numFmtId="167" fontId="30" fillId="0" borderId="48" xfId="0" applyNumberFormat="1" applyFont="1" applyBorder="1" applyAlignment="1">
      <alignment horizontal="center" vertical="center"/>
    </xf>
    <xf numFmtId="167" fontId="30" fillId="0" borderId="50" xfId="0" applyNumberFormat="1" applyFont="1" applyBorder="1" applyAlignment="1">
      <alignment horizontal="center" vertical="center"/>
    </xf>
    <xf numFmtId="0" fontId="42" fillId="27" borderId="66" xfId="0" applyFont="1" applyFill="1" applyBorder="1" applyAlignment="1">
      <alignment horizontal="center"/>
    </xf>
    <xf numFmtId="0" fontId="42" fillId="27" borderId="67" xfId="0" applyFont="1" applyFill="1" applyBorder="1" applyAlignment="1">
      <alignment horizontal="center"/>
    </xf>
    <xf numFmtId="0" fontId="42" fillId="27" borderId="68" xfId="0" applyFont="1" applyFill="1" applyBorder="1" applyAlignment="1">
      <alignment horizontal="center"/>
    </xf>
    <xf numFmtId="181" fontId="29" fillId="0" borderId="48" xfId="0" applyNumberFormat="1" applyFont="1" applyBorder="1" applyAlignment="1">
      <alignment horizontal="right" vertical="center"/>
    </xf>
    <xf numFmtId="0" fontId="29" fillId="0" borderId="0" xfId="0" applyFont="1" applyAlignment="1">
      <alignment horizontal="right"/>
    </xf>
    <xf numFmtId="0" fontId="30" fillId="24" borderId="0" xfId="0" applyFont="1" applyFill="1" applyAlignment="1">
      <alignment horizontal="center" vertical="center"/>
    </xf>
    <xf numFmtId="0" fontId="30" fillId="31" borderId="45" xfId="0" applyFont="1" applyFill="1" applyBorder="1" applyAlignment="1">
      <alignment horizontal="center"/>
    </xf>
    <xf numFmtId="0" fontId="30" fillId="25" borderId="0" xfId="0" applyFont="1" applyFill="1" applyAlignment="1">
      <alignment horizontal="center" vertical="center"/>
    </xf>
    <xf numFmtId="0" fontId="16" fillId="39" borderId="0" xfId="0" applyFont="1" applyFill="1" applyAlignment="1">
      <alignment horizontal="center"/>
    </xf>
    <xf numFmtId="0" fontId="29" fillId="5" borderId="0" xfId="0" applyFont="1" applyFill="1" applyAlignment="1">
      <alignment horizontal="center"/>
    </xf>
    <xf numFmtId="0" fontId="13" fillId="16" borderId="0" xfId="0" applyFont="1" applyFill="1" applyAlignment="1">
      <alignment horizontal="left" wrapText="1"/>
    </xf>
    <xf numFmtId="0" fontId="13" fillId="0" borderId="0" xfId="0" applyFont="1" applyAlignment="1">
      <alignment horizontal="left" wrapText="1"/>
    </xf>
    <xf numFmtId="0" fontId="13" fillId="33" borderId="0" xfId="0" applyFont="1" applyFill="1" applyAlignment="1">
      <alignment horizontal="left" wrapText="1"/>
    </xf>
    <xf numFmtId="0" fontId="16" fillId="39" borderId="0" xfId="0" applyFont="1" applyFill="1" applyAlignment="1">
      <alignment horizontal="center" vertical="center"/>
    </xf>
    <xf numFmtId="0" fontId="26"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39" fillId="22" borderId="0" xfId="0" applyFont="1" applyFill="1" applyAlignment="1">
      <alignment horizontal="center" vertical="center" wrapText="1"/>
    </xf>
    <xf numFmtId="0" fontId="39" fillId="22" borderId="0" xfId="0" applyFont="1" applyFill="1" applyAlignment="1">
      <alignment horizontal="center" vertical="center"/>
    </xf>
    <xf numFmtId="0" fontId="32" fillId="22" borderId="0" xfId="0" applyFont="1" applyFill="1" applyAlignment="1">
      <alignment horizontal="center" vertical="center" wrapText="1"/>
    </xf>
    <xf numFmtId="0" fontId="13" fillId="0" borderId="0" xfId="0" applyFont="1" applyAlignment="1">
      <alignment horizontal="justify" wrapText="1"/>
    </xf>
    <xf numFmtId="167" fontId="29" fillId="5" borderId="0" xfId="0" applyNumberFormat="1" applyFont="1" applyFill="1" applyAlignment="1">
      <alignment horizontal="center" vertical="center"/>
    </xf>
    <xf numFmtId="10" fontId="29" fillId="0" borderId="0" xfId="0" applyNumberFormat="1" applyFont="1" applyAlignment="1">
      <alignment horizontal="center"/>
    </xf>
    <xf numFmtId="10" fontId="29" fillId="0" borderId="56" xfId="0" applyNumberFormat="1" applyFont="1" applyBorder="1" applyAlignment="1">
      <alignment horizontal="center"/>
    </xf>
    <xf numFmtId="10" fontId="30" fillId="0" borderId="0" xfId="0" applyNumberFormat="1" applyFont="1" applyAlignment="1">
      <alignment horizontal="center"/>
    </xf>
    <xf numFmtId="0" fontId="43" fillId="32" borderId="49" xfId="0" applyFont="1" applyFill="1" applyBorder="1" applyAlignment="1">
      <alignment horizontal="center"/>
    </xf>
    <xf numFmtId="0" fontId="43" fillId="32" borderId="48" xfId="0" applyFont="1" applyFill="1" applyBorder="1" applyAlignment="1">
      <alignment horizontal="center"/>
    </xf>
    <xf numFmtId="0" fontId="43" fillId="32" borderId="50" xfId="0" applyFont="1" applyFill="1" applyBorder="1" applyAlignment="1">
      <alignment horizontal="center"/>
    </xf>
    <xf numFmtId="167" fontId="29" fillId="4" borderId="44" xfId="0" applyNumberFormat="1" applyFont="1" applyFill="1" applyBorder="1" applyAlignment="1">
      <alignment horizontal="center" vertical="center"/>
    </xf>
    <xf numFmtId="0" fontId="30" fillId="12" borderId="49" xfId="0" applyFont="1" applyFill="1" applyBorder="1" applyAlignment="1">
      <alignment horizontal="center" vertical="center"/>
    </xf>
    <xf numFmtId="0" fontId="30" fillId="12" borderId="48" xfId="0" applyFont="1" applyFill="1" applyBorder="1" applyAlignment="1">
      <alignment horizontal="center" vertical="center"/>
    </xf>
    <xf numFmtId="0" fontId="30" fillId="12" borderId="50" xfId="0" applyFont="1" applyFill="1" applyBorder="1" applyAlignment="1">
      <alignment horizontal="center" vertical="center"/>
    </xf>
    <xf numFmtId="0" fontId="29" fillId="0" borderId="48" xfId="0" applyFont="1" applyBorder="1" applyAlignment="1">
      <alignment horizontal="right"/>
    </xf>
    <xf numFmtId="0" fontId="30" fillId="25" borderId="49" xfId="0" applyFont="1" applyFill="1" applyBorder="1" applyAlignment="1">
      <alignment horizontal="center" vertical="center"/>
    </xf>
    <xf numFmtId="0" fontId="30" fillId="25" borderId="48" xfId="0" applyFont="1" applyFill="1" applyBorder="1" applyAlignment="1">
      <alignment horizontal="center" vertical="center"/>
    </xf>
    <xf numFmtId="0" fontId="30" fillId="25" borderId="50" xfId="0" applyFont="1" applyFill="1" applyBorder="1" applyAlignment="1">
      <alignment horizontal="center" vertical="center"/>
    </xf>
    <xf numFmtId="0" fontId="30" fillId="24" borderId="49" xfId="0" applyFont="1" applyFill="1" applyBorder="1" applyAlignment="1">
      <alignment horizontal="center" vertical="center"/>
    </xf>
    <xf numFmtId="0" fontId="30" fillId="24" borderId="48" xfId="0" applyFont="1" applyFill="1" applyBorder="1" applyAlignment="1">
      <alignment horizontal="center" vertical="center"/>
    </xf>
    <xf numFmtId="0" fontId="30" fillId="24" borderId="50" xfId="0" applyFont="1" applyFill="1" applyBorder="1" applyAlignment="1">
      <alignment horizontal="center" vertical="center"/>
    </xf>
    <xf numFmtId="0" fontId="29" fillId="0" borderId="47" xfId="0" applyFont="1" applyBorder="1" applyAlignment="1">
      <alignment horizontal="center"/>
    </xf>
    <xf numFmtId="0" fontId="29" fillId="0" borderId="47" xfId="0" applyFont="1" applyBorder="1" applyAlignment="1">
      <alignment horizontal="right"/>
    </xf>
    <xf numFmtId="1" fontId="30" fillId="0" borderId="46" xfId="0" applyNumberFormat="1" applyFont="1" applyBorder="1" applyAlignment="1">
      <alignment horizontal="center" vertical="center"/>
    </xf>
    <xf numFmtId="0" fontId="29" fillId="0" borderId="46" xfId="0" applyFont="1" applyBorder="1" applyAlignment="1">
      <alignment horizontal="center"/>
    </xf>
    <xf numFmtId="167" fontId="30" fillId="0" borderId="57" xfId="0" applyNumberFormat="1" applyFont="1" applyBorder="1" applyAlignment="1">
      <alignment horizontal="center" vertical="center"/>
    </xf>
    <xf numFmtId="167" fontId="30" fillId="0" borderId="46" xfId="0" applyNumberFormat="1" applyFont="1" applyBorder="1" applyAlignment="1">
      <alignment horizontal="center" vertical="center"/>
    </xf>
    <xf numFmtId="0" fontId="30" fillId="0" borderId="46" xfId="0" applyFont="1" applyBorder="1" applyAlignment="1">
      <alignment horizontal="center" vertical="center"/>
    </xf>
    <xf numFmtId="0" fontId="32" fillId="21" borderId="72" xfId="0" applyFont="1" applyFill="1" applyBorder="1" applyAlignment="1">
      <alignment horizontal="center"/>
    </xf>
    <xf numFmtId="0" fontId="32" fillId="21" borderId="0" xfId="0" applyFont="1" applyFill="1" applyAlignment="1">
      <alignment horizontal="center"/>
    </xf>
    <xf numFmtId="0" fontId="16" fillId="43" borderId="74" xfId="0" applyFont="1" applyFill="1" applyBorder="1" applyAlignment="1">
      <alignment horizontal="center" vertical="center"/>
    </xf>
    <xf numFmtId="0" fontId="16" fillId="43" borderId="0" xfId="0" applyFont="1" applyFill="1" applyAlignment="1">
      <alignment horizontal="center" vertical="center"/>
    </xf>
    <xf numFmtId="0" fontId="50" fillId="42" borderId="0" xfId="0" applyFont="1" applyFill="1" applyAlignment="1">
      <alignment horizontal="center" vertical="center"/>
    </xf>
    <xf numFmtId="0" fontId="16" fillId="43" borderId="73" xfId="0" applyFont="1" applyFill="1" applyBorder="1" applyAlignment="1">
      <alignment horizontal="center" vertical="center"/>
    </xf>
    <xf numFmtId="10" fontId="14" fillId="21" borderId="75" xfId="0" applyNumberFormat="1" applyFont="1" applyFill="1" applyBorder="1" applyAlignment="1">
      <alignment horizontal="center" vertical="center"/>
    </xf>
    <xf numFmtId="10" fontId="14" fillId="21" borderId="76" xfId="0" applyNumberFormat="1" applyFont="1" applyFill="1" applyBorder="1" applyAlignment="1">
      <alignment horizontal="center" vertical="center"/>
    </xf>
    <xf numFmtId="10" fontId="14" fillId="21" borderId="77" xfId="0" applyNumberFormat="1" applyFont="1" applyFill="1" applyBorder="1" applyAlignment="1">
      <alignment horizontal="center" vertical="center"/>
    </xf>
    <xf numFmtId="0" fontId="16" fillId="43" borderId="0" xfId="0" applyFont="1" applyFill="1" applyAlignment="1">
      <alignment horizontal="justify" vertical="top" wrapText="1"/>
    </xf>
    <xf numFmtId="0" fontId="35" fillId="3" borderId="45" xfId="0" applyFont="1" applyFill="1" applyBorder="1" applyAlignment="1" applyProtection="1">
      <alignment horizontal="center"/>
      <protection locked="0" hidden="1"/>
    </xf>
    <xf numFmtId="0" fontId="14" fillId="10" borderId="45" xfId="0" applyFont="1" applyFill="1" applyBorder="1" applyAlignment="1" applyProtection="1">
      <alignment horizontal="center" vertical="center"/>
      <protection locked="0" hidden="1"/>
    </xf>
    <xf numFmtId="0" fontId="49" fillId="16" borderId="45" xfId="9" applyFill="1" applyBorder="1" applyAlignment="1" applyProtection="1">
      <alignment horizontal="center" vertical="center"/>
      <protection locked="0" hidden="1"/>
    </xf>
    <xf numFmtId="0" fontId="14" fillId="10" borderId="45" xfId="0" applyFont="1" applyFill="1" applyBorder="1" applyAlignment="1" applyProtection="1">
      <alignment horizontal="center" vertical="center" wrapText="1"/>
      <protection locked="0" hidden="1"/>
    </xf>
    <xf numFmtId="9" fontId="14" fillId="10" borderId="45" xfId="3" applyFont="1" applyFill="1" applyBorder="1" applyAlignment="1" applyProtection="1">
      <alignment horizontal="center" vertical="center" wrapText="1"/>
      <protection locked="0" hidden="1"/>
    </xf>
    <xf numFmtId="0" fontId="33" fillId="28" borderId="45" xfId="0" applyFont="1" applyFill="1" applyBorder="1" applyAlignment="1" applyProtection="1">
      <alignment horizontal="center" vertical="center" wrapText="1"/>
      <protection locked="0" hidden="1"/>
    </xf>
    <xf numFmtId="0" fontId="33" fillId="28" borderId="63" xfId="0" applyFont="1" applyFill="1" applyBorder="1" applyAlignment="1" applyProtection="1">
      <alignment horizontal="center" vertical="center" wrapText="1"/>
      <protection locked="0" hidden="1"/>
    </xf>
    <xf numFmtId="0" fontId="13" fillId="31" borderId="45" xfId="0" applyFont="1" applyFill="1" applyBorder="1" applyAlignment="1" applyProtection="1">
      <alignment horizontal="center" vertical="center" wrapText="1"/>
      <protection locked="0" hidden="1"/>
    </xf>
    <xf numFmtId="0" fontId="33" fillId="32" borderId="45" xfId="0" applyFont="1" applyFill="1" applyBorder="1" applyAlignment="1" applyProtection="1">
      <alignment horizontal="center" vertical="center" wrapText="1"/>
      <protection locked="0" hidden="1"/>
    </xf>
    <xf numFmtId="0" fontId="33" fillId="40" borderId="45" xfId="0" applyFont="1" applyFill="1" applyBorder="1" applyAlignment="1" applyProtection="1">
      <alignment horizontal="center" vertical="center" wrapText="1"/>
      <protection locked="0" hidden="1"/>
    </xf>
    <xf numFmtId="2" fontId="13" fillId="4" borderId="65" xfId="0" applyNumberFormat="1" applyFont="1" applyFill="1" applyBorder="1" applyAlignment="1" applyProtection="1">
      <alignment horizontal="center"/>
      <protection hidden="1"/>
    </xf>
    <xf numFmtId="2" fontId="13" fillId="4" borderId="47" xfId="0" applyNumberFormat="1" applyFont="1" applyFill="1" applyBorder="1" applyAlignment="1" applyProtection="1">
      <alignment horizontal="center"/>
      <protection hidden="1"/>
    </xf>
    <xf numFmtId="0" fontId="14" fillId="10" borderId="45" xfId="0" applyFont="1" applyFill="1" applyBorder="1" applyAlignment="1" applyProtection="1">
      <alignment horizontal="center"/>
      <protection hidden="1"/>
    </xf>
    <xf numFmtId="0" fontId="14" fillId="21" borderId="45" xfId="0" applyFont="1" applyFill="1" applyBorder="1" applyAlignment="1" applyProtection="1">
      <alignment horizontal="center" wrapText="1"/>
      <protection hidden="1"/>
    </xf>
    <xf numFmtId="0" fontId="14" fillId="10" borderId="45" xfId="0" applyFont="1" applyFill="1" applyBorder="1" applyAlignment="1" applyProtection="1">
      <alignment horizontal="center" vertical="center"/>
      <protection hidden="1"/>
    </xf>
    <xf numFmtId="0" fontId="14" fillId="21" borderId="45" xfId="0" applyFont="1" applyFill="1" applyBorder="1" applyAlignment="1" applyProtection="1">
      <alignment horizontal="center" vertical="center" wrapText="1"/>
      <protection hidden="1"/>
    </xf>
    <xf numFmtId="0" fontId="14" fillId="21" borderId="63" xfId="0" applyFont="1" applyFill="1" applyBorder="1" applyAlignment="1" applyProtection="1">
      <alignment horizontal="center" vertical="center" wrapText="1"/>
      <protection hidden="1"/>
    </xf>
    <xf numFmtId="0" fontId="35" fillId="3" borderId="51" xfId="0" applyFont="1" applyFill="1" applyBorder="1" applyAlignment="1" applyProtection="1">
      <alignment horizontal="center"/>
      <protection hidden="1"/>
    </xf>
    <xf numFmtId="0" fontId="35" fillId="3" borderId="0" xfId="0" applyFont="1" applyFill="1" applyAlignment="1" applyProtection="1">
      <alignment horizontal="center"/>
      <protection hidden="1"/>
    </xf>
    <xf numFmtId="0" fontId="14" fillId="21" borderId="45" xfId="0" applyFont="1" applyFill="1" applyBorder="1" applyAlignment="1" applyProtection="1">
      <alignment horizontal="center"/>
      <protection hidden="1"/>
    </xf>
    <xf numFmtId="0" fontId="14" fillId="10" borderId="49" xfId="0" applyFont="1" applyFill="1" applyBorder="1" applyAlignment="1" applyProtection="1">
      <alignment horizontal="center" vertical="center"/>
      <protection hidden="1"/>
    </xf>
    <xf numFmtId="9" fontId="14" fillId="21" borderId="45" xfId="3" applyFont="1" applyFill="1" applyBorder="1" applyAlignment="1" applyProtection="1">
      <alignment horizontal="center" vertical="center" wrapText="1"/>
      <protection hidden="1"/>
    </xf>
    <xf numFmtId="9" fontId="14" fillId="21" borderId="63" xfId="3" applyFont="1" applyFill="1" applyBorder="1" applyAlignment="1" applyProtection="1">
      <alignment horizontal="center" vertical="center" wrapText="1"/>
      <protection hidden="1"/>
    </xf>
    <xf numFmtId="0" fontId="14" fillId="10" borderId="45" xfId="0" applyFont="1" applyFill="1" applyBorder="1" applyAlignment="1" applyProtection="1">
      <alignment horizontal="center" vertical="center" wrapText="1"/>
      <protection hidden="1"/>
    </xf>
    <xf numFmtId="0" fontId="49" fillId="16" borderId="45" xfId="9" applyFill="1" applyBorder="1" applyAlignment="1" applyProtection="1">
      <alignment horizontal="center" vertical="center"/>
      <protection hidden="1"/>
    </xf>
    <xf numFmtId="0" fontId="31" fillId="0" borderId="42" xfId="0" applyFont="1" applyBorder="1" applyAlignment="1">
      <alignment horizontal="center" vertical="center"/>
    </xf>
    <xf numFmtId="0" fontId="31" fillId="0" borderId="42" xfId="0" applyFont="1" applyBorder="1" applyAlignment="1">
      <alignment horizontal="center"/>
    </xf>
    <xf numFmtId="0" fontId="31" fillId="5" borderId="45" xfId="0" applyFont="1" applyFill="1" applyBorder="1" applyAlignment="1">
      <alignment horizontal="center"/>
    </xf>
    <xf numFmtId="0" fontId="31" fillId="0" borderId="0" xfId="0" applyFont="1" applyAlignment="1">
      <alignment horizontal="center"/>
    </xf>
    <xf numFmtId="0" fontId="31" fillId="0" borderId="0" xfId="0" applyFont="1" applyAlignment="1">
      <alignment horizontal="center" vertical="center"/>
    </xf>
    <xf numFmtId="0" fontId="31" fillId="12" borderId="0" xfId="0" applyFont="1" applyFill="1" applyAlignment="1">
      <alignment horizontal="center"/>
    </xf>
    <xf numFmtId="0" fontId="30" fillId="29" borderId="45" xfId="0" applyFont="1" applyFill="1" applyBorder="1" applyAlignment="1">
      <alignment horizontal="center"/>
    </xf>
    <xf numFmtId="0" fontId="31" fillId="30" borderId="45" xfId="0" applyFont="1" applyFill="1" applyBorder="1" applyAlignment="1">
      <alignment horizontal="center"/>
    </xf>
    <xf numFmtId="0" fontId="29" fillId="0" borderId="17" xfId="0" applyFont="1" applyBorder="1" applyAlignment="1">
      <alignment horizontal="left" vertical="center" wrapText="1"/>
    </xf>
    <xf numFmtId="0" fontId="29" fillId="0" borderId="3" xfId="0" applyFont="1" applyBorder="1" applyAlignment="1">
      <alignment horizontal="left" vertical="center" wrapText="1"/>
    </xf>
    <xf numFmtId="6" fontId="15" fillId="0" borderId="4" xfId="1" applyNumberFormat="1" applyFont="1" applyFill="1" applyBorder="1" applyAlignment="1">
      <alignment vertical="center"/>
    </xf>
    <xf numFmtId="6" fontId="15" fillId="0" borderId="3" xfId="1" applyNumberFormat="1" applyFont="1" applyFill="1" applyBorder="1" applyAlignment="1">
      <alignment vertical="center"/>
    </xf>
    <xf numFmtId="0" fontId="28" fillId="3" borderId="11" xfId="9" applyFont="1" applyFill="1" applyBorder="1" applyAlignment="1">
      <alignment horizontal="center" vertical="center" wrapText="1"/>
    </xf>
    <xf numFmtId="0" fontId="28" fillId="3" borderId="6" xfId="9" applyFont="1" applyFill="1" applyBorder="1" applyAlignment="1">
      <alignment horizontal="center" vertical="center" wrapText="1"/>
    </xf>
    <xf numFmtId="0" fontId="28" fillId="3" borderId="12" xfId="9" applyFont="1" applyFill="1" applyBorder="1" applyAlignment="1">
      <alignment horizontal="center" vertical="center" wrapText="1"/>
    </xf>
    <xf numFmtId="0" fontId="30" fillId="0" borderId="15" xfId="0" applyFont="1" applyBorder="1" applyAlignment="1">
      <alignment horizontal="right"/>
    </xf>
    <xf numFmtId="0" fontId="30" fillId="0" borderId="7" xfId="0" applyFont="1" applyBorder="1" applyAlignment="1">
      <alignment horizontal="right"/>
    </xf>
    <xf numFmtId="0" fontId="30" fillId="3" borderId="11" xfId="0" applyFont="1" applyFill="1" applyBorder="1" applyAlignment="1">
      <alignment horizontal="center"/>
    </xf>
    <xf numFmtId="0" fontId="30" fillId="3" borderId="6" xfId="0" applyFont="1" applyFill="1" applyBorder="1" applyAlignment="1">
      <alignment horizontal="center"/>
    </xf>
    <xf numFmtId="0" fontId="30" fillId="3" borderId="12" xfId="0" applyFont="1" applyFill="1" applyBorder="1" applyAlignment="1">
      <alignment horizontal="center"/>
    </xf>
    <xf numFmtId="0" fontId="30" fillId="0" borderId="19"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6" fontId="15" fillId="4" borderId="4" xfId="1" applyNumberFormat="1" applyFont="1" applyFill="1" applyBorder="1" applyAlignment="1">
      <alignment vertical="center"/>
    </xf>
    <xf numFmtId="6" fontId="15" fillId="4" borderId="3" xfId="1" applyNumberFormat="1" applyFont="1" applyFill="1" applyBorder="1" applyAlignment="1">
      <alignment vertical="center"/>
    </xf>
    <xf numFmtId="8" fontId="15" fillId="0" borderId="4" xfId="1" applyNumberFormat="1" applyFont="1" applyFill="1" applyBorder="1" applyAlignment="1">
      <alignment vertical="center"/>
    </xf>
    <xf numFmtId="8" fontId="15" fillId="0" borderId="3" xfId="1" applyNumberFormat="1" applyFont="1" applyFill="1" applyBorder="1" applyAlignment="1">
      <alignment vertical="center"/>
    </xf>
    <xf numFmtId="0" fontId="29" fillId="0" borderId="17" xfId="0" applyFont="1" applyBorder="1" applyAlignment="1">
      <alignment horizontal="justify" vertical="center" wrapText="1"/>
    </xf>
    <xf numFmtId="0" fontId="29" fillId="0" borderId="3" xfId="0" applyFont="1" applyBorder="1" applyAlignment="1">
      <alignment horizontal="justify" vertical="center" wrapText="1"/>
    </xf>
    <xf numFmtId="8" fontId="15" fillId="0" borderId="4" xfId="1" applyNumberFormat="1" applyFont="1" applyFill="1" applyBorder="1" applyAlignment="1">
      <alignment horizontal="right" vertical="center"/>
    </xf>
    <xf numFmtId="8" fontId="15" fillId="0" borderId="3" xfId="1" applyNumberFormat="1" applyFont="1" applyFill="1" applyBorder="1" applyAlignment="1">
      <alignment horizontal="right" vertical="center"/>
    </xf>
    <xf numFmtId="0" fontId="15" fillId="0" borderId="4" xfId="0" applyFont="1" applyBorder="1" applyAlignment="1">
      <alignment horizontal="left" vertical="center"/>
    </xf>
    <xf numFmtId="0" fontId="15" fillId="0" borderId="3" xfId="0" applyFont="1" applyBorder="1" applyAlignment="1">
      <alignment horizontal="left" vertical="center"/>
    </xf>
    <xf numFmtId="0" fontId="30" fillId="2" borderId="17" xfId="0" applyFont="1" applyFill="1" applyBorder="1" applyAlignment="1">
      <alignment horizontal="center"/>
    </xf>
    <xf numFmtId="0" fontId="30" fillId="2" borderId="8" xfId="0" applyFont="1" applyFill="1" applyBorder="1" applyAlignment="1">
      <alignment horizontal="center"/>
    </xf>
    <xf numFmtId="0" fontId="30" fillId="2" borderId="3" xfId="0" applyFont="1" applyFill="1" applyBorder="1" applyAlignment="1">
      <alignment horizontal="center"/>
    </xf>
    <xf numFmtId="167" fontId="57" fillId="2" borderId="4" xfId="0" applyNumberFormat="1" applyFont="1" applyFill="1" applyBorder="1" applyAlignment="1">
      <alignment horizontal="right" vertical="center" wrapText="1"/>
    </xf>
    <xf numFmtId="167" fontId="57" fillId="2" borderId="18" xfId="0" applyNumberFormat="1" applyFont="1" applyFill="1" applyBorder="1" applyAlignment="1">
      <alignment horizontal="right" vertical="center" wrapText="1"/>
    </xf>
    <xf numFmtId="43" fontId="15" fillId="0" borderId="3" xfId="1" applyNumberFormat="1" applyFont="1" applyFill="1" applyBorder="1" applyAlignment="1">
      <alignment vertical="center"/>
    </xf>
    <xf numFmtId="0" fontId="30" fillId="2" borderId="21" xfId="0" applyFont="1" applyFill="1" applyBorder="1" applyAlignment="1">
      <alignment horizontal="center"/>
    </xf>
    <xf numFmtId="0" fontId="30" fillId="2" borderId="22" xfId="0" applyFont="1" applyFill="1" applyBorder="1" applyAlignment="1">
      <alignment horizontal="center"/>
    </xf>
    <xf numFmtId="167" fontId="57" fillId="2" borderId="55" xfId="0" applyNumberFormat="1" applyFont="1" applyFill="1" applyBorder="1" applyAlignment="1">
      <alignment horizontal="right" vertical="center" wrapText="1"/>
    </xf>
    <xf numFmtId="167" fontId="57" fillId="2" borderId="12" xfId="0" applyNumberFormat="1" applyFont="1" applyFill="1" applyBorder="1" applyAlignment="1">
      <alignment horizontal="right" vertical="center" wrapText="1"/>
    </xf>
    <xf numFmtId="0" fontId="30" fillId="2" borderId="13" xfId="0" applyFont="1" applyFill="1" applyBorder="1" applyAlignment="1">
      <alignment horizontal="center"/>
    </xf>
    <xf numFmtId="0" fontId="30" fillId="2" borderId="1" xfId="0" applyFont="1" applyFill="1" applyBorder="1" applyAlignment="1">
      <alignment horizontal="center"/>
    </xf>
    <xf numFmtId="167" fontId="57" fillId="2" borderId="1" xfId="0" applyNumberFormat="1" applyFont="1" applyFill="1" applyBorder="1" applyAlignment="1">
      <alignment horizontal="right" vertical="center" wrapText="1"/>
    </xf>
    <xf numFmtId="167" fontId="57" fillId="2" borderId="5" xfId="0" applyNumberFormat="1" applyFont="1" applyFill="1" applyBorder="1" applyAlignment="1">
      <alignment horizontal="right" vertical="center" wrapText="1"/>
    </xf>
    <xf numFmtId="0" fontId="30" fillId="2" borderId="15" xfId="0" applyFont="1" applyFill="1" applyBorder="1" applyAlignment="1">
      <alignment horizontal="right"/>
    </xf>
    <xf numFmtId="0" fontId="30" fillId="2" borderId="7" xfId="0" applyFont="1" applyFill="1" applyBorder="1" applyAlignment="1">
      <alignment horizontal="right"/>
    </xf>
    <xf numFmtId="167" fontId="57" fillId="2" borderId="7" xfId="0" applyNumberFormat="1" applyFont="1" applyFill="1" applyBorder="1" applyAlignment="1">
      <alignment horizontal="right" vertical="center" wrapText="1"/>
    </xf>
    <xf numFmtId="167" fontId="57" fillId="2" borderId="16" xfId="0" applyNumberFormat="1" applyFont="1" applyFill="1" applyBorder="1" applyAlignment="1">
      <alignment horizontal="right" vertical="center" wrapText="1"/>
    </xf>
    <xf numFmtId="165" fontId="29" fillId="4" borderId="0" xfId="0" applyNumberFormat="1" applyFont="1" applyFill="1" applyAlignment="1">
      <alignment horizontal="center"/>
    </xf>
    <xf numFmtId="0" fontId="30" fillId="4" borderId="0" xfId="0" applyFont="1" applyFill="1" applyAlignment="1">
      <alignment horizontal="center"/>
    </xf>
    <xf numFmtId="167" fontId="13" fillId="26" borderId="0" xfId="0" applyNumberFormat="1" applyFont="1" applyFill="1" applyAlignment="1">
      <alignment horizontal="right"/>
    </xf>
    <xf numFmtId="167" fontId="13" fillId="16" borderId="0" xfId="0" applyNumberFormat="1" applyFont="1" applyFill="1" applyAlignment="1">
      <alignment horizontal="right"/>
    </xf>
    <xf numFmtId="167" fontId="14" fillId="21" borderId="0" xfId="0" applyNumberFormat="1" applyFont="1" applyFill="1" applyAlignment="1">
      <alignment horizontal="right"/>
    </xf>
    <xf numFmtId="0" fontId="22" fillId="0" borderId="1" xfId="0" applyFont="1" applyBorder="1" applyAlignment="1">
      <alignment horizontal="center" vertical="center"/>
    </xf>
    <xf numFmtId="0" fontId="49" fillId="0" borderId="34" xfId="9" applyBorder="1" applyAlignment="1">
      <alignment horizontal="center" vertical="center"/>
    </xf>
    <xf numFmtId="0" fontId="49" fillId="0" borderId="33" xfId="9" applyBorder="1" applyAlignment="1">
      <alignment horizontal="center" vertical="center"/>
    </xf>
    <xf numFmtId="0" fontId="6" fillId="0" borderId="1" xfId="0" applyFont="1" applyBorder="1" applyAlignment="1">
      <alignment horizontal="left" vertical="center" wrapText="1"/>
    </xf>
    <xf numFmtId="0" fontId="9" fillId="3" borderId="1" xfId="9" applyFont="1" applyFill="1" applyBorder="1" applyAlignment="1">
      <alignment horizontal="center" vertical="top" wrapText="1"/>
    </xf>
    <xf numFmtId="0" fontId="9" fillId="0" borderId="2" xfId="0" applyFont="1" applyBorder="1" applyAlignment="1">
      <alignment horizontal="right"/>
    </xf>
    <xf numFmtId="0" fontId="9" fillId="3" borderId="23" xfId="0" applyFont="1" applyFill="1" applyBorder="1" applyAlignment="1">
      <alignment horizontal="center"/>
    </xf>
    <xf numFmtId="0" fontId="9" fillId="4" borderId="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7" fillId="0" borderId="10" xfId="0" applyFont="1" applyBorder="1" applyAlignment="1">
      <alignment horizontal="center" vertical="center" wrapText="1"/>
    </xf>
    <xf numFmtId="0" fontId="9" fillId="2" borderId="1" xfId="0" applyFont="1" applyFill="1" applyBorder="1" applyAlignment="1">
      <alignment horizontal="center"/>
    </xf>
    <xf numFmtId="167" fontId="9" fillId="2" borderId="1" xfId="0" applyNumberFormat="1" applyFont="1" applyFill="1" applyBorder="1" applyAlignment="1">
      <alignment horizontal="right" vertical="center" wrapText="1"/>
    </xf>
    <xf numFmtId="0" fontId="9" fillId="2" borderId="1" xfId="0" applyFont="1" applyFill="1" applyBorder="1" applyAlignment="1">
      <alignment horizontal="right"/>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7" fillId="0" borderId="2" xfId="0" applyFont="1" applyBorder="1" applyAlignment="1">
      <alignment horizontal="right"/>
    </xf>
    <xf numFmtId="0" fontId="9" fillId="4" borderId="4" xfId="0" applyFont="1" applyFill="1" applyBorder="1" applyAlignment="1">
      <alignment horizontal="center"/>
    </xf>
    <xf numFmtId="0" fontId="9" fillId="4" borderId="8" xfId="0" applyFont="1" applyFill="1" applyBorder="1" applyAlignment="1">
      <alignment horizontal="center"/>
    </xf>
    <xf numFmtId="165" fontId="9" fillId="4" borderId="8" xfId="0" applyNumberFormat="1" applyFont="1" applyFill="1" applyBorder="1" applyAlignment="1">
      <alignment horizontal="center" vertical="center" wrapText="1"/>
    </xf>
    <xf numFmtId="165" fontId="9" fillId="4" borderId="3" xfId="0" applyNumberFormat="1" applyFont="1" applyFill="1" applyBorder="1" applyAlignment="1">
      <alignment horizontal="center" vertical="center" wrapText="1"/>
    </xf>
    <xf numFmtId="0" fontId="9" fillId="2" borderId="10" xfId="0" applyFont="1" applyFill="1" applyBorder="1" applyAlignment="1">
      <alignment horizontal="center"/>
    </xf>
    <xf numFmtId="167" fontId="9" fillId="2" borderId="10" xfId="0" applyNumberFormat="1" applyFont="1" applyFill="1" applyBorder="1" applyAlignment="1">
      <alignment horizontal="right" vertical="center" wrapText="1"/>
    </xf>
    <xf numFmtId="0" fontId="18" fillId="4" borderId="11" xfId="5" applyFont="1" applyFill="1" applyBorder="1" applyAlignment="1">
      <alignment horizontal="center" vertical="center"/>
    </xf>
    <xf numFmtId="0" fontId="18" fillId="4" borderId="17" xfId="5" applyFont="1" applyFill="1" applyBorder="1" applyAlignment="1">
      <alignment horizontal="center" vertical="center"/>
    </xf>
    <xf numFmtId="0" fontId="49" fillId="4" borderId="25" xfId="9" applyFill="1" applyBorder="1" applyAlignment="1">
      <alignment horizontal="center" vertical="center"/>
    </xf>
    <xf numFmtId="0" fontId="49" fillId="4" borderId="26" xfId="9" applyFill="1" applyBorder="1" applyAlignment="1">
      <alignment horizontal="center" vertical="center"/>
    </xf>
    <xf numFmtId="0" fontId="49" fillId="4" borderId="27" xfId="9" applyFill="1" applyBorder="1" applyAlignment="1">
      <alignment horizontal="center" vertical="center"/>
    </xf>
    <xf numFmtId="0" fontId="49" fillId="4" borderId="28" xfId="9" applyFill="1" applyBorder="1" applyAlignment="1">
      <alignment horizontal="center" vertical="center"/>
    </xf>
    <xf numFmtId="0" fontId="19" fillId="7" borderId="17" xfId="5" applyFont="1" applyFill="1" applyBorder="1" applyAlignment="1">
      <alignment horizontal="center" vertical="top" wrapText="1"/>
    </xf>
    <xf numFmtId="0" fontId="19" fillId="7" borderId="8" xfId="5" applyFont="1" applyFill="1" applyBorder="1" applyAlignment="1">
      <alignment horizontal="center" vertical="top" wrapText="1"/>
    </xf>
    <xf numFmtId="0" fontId="19" fillId="7" borderId="18" xfId="5" applyFont="1" applyFill="1" applyBorder="1" applyAlignment="1">
      <alignment horizontal="center" vertical="top" wrapText="1"/>
    </xf>
    <xf numFmtId="0" fontId="18" fillId="0" borderId="13" xfId="5" applyFont="1" applyBorder="1" applyAlignment="1">
      <alignment horizontal="center" vertical="center"/>
    </xf>
    <xf numFmtId="0" fontId="18" fillId="0" borderId="1" xfId="5" applyFont="1" applyBorder="1" applyAlignment="1">
      <alignment horizontal="center" vertical="center"/>
    </xf>
    <xf numFmtId="0" fontId="18" fillId="0" borderId="5" xfId="5" applyFont="1" applyBorder="1" applyAlignment="1">
      <alignment horizontal="center" vertical="center"/>
    </xf>
    <xf numFmtId="0" fontId="19" fillId="0" borderId="24" xfId="5" applyFont="1" applyBorder="1" applyAlignment="1">
      <alignment horizontal="center"/>
    </xf>
    <xf numFmtId="0" fontId="44" fillId="34" borderId="45" xfId="0" applyFont="1" applyFill="1" applyBorder="1" applyAlignment="1">
      <alignment horizontal="left" vertical="center" wrapText="1"/>
    </xf>
    <xf numFmtId="0" fontId="14" fillId="36" borderId="45" xfId="0" applyFont="1" applyFill="1" applyBorder="1" applyAlignment="1">
      <alignment horizontal="center" vertical="center" wrapText="1"/>
    </xf>
    <xf numFmtId="0" fontId="27" fillId="15" borderId="4" xfId="0" applyFont="1" applyFill="1" applyBorder="1" applyAlignment="1">
      <alignment horizontal="center"/>
    </xf>
    <xf numFmtId="0" fontId="27" fillId="15" borderId="8" xfId="0" applyFont="1" applyFill="1" applyBorder="1" applyAlignment="1">
      <alignment horizontal="center"/>
    </xf>
    <xf numFmtId="0" fontId="53" fillId="0" borderId="0" xfId="9" applyFont="1" applyAlignment="1">
      <alignment horizontal="center" vertical="center" wrapText="1"/>
    </xf>
    <xf numFmtId="0" fontId="13" fillId="0" borderId="23" xfId="0" applyFont="1" applyBorder="1" applyAlignment="1">
      <alignment horizontal="center" vertical="center"/>
    </xf>
    <xf numFmtId="0" fontId="13" fillId="0" borderId="23" xfId="0" applyFont="1" applyBorder="1" applyAlignment="1">
      <alignment horizontal="center" vertical="center" wrapText="1"/>
    </xf>
    <xf numFmtId="0" fontId="55" fillId="0" borderId="0" xfId="9" applyFont="1" applyAlignment="1">
      <alignment horizontal="center" vertical="center" wrapText="1"/>
    </xf>
    <xf numFmtId="0" fontId="49" fillId="0" borderId="54" xfId="9"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10" xfId="0" applyFont="1" applyBorder="1" applyAlignment="1">
      <alignment horizontal="justify" vertical="center" wrapText="1"/>
    </xf>
    <xf numFmtId="0" fontId="22" fillId="6" borderId="51" xfId="0" applyFont="1" applyFill="1" applyBorder="1" applyAlignment="1">
      <alignment horizontal="center" vertical="center" wrapText="1"/>
    </xf>
    <xf numFmtId="0" fontId="22" fillId="6" borderId="0" xfId="0" applyFont="1" applyFill="1" applyAlignment="1">
      <alignment horizontal="center" vertical="center" wrapText="1"/>
    </xf>
    <xf numFmtId="0" fontId="22" fillId="6" borderId="56" xfId="0" applyFont="1" applyFill="1" applyBorder="1" applyAlignment="1">
      <alignment horizontal="center" vertical="center" wrapText="1"/>
    </xf>
    <xf numFmtId="0" fontId="61" fillId="0" borderId="81" xfId="0" applyFont="1" applyBorder="1" applyAlignment="1">
      <alignment horizontal="left" vertical="center" wrapText="1"/>
    </xf>
    <xf numFmtId="0" fontId="22" fillId="0" borderId="0" xfId="0" applyFont="1" applyAlignment="1">
      <alignment horizontal="left" vertical="center" wrapText="1"/>
    </xf>
    <xf numFmtId="0" fontId="22" fillId="0" borderId="82" xfId="0" applyFont="1" applyBorder="1" applyAlignment="1">
      <alignment horizontal="left" vertical="center" wrapText="1"/>
    </xf>
    <xf numFmtId="0" fontId="22" fillId="0" borderId="81" xfId="0" applyFont="1" applyBorder="1" applyAlignment="1">
      <alignment horizontal="left" vertical="center" wrapText="1"/>
    </xf>
    <xf numFmtId="0" fontId="22" fillId="0" borderId="83" xfId="0" applyFont="1" applyBorder="1" applyAlignment="1">
      <alignment horizontal="left" vertical="top" wrapText="1"/>
    </xf>
    <xf numFmtId="0" fontId="22" fillId="0" borderId="84" xfId="0" applyFont="1" applyBorder="1" applyAlignment="1">
      <alignment horizontal="left" vertical="top" wrapText="1"/>
    </xf>
    <xf numFmtId="0" fontId="22" fillId="0" borderId="85" xfId="0" applyFont="1" applyBorder="1" applyAlignment="1">
      <alignment horizontal="left" vertical="top" wrapText="1"/>
    </xf>
    <xf numFmtId="0" fontId="67" fillId="46" borderId="0" xfId="9" applyFont="1" applyFill="1" applyAlignment="1">
      <alignment horizontal="center" vertical="center"/>
    </xf>
    <xf numFmtId="0" fontId="22" fillId="6" borderId="49" xfId="0" applyFont="1" applyFill="1" applyBorder="1" applyAlignment="1">
      <alignment horizontal="center" vertical="center" wrapText="1"/>
    </xf>
    <xf numFmtId="0" fontId="22" fillId="6" borderId="50" xfId="0" applyFont="1" applyFill="1" applyBorder="1" applyAlignment="1">
      <alignment horizontal="center" vertical="center" wrapText="1"/>
    </xf>
    <xf numFmtId="184" fontId="22" fillId="0" borderId="87" xfId="0" applyNumberFormat="1" applyFont="1" applyBorder="1" applyAlignment="1">
      <alignment horizontal="right" vertical="top" wrapText="1"/>
    </xf>
    <xf numFmtId="184" fontId="22" fillId="0" borderId="88" xfId="0" applyNumberFormat="1" applyFont="1" applyBorder="1" applyAlignment="1">
      <alignment horizontal="right" vertical="top" wrapText="1"/>
    </xf>
    <xf numFmtId="184" fontId="22" fillId="0" borderId="89" xfId="0" applyNumberFormat="1" applyFont="1" applyBorder="1" applyAlignment="1">
      <alignment horizontal="right" vertical="top" wrapText="1"/>
    </xf>
    <xf numFmtId="184" fontId="22" fillId="0" borderId="79" xfId="0" applyNumberFormat="1" applyFont="1" applyBorder="1" applyAlignment="1">
      <alignment horizontal="right" vertical="top" wrapText="1"/>
    </xf>
    <xf numFmtId="0" fontId="22" fillId="0" borderId="83" xfId="0" applyFont="1" applyBorder="1" applyAlignment="1">
      <alignment horizontal="left" vertical="center" wrapText="1"/>
    </xf>
    <xf numFmtId="0" fontId="22" fillId="0" borderId="84" xfId="0" applyFont="1" applyBorder="1" applyAlignment="1">
      <alignment horizontal="left" vertical="center" wrapText="1"/>
    </xf>
    <xf numFmtId="0" fontId="22" fillId="0" borderId="85" xfId="0" applyFont="1" applyBorder="1" applyAlignment="1">
      <alignment horizontal="left" vertical="center" wrapText="1"/>
    </xf>
    <xf numFmtId="184" fontId="22" fillId="0" borderId="87" xfId="0" applyNumberFormat="1" applyFont="1" applyBorder="1" applyAlignment="1">
      <alignment horizontal="center" vertical="center" wrapText="1"/>
    </xf>
    <xf numFmtId="184" fontId="22" fillId="0" borderId="88" xfId="0" applyNumberFormat="1" applyFont="1" applyBorder="1" applyAlignment="1">
      <alignment horizontal="center" vertical="center" wrapText="1"/>
    </xf>
    <xf numFmtId="184" fontId="22" fillId="0" borderId="89" xfId="0" applyNumberFormat="1" applyFont="1" applyBorder="1" applyAlignment="1">
      <alignment horizontal="center" vertical="center" wrapText="1"/>
    </xf>
    <xf numFmtId="184" fontId="22" fillId="0" borderId="79" xfId="0" applyNumberFormat="1" applyFont="1" applyBorder="1" applyAlignment="1">
      <alignment horizontal="center" vertical="center" wrapText="1"/>
    </xf>
    <xf numFmtId="0" fontId="40" fillId="0" borderId="31" xfId="0" applyFont="1" applyBorder="1" applyAlignment="1">
      <alignment horizontal="justify" vertical="center" wrapText="1"/>
    </xf>
    <xf numFmtId="0" fontId="22" fillId="6" borderId="45" xfId="0" applyFont="1" applyFill="1" applyBorder="1" applyAlignment="1">
      <alignment horizontal="center" vertical="center" wrapText="1"/>
    </xf>
    <xf numFmtId="0" fontId="40" fillId="0" borderId="31" xfId="0" applyFont="1" applyBorder="1" applyAlignment="1">
      <alignment horizontal="justify" vertical="top" wrapText="1"/>
    </xf>
    <xf numFmtId="0" fontId="40" fillId="0" borderId="35" xfId="0" applyFont="1" applyBorder="1" applyAlignment="1">
      <alignment horizontal="justify" vertical="top" wrapText="1"/>
    </xf>
    <xf numFmtId="0" fontId="67" fillId="46" borderId="46" xfId="9" applyFont="1" applyFill="1" applyBorder="1" applyAlignment="1">
      <alignment horizontal="center" vertical="center"/>
    </xf>
    <xf numFmtId="184" fontId="40" fillId="0" borderId="90" xfId="0" applyNumberFormat="1" applyFont="1" applyBorder="1" applyAlignment="1">
      <alignment horizontal="right" vertical="center"/>
    </xf>
    <xf numFmtId="184" fontId="40" fillId="0" borderId="91" xfId="0" applyNumberFormat="1" applyFont="1" applyBorder="1" applyAlignment="1">
      <alignment horizontal="right" vertical="center"/>
    </xf>
    <xf numFmtId="184" fontId="40" fillId="0" borderId="34" xfId="0" applyNumberFormat="1" applyFont="1" applyBorder="1" applyAlignment="1">
      <alignment horizontal="right" vertical="center"/>
    </xf>
    <xf numFmtId="184" fontId="40" fillId="0" borderId="32" xfId="0" applyNumberFormat="1" applyFont="1" applyBorder="1" applyAlignment="1">
      <alignment horizontal="right" vertical="center"/>
    </xf>
    <xf numFmtId="0" fontId="60" fillId="0" borderId="0" xfId="0" applyFont="1" applyAlignment="1">
      <alignment horizontal="center" vertical="center" wrapText="1"/>
    </xf>
    <xf numFmtId="0" fontId="60" fillId="0" borderId="84" xfId="0" applyFont="1" applyBorder="1" applyAlignment="1">
      <alignment horizontal="center" vertical="center" wrapText="1"/>
    </xf>
    <xf numFmtId="0" fontId="60" fillId="0" borderId="0" xfId="0" applyFont="1" applyAlignment="1">
      <alignment horizontal="justify" vertical="center" wrapText="1"/>
    </xf>
    <xf numFmtId="0" fontId="60" fillId="0" borderId="84" xfId="0" applyFont="1" applyBorder="1" applyAlignment="1">
      <alignment horizontal="justify" vertical="center" wrapText="1"/>
    </xf>
    <xf numFmtId="0" fontId="22" fillId="0" borderId="86" xfId="0" applyFont="1" applyBorder="1" applyAlignment="1">
      <alignment horizontal="left" vertical="center" wrapText="1"/>
    </xf>
    <xf numFmtId="0" fontId="22" fillId="0" borderId="80" xfId="0" applyFont="1" applyBorder="1" applyAlignment="1">
      <alignment horizontal="left" vertical="center" wrapText="1"/>
    </xf>
    <xf numFmtId="0" fontId="22" fillId="0" borderId="81" xfId="0" applyFont="1" applyBorder="1" applyAlignment="1">
      <alignment horizontal="center" vertical="center" wrapText="1"/>
    </xf>
    <xf numFmtId="0" fontId="22" fillId="0" borderId="83" xfId="0" applyFont="1" applyBorder="1" applyAlignment="1">
      <alignment horizontal="center" vertical="center" wrapText="1"/>
    </xf>
    <xf numFmtId="0" fontId="53" fillId="0" borderId="36" xfId="9" applyFont="1" applyBorder="1" applyAlignment="1">
      <alignment horizontal="center" vertical="center" wrapText="1"/>
    </xf>
    <xf numFmtId="0" fontId="27" fillId="15" borderId="58" xfId="0" applyFont="1" applyFill="1" applyBorder="1" applyAlignment="1">
      <alignment horizontal="center"/>
    </xf>
    <xf numFmtId="0" fontId="27" fillId="15" borderId="44" xfId="0" applyFont="1" applyFill="1" applyBorder="1" applyAlignment="1">
      <alignment horizontal="center"/>
    </xf>
    <xf numFmtId="0" fontId="54" fillId="0" borderId="36" xfId="9" applyFont="1" applyBorder="1" applyAlignment="1">
      <alignment horizontal="center" vertical="center" wrapText="1"/>
    </xf>
    <xf numFmtId="0" fontId="27" fillId="15" borderId="0" xfId="0" applyFont="1" applyFill="1" applyAlignment="1">
      <alignment horizontal="center"/>
    </xf>
    <xf numFmtId="9" fontId="13" fillId="0" borderId="10" xfId="0" applyNumberFormat="1" applyFont="1" applyBorder="1" applyAlignment="1">
      <alignment horizontal="center" vertical="center"/>
    </xf>
    <xf numFmtId="9" fontId="13" fillId="0" borderId="1" xfId="0" applyNumberFormat="1" applyFont="1" applyBorder="1" applyAlignment="1">
      <alignment horizontal="center" vertical="center"/>
    </xf>
    <xf numFmtId="9" fontId="0" fillId="0" borderId="0" xfId="0" applyNumberFormat="1"/>
  </cellXfs>
  <cellStyles count="11">
    <cellStyle name="Comma" xfId="1" builtinId="3"/>
    <cellStyle name="Currency" xfId="7" builtinId="4"/>
    <cellStyle name="Hyperlink" xfId="9" builtinId="8"/>
    <cellStyle name="Millares 3" xfId="8" xr:uid="{00000000-0005-0000-0000-000001000000}"/>
    <cellStyle name="Normal" xfId="0" builtinId="0"/>
    <cellStyle name="Normal 12" xfId="5" xr:uid="{00000000-0005-0000-0000-000004000000}"/>
    <cellStyle name="Normal 13" xfId="4" xr:uid="{00000000-0005-0000-0000-000005000000}"/>
    <cellStyle name="Normal 2" xfId="2" xr:uid="{00000000-0005-0000-0000-000006000000}"/>
    <cellStyle name="Normal 2 10 2 2" xfId="6" xr:uid="{00000000-0005-0000-0000-000007000000}"/>
    <cellStyle name="Normal 3" xfId="10" xr:uid="{8638958F-0911-4000-81E4-9C4366EFD9B8}"/>
    <cellStyle name="Percent" xfId="3" builtinId="5"/>
  </cellStyles>
  <dxfs count="274">
    <dxf>
      <font>
        <b/>
        <color theme="0"/>
      </font>
      <fill>
        <patternFill>
          <bgColor rgb="FF002060"/>
        </patternFill>
      </fill>
      <border>
        <left style="thin">
          <color theme="0"/>
        </left>
        <top style="thin">
          <color theme="0"/>
        </top>
        <bottom style="thin">
          <color theme="0"/>
        </bottom>
      </border>
    </dxf>
    <dxf>
      <font>
        <b/>
        <color rgb="FFFFFFFF"/>
      </font>
      <fill>
        <patternFill>
          <bgColor rgb="FFFF6600"/>
        </patternFill>
      </fill>
      <border diagonalUp="0" diagonalDown="0">
        <left style="thin">
          <color theme="0"/>
        </left>
        <right style="thin">
          <color theme="0"/>
        </right>
        <top style="thin">
          <color theme="0"/>
        </top>
        <bottom style="thin">
          <color theme="0"/>
        </bottom>
      </border>
    </dxf>
    <dxf>
      <font>
        <b/>
      </font>
      <fill>
        <patternFill>
          <bgColor rgb="FFFFFF00"/>
        </patternFill>
      </fill>
      <border diagonalUp="0" diagonalDown="0">
        <left style="thin">
          <color theme="0"/>
        </left>
        <right style="thin">
          <color theme="0"/>
        </right>
        <top style="thin">
          <color theme="0"/>
        </top>
        <bottom style="thin">
          <color theme="0"/>
        </bottom>
      </border>
    </dxf>
    <dxf>
      <font>
        <b/>
        <color rgb="FFFFFFFF"/>
      </font>
      <fill>
        <patternFill>
          <bgColor rgb="FFFF0000"/>
        </patternFill>
      </fill>
      <border diagonalUp="0" diagonalDown="0">
        <left style="thin">
          <color theme="0"/>
        </left>
        <right style="thin">
          <color theme="0"/>
        </right>
        <top style="thin">
          <color theme="0"/>
        </top>
        <bottom style="thin">
          <color theme="0"/>
        </bottom>
      </border>
    </dxf>
    <dxf>
      <font>
        <b/>
        <color rgb="FFFFFFFF"/>
      </font>
      <fill>
        <patternFill>
          <bgColor rgb="FF006600"/>
        </patternFill>
      </fill>
      <border diagonalUp="0" diagonalDown="0">
        <left style="thin">
          <color theme="0"/>
        </left>
        <right style="thin">
          <color theme="0"/>
        </right>
        <top style="thin">
          <color theme="0"/>
        </top>
        <bottom style="thin">
          <color theme="0"/>
        </bottom>
      </border>
    </dxf>
    <dxf>
      <font>
        <b/>
        <i val="0"/>
        <color theme="0"/>
      </font>
      <fill>
        <patternFill patternType="solid">
          <fgColor rgb="FFF4B183"/>
          <bgColor rgb="FFFF6600"/>
        </patternFill>
      </fill>
      <border>
        <left style="thin">
          <color theme="0"/>
        </left>
        <right style="thin">
          <color theme="0"/>
        </right>
        <top style="thin">
          <color theme="0"/>
        </top>
        <bottom style="thin">
          <color theme="0"/>
        </bottom>
      </border>
    </dxf>
    <dxf>
      <font>
        <b/>
        <i val="0"/>
      </font>
      <fill>
        <patternFill patternType="solid">
          <fgColor rgb="FFFFEB9C"/>
          <bgColor rgb="FFFFFF00"/>
        </patternFill>
      </fill>
      <border>
        <left style="thin">
          <color theme="0"/>
        </left>
        <right style="thin">
          <color theme="0"/>
        </right>
        <top style="thin">
          <color theme="0"/>
        </top>
        <bottom style="thin">
          <color theme="0"/>
        </bottom>
      </border>
    </dxf>
    <dxf>
      <font>
        <b/>
        <i val="0"/>
        <color theme="0"/>
      </font>
      <fill>
        <patternFill patternType="solid">
          <fgColor rgb="FFFFC7CE"/>
          <bgColor rgb="FFFF0000"/>
        </patternFill>
      </fill>
      <border>
        <left style="thin">
          <color theme="0"/>
        </left>
        <right style="thin">
          <color theme="0"/>
        </right>
        <top style="thin">
          <color theme="0"/>
        </top>
        <bottom style="thin">
          <color theme="0"/>
        </bottom>
      </border>
    </dxf>
    <dxf>
      <font>
        <b/>
        <i val="0"/>
        <color theme="0"/>
      </font>
      <fill>
        <patternFill patternType="solid">
          <fgColor rgb="FFC6EFCE"/>
          <bgColor rgb="FF006600"/>
        </patternFill>
      </fill>
      <border>
        <left style="thin">
          <color theme="0"/>
        </left>
        <right style="thin">
          <color theme="0"/>
        </right>
        <top style="thin">
          <color theme="0"/>
        </top>
        <bottom style="thin">
          <color theme="0"/>
        </bottom>
      </border>
    </dxf>
    <dxf>
      <font>
        <b/>
        <i val="0"/>
        <color theme="0"/>
      </font>
      <fill>
        <patternFill patternType="solid">
          <fgColor rgb="FFF4B183"/>
          <bgColor rgb="FFFF6600"/>
        </patternFill>
      </fill>
      <border>
        <left style="thin">
          <color theme="0"/>
        </left>
        <right style="thin">
          <color theme="0"/>
        </right>
        <top style="thin">
          <color theme="0"/>
        </top>
        <bottom style="thin">
          <color theme="0"/>
        </bottom>
      </border>
    </dxf>
    <dxf>
      <font>
        <b/>
        <i val="0"/>
      </font>
      <fill>
        <patternFill patternType="solid">
          <fgColor rgb="FFFFEB9C"/>
          <bgColor rgb="FFFFFF00"/>
        </patternFill>
      </fill>
      <border>
        <left style="thin">
          <color theme="0"/>
        </left>
        <right style="thin">
          <color theme="0"/>
        </right>
        <top style="thin">
          <color theme="0"/>
        </top>
        <bottom style="thin">
          <color theme="0"/>
        </bottom>
      </border>
    </dxf>
    <dxf>
      <font>
        <b/>
        <i val="0"/>
        <color theme="0"/>
      </font>
      <fill>
        <patternFill patternType="solid">
          <fgColor rgb="FFFFC7CE"/>
          <bgColor rgb="FFFF0000"/>
        </patternFill>
      </fill>
      <border>
        <left style="thin">
          <color theme="0"/>
        </left>
        <right style="thin">
          <color theme="0"/>
        </right>
        <top style="thin">
          <color theme="0"/>
        </top>
        <bottom style="thin">
          <color theme="0"/>
        </bottom>
      </border>
    </dxf>
    <dxf>
      <font>
        <b/>
        <i val="0"/>
        <color theme="0"/>
      </font>
      <fill>
        <patternFill patternType="solid">
          <fgColor rgb="FFC6EFCE"/>
          <bgColor rgb="FF006600"/>
        </patternFill>
      </fill>
      <border>
        <left style="thin">
          <color theme="0"/>
        </left>
        <right style="thin">
          <color theme="0"/>
        </right>
        <top style="thin">
          <color theme="0"/>
        </top>
        <bottom style="thin">
          <color theme="0"/>
        </bottom>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1"/>
      </font>
      <fill>
        <patternFill>
          <bgColor rgb="FFFFFF00"/>
        </patternFill>
      </fill>
      <border>
        <left style="thin">
          <color theme="0"/>
        </left>
        <right style="thin">
          <color theme="0"/>
        </right>
        <top style="thin">
          <color theme="0"/>
        </top>
        <bottom style="thin">
          <color theme="0"/>
        </bottom>
        <vertical/>
        <horizontal/>
      </border>
    </dxf>
    <dxf>
      <font>
        <b/>
        <i val="0"/>
        <color theme="0"/>
      </font>
      <fill>
        <patternFill>
          <bgColor rgb="FFFF66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002060"/>
        </patternFill>
      </fill>
      <border>
        <left style="thin">
          <color theme="0"/>
        </left>
        <right style="thin">
          <color theme="0"/>
        </right>
        <top style="thin">
          <color theme="0"/>
        </top>
        <bottom style="thin">
          <color theme="0"/>
        </bottom>
        <vertical/>
        <horizontal/>
      </border>
    </dxf>
    <dxf>
      <font>
        <b/>
        <i val="0"/>
        <color theme="0"/>
      </font>
      <fill>
        <patternFill>
          <bgColor rgb="FF002060"/>
        </patternFill>
      </fill>
      <border>
        <left style="thin">
          <color theme="0"/>
        </left>
        <right style="thin">
          <color theme="0"/>
        </right>
        <top style="thin">
          <color theme="0"/>
        </top>
        <bottom style="thin">
          <color theme="0"/>
        </bottom>
        <vertical/>
        <horizontal/>
      </border>
    </dxf>
    <dxf>
      <font>
        <b/>
        <i val="0"/>
        <color theme="0"/>
      </font>
      <fill>
        <patternFill>
          <bgColor rgb="FF002060"/>
        </patternFill>
      </fill>
      <border>
        <left style="thin">
          <color theme="0"/>
        </left>
        <right style="thin">
          <color theme="0"/>
        </right>
        <top style="thin">
          <color theme="0"/>
        </top>
        <bottom style="thin">
          <color theme="0"/>
        </bottom>
        <vertical/>
        <horizontal/>
      </border>
    </dxf>
    <dxf>
      <font>
        <b/>
        <i val="0"/>
        <color theme="0"/>
      </font>
      <fill>
        <patternFill>
          <bgColor rgb="FF002060"/>
        </patternFill>
      </fill>
      <border>
        <left style="thin">
          <color theme="0"/>
        </left>
        <right style="thin">
          <color theme="0"/>
        </right>
        <top style="thin">
          <color theme="0"/>
        </top>
        <bottom style="thin">
          <color theme="0"/>
        </bottom>
        <vertical/>
        <horizontal/>
      </border>
    </dxf>
    <dxf>
      <font>
        <b val="0"/>
        <i val="0"/>
        <color theme="0"/>
      </font>
      <fill>
        <patternFill>
          <bgColor rgb="FF006600"/>
        </patternFill>
      </fill>
      <border>
        <left style="thin">
          <color theme="0"/>
        </left>
        <right style="thin">
          <color theme="0"/>
        </right>
        <top style="thin">
          <color theme="0"/>
        </top>
        <bottom style="thin">
          <color theme="0"/>
        </bottom>
      </border>
    </dxf>
    <dxf>
      <font>
        <color theme="0"/>
      </font>
      <fill>
        <patternFill>
          <bgColor rgb="FFFF0000"/>
        </patternFill>
      </fill>
      <border>
        <left style="thin">
          <color theme="0"/>
        </left>
        <right style="thin">
          <color theme="0"/>
        </right>
        <top style="thin">
          <color theme="0"/>
        </top>
        <bottom style="thin">
          <color theme="0"/>
        </bottom>
      </border>
    </dxf>
    <dxf>
      <font>
        <b val="0"/>
        <i val="0"/>
        <color theme="0"/>
      </font>
      <fill>
        <patternFill>
          <bgColor rgb="FF006600"/>
        </patternFill>
      </fill>
      <border>
        <left style="thin">
          <color theme="0"/>
        </left>
        <right style="thin">
          <color theme="0"/>
        </right>
        <top style="thin">
          <color theme="0"/>
        </top>
        <bottom style="thin">
          <color theme="0"/>
        </bottom>
      </border>
    </dxf>
    <dxf>
      <font>
        <color theme="0"/>
      </font>
      <fill>
        <patternFill>
          <bgColor rgb="FFFF0000"/>
        </patternFill>
      </fill>
      <border>
        <left style="thin">
          <color theme="0"/>
        </left>
        <right style="thin">
          <color theme="0"/>
        </right>
        <top style="thin">
          <color theme="0"/>
        </top>
        <bottom style="thin">
          <color theme="0"/>
        </bottom>
      </border>
    </dxf>
    <dxf>
      <font>
        <b/>
        <i val="0"/>
        <color theme="0"/>
      </font>
      <fill>
        <patternFill>
          <bgColor rgb="FF002060"/>
        </patternFill>
      </fill>
      <border>
        <left style="thin">
          <color theme="0"/>
        </left>
        <top style="thin">
          <color theme="0"/>
        </top>
        <bottom style="thin">
          <color theme="0"/>
        </bottom>
        <vertical/>
        <horizontal/>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color theme="0"/>
      </font>
      <fill>
        <patternFill>
          <bgColor rgb="FF008000"/>
        </patternFill>
      </fill>
    </dxf>
    <dxf>
      <font>
        <b/>
        <i val="0"/>
      </font>
      <numFmt numFmtId="167" formatCode="&quot;$&quot;#,##0.00"/>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color theme="0"/>
      </font>
      <fill>
        <patternFill>
          <bgColor rgb="FF008000"/>
        </patternFill>
      </fill>
    </dxf>
    <dxf>
      <font>
        <b/>
        <i val="0"/>
      </font>
      <numFmt numFmtId="167" formatCode="&quot;$&quot;#,##0.00"/>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font>
      <numFmt numFmtId="167" formatCode="&quot;$&quot;#,##0.00"/>
      <fill>
        <patternFill>
          <bgColor rgb="FF008000"/>
        </patternFill>
      </fill>
      <border>
        <left style="thin">
          <color theme="0"/>
        </left>
        <right style="thin">
          <color theme="0"/>
        </right>
        <top style="thin">
          <color theme="0"/>
        </top>
        <bottom style="thin">
          <color theme="0"/>
        </bottom>
        <vertical/>
        <horizontal/>
      </border>
    </dxf>
    <dxf>
      <font>
        <color theme="0"/>
      </font>
      <fill>
        <patternFill>
          <bgColor rgb="FF008000"/>
        </patternFill>
      </fill>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color theme="0"/>
      </font>
      <fill>
        <patternFill>
          <bgColor rgb="FFFF0000"/>
        </patternFill>
      </fill>
      <border>
        <left style="thin">
          <color theme="0"/>
        </left>
        <right style="thin">
          <color theme="0"/>
        </right>
        <top style="thin">
          <color theme="0"/>
        </top>
        <bottom style="thin">
          <color theme="0"/>
        </bottom>
        <vertical/>
        <horizontal/>
      </border>
    </dxf>
    <dxf>
      <font>
        <b val="0"/>
        <i/>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theme="3" tint="-0.499984740745262"/>
        </patternFill>
      </fill>
      <border>
        <left style="thin">
          <color theme="0"/>
        </left>
        <right style="thin">
          <color theme="0"/>
        </right>
        <top style="thin">
          <color theme="0"/>
        </top>
        <bottom style="thin">
          <color theme="0"/>
        </bottom>
        <vertical/>
        <horizontal/>
      </border>
    </dxf>
    <dxf>
      <font>
        <b/>
        <i val="0"/>
        <color theme="0"/>
      </font>
      <fill>
        <patternFill>
          <bgColor theme="3" tint="-0.499984740745262"/>
        </patternFill>
      </fill>
      <border>
        <left style="thin">
          <color theme="0"/>
        </left>
        <right style="thin">
          <color theme="0"/>
        </right>
        <top style="thin">
          <color theme="0"/>
        </top>
        <bottom style="thin">
          <color theme="0"/>
        </bottom>
        <vertical/>
        <horizontal/>
      </border>
    </dxf>
    <dxf>
      <font>
        <b/>
        <i val="0"/>
        <color theme="0"/>
      </font>
      <fill>
        <patternFill>
          <bgColor theme="3" tint="-0.499984740745262"/>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patternType="solid">
          <fgColor rgb="FF008000"/>
          <bgColor rgb="FF008000"/>
        </patternFill>
      </fill>
      <border>
        <left style="thin">
          <color theme="0"/>
        </left>
        <right style="thin">
          <color theme="0"/>
        </right>
        <top style="thin">
          <color theme="0"/>
        </top>
        <bottom style="thin">
          <color theme="0"/>
        </bottom>
      </border>
    </dxf>
    <dxf>
      <font>
        <b/>
        <i val="0"/>
        <color theme="0"/>
      </font>
      <fill>
        <patternFill patternType="solid">
          <fgColor rgb="FFFF0000"/>
          <bgColor rgb="FFFF0000"/>
        </patternFill>
      </fill>
      <border>
        <left style="thin">
          <color theme="0"/>
        </left>
        <right style="thin">
          <color theme="0"/>
        </right>
        <top style="thin">
          <color theme="0"/>
        </top>
        <bottom style="thin">
          <color theme="0"/>
        </bottom>
      </border>
    </dxf>
    <dxf>
      <font>
        <b/>
        <i val="0"/>
        <color theme="0"/>
      </font>
      <fill>
        <patternFill>
          <bgColor rgb="FFC0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66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C00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008000"/>
        </patternFill>
      </fill>
      <border>
        <left style="thin">
          <color theme="0"/>
        </left>
        <right style="thin">
          <color theme="0"/>
        </right>
        <top style="thin">
          <color theme="0"/>
        </top>
        <bottom style="thin">
          <color theme="0"/>
        </bottom>
        <vertical/>
        <horizontal/>
      </border>
    </dxf>
    <dxf>
      <font>
        <b/>
        <i val="0"/>
        <color theme="0"/>
      </font>
      <fill>
        <patternFill>
          <bgColor rgb="FFFF0000"/>
        </patternFill>
      </fill>
      <border>
        <left style="thin">
          <color theme="0"/>
        </left>
        <right style="thin">
          <color theme="0"/>
        </right>
        <top style="thin">
          <color theme="0"/>
        </top>
        <bottom style="thin">
          <color theme="0"/>
        </bottom>
        <vertical/>
        <horizontal/>
      </border>
    </dxf>
    <dxf>
      <font>
        <b/>
        <i val="0"/>
        <color theme="0"/>
      </font>
      <fill>
        <patternFill>
          <bgColor rgb="FFC00000"/>
        </patternFill>
      </fill>
      <border>
        <left style="thin">
          <color theme="0"/>
        </left>
        <right style="thin">
          <color theme="0"/>
        </right>
        <top style="thin">
          <color theme="0"/>
        </top>
        <bottom style="thin">
          <color theme="0"/>
        </bottom>
        <vertical/>
        <horizontal/>
      </border>
    </dxf>
  </dxfs>
  <tableStyles count="0" defaultTableStyle="TableStyleMedium9" defaultPivotStyle="PivotStyleLight16"/>
  <colors>
    <mruColors>
      <color rgb="FF006600"/>
      <color rgb="FFFF6600"/>
      <color rgb="FF1F4E78"/>
      <color rgb="FF003366"/>
      <color rgb="FFFFB469"/>
      <color rgb="FFFF9933"/>
      <color rgb="FFCCFFCC"/>
      <color rgb="FF777777"/>
      <color rgb="FFDAEEF3"/>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baseline="0">
                <a:solidFill>
                  <a:srgbClr val="003366"/>
                </a:solidFill>
                <a:latin typeface="+mn-lt"/>
                <a:ea typeface="+mn-ea"/>
                <a:cs typeface="+mn-cs"/>
              </a:defRPr>
            </a:pPr>
            <a:r>
              <a:rPr lang="en-US" sz="1100">
                <a:solidFill>
                  <a:srgbClr val="003366"/>
                </a:solidFill>
                <a:latin typeface="Arial Narrow" panose="020B0606020202030204" pitchFamily="34" charset="0"/>
              </a:rPr>
              <a:t>Fuente</a:t>
            </a:r>
            <a:r>
              <a:rPr lang="en-US" sz="1100" baseline="0">
                <a:solidFill>
                  <a:srgbClr val="003366"/>
                </a:solidFill>
                <a:latin typeface="Arial Narrow" panose="020B0606020202030204" pitchFamily="34" charset="0"/>
              </a:rPr>
              <a:t> de Financiación - 100% RECURSOS CAS</a:t>
            </a:r>
            <a:endParaRPr lang="en-US" sz="1100">
              <a:solidFill>
                <a:srgbClr val="003366"/>
              </a:solidFill>
              <a:latin typeface="Arial Narrow" panose="020B0606020202030204" pitchFamily="34" charset="0"/>
            </a:endParaRPr>
          </a:p>
        </c:rich>
      </c:tx>
      <c:overlay val="0"/>
      <c:spPr>
        <a:noFill/>
        <a:ln>
          <a:noFill/>
        </a:ln>
        <a:effectLst/>
      </c:spPr>
    </c:title>
    <c:autoTitleDeleted val="0"/>
    <c:plotArea>
      <c:layout>
        <c:manualLayout>
          <c:layoutTarget val="inner"/>
          <c:xMode val="edge"/>
          <c:yMode val="edge"/>
          <c:x val="3.3703601399713047E-3"/>
          <c:y val="3.0188679245283019E-2"/>
          <c:w val="0.99636693914623065"/>
          <c:h val="0.93032464128661518"/>
        </c:manualLayout>
      </c:layout>
      <c:ofPieChart>
        <c:ofPieType val="pie"/>
        <c:varyColors val="1"/>
        <c:ser>
          <c:idx val="0"/>
          <c:order val="0"/>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FEE4-4227-BCC2-55CE302ED761}"/>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FEE4-4227-BCC2-55CE302ED761}"/>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FEE4-4227-BCC2-55CE302ED761}"/>
              </c:ext>
            </c:extLst>
          </c:dPt>
          <c:dLbls>
            <c:dLbl>
              <c:idx val="0"/>
              <c:spPr>
                <a:noFill/>
                <a:ln>
                  <a:noFill/>
                </a:ln>
                <a:effectLst/>
              </c:spPr>
              <c:txPr>
                <a:bodyPr rot="0" spcFirstLastPara="1" vertOverflow="ellipsis" vert="horz" wrap="square" lIns="0" tIns="19050" rIns="0" bIns="19050" anchor="ctr" anchorCtr="1">
                  <a:noAutofit/>
                </a:bodyPr>
                <a:lstStyle/>
                <a:p>
                  <a:pPr>
                    <a:defRPr sz="900" b="1" i="0" u="none" strike="noStrike" kern="1200" baseline="0">
                      <a:solidFill>
                        <a:schemeClr val="lt1"/>
                      </a:solidFill>
                      <a:latin typeface="Arial Narrow" panose="020B0606020202030204" pitchFamily="34" charset="0"/>
                      <a:ea typeface="+mn-ea"/>
                      <a:cs typeface="+mn-cs"/>
                    </a:defRPr>
                  </a:pPr>
                  <a:endParaRPr lang="en-US"/>
                </a:p>
              </c:txPr>
              <c:dLblPos val="inEnd"/>
              <c:showLegendKey val="0"/>
              <c:showVal val="1"/>
              <c:showCatName val="1"/>
              <c:showSerName val="0"/>
              <c:showPercent val="1"/>
              <c:showBubbleSize val="0"/>
              <c:extLst>
                <c:ext xmlns:c15="http://schemas.microsoft.com/office/drawing/2012/chart" uri="{CE6537A1-D6FC-4f65-9D91-7224C49458BB}">
                  <c15:layout>
                    <c:manualLayout>
                      <c:w val="0.22952952379132552"/>
                      <c:h val="0.27693261903234895"/>
                    </c:manualLayout>
                  </c15:layout>
                </c:ext>
                <c:ext xmlns:c16="http://schemas.microsoft.com/office/drawing/2014/chart" uri="{C3380CC4-5D6E-409C-BE32-E72D297353CC}">
                  <c16:uniqueId val="{00000001-FEE4-4227-BCC2-55CE302ED761}"/>
                </c:ext>
              </c:extLst>
            </c:dLbl>
            <c:dLbl>
              <c:idx val="1"/>
              <c:dLblPos val="inEnd"/>
              <c:showLegendKey val="0"/>
              <c:showVal val="1"/>
              <c:showCatName val="1"/>
              <c:showSerName val="0"/>
              <c:showPercent val="1"/>
              <c:showBubbleSize val="0"/>
              <c:extLst>
                <c:ext xmlns:c15="http://schemas.microsoft.com/office/drawing/2012/chart" uri="{CE6537A1-D6FC-4f65-9D91-7224C49458BB}">
                  <c15:layout>
                    <c:manualLayout>
                      <c:w val="0.23810725655863088"/>
                      <c:h val="0.24198095937041064"/>
                    </c:manualLayout>
                  </c15:layout>
                </c:ext>
                <c:ext xmlns:c16="http://schemas.microsoft.com/office/drawing/2014/chart" uri="{C3380CC4-5D6E-409C-BE32-E72D297353CC}">
                  <c16:uniqueId val="{00000003-FEE4-4227-BCC2-55CE302ED761}"/>
                </c:ext>
              </c:extLst>
            </c:dLbl>
            <c:dLbl>
              <c:idx val="2"/>
              <c:layout>
                <c:manualLayout>
                  <c:x val="-0.16823128575082902"/>
                  <c:y val="1.7970583865696034E-3"/>
                </c:manualLayout>
              </c:layout>
              <c:tx>
                <c:rich>
                  <a:bodyPr/>
                  <a:lstStyle/>
                  <a:p>
                    <a:fld id="{98C880F5-1687-4AB6-896E-35D5F4F7925F}" type="CATEGORYNAME">
                      <a:rPr lang="en-US"/>
                      <a:pPr/>
                      <a:t>[CATEGORY NAME]</a:t>
                    </a:fld>
                    <a:r>
                      <a:rPr lang="en-US" baseline="0"/>
                      <a:t>, </a:t>
                    </a:r>
                    <a:fld id="{071DF23B-8B42-4353-99C4-D998AB6CCFD0}" type="PERCENTAGE">
                      <a:rPr lang="en-US" baseline="0"/>
                      <a:pPr/>
                      <a:t>[PERCENTAGE]</a:t>
                    </a:fld>
                    <a:endParaRPr lang="en-US" baseline="0"/>
                  </a:p>
                </c:rich>
              </c:tx>
              <c:dLblPos val="bestFit"/>
              <c:showLegendKey val="0"/>
              <c:showVal val="1"/>
              <c:showCatName val="1"/>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5-FEE4-4227-BCC2-55CE302ED761}"/>
                </c:ext>
              </c:extLst>
            </c:dLbl>
            <c:spPr>
              <a:noFill/>
              <a:ln>
                <a:noFill/>
              </a:ln>
              <a:effectLst/>
            </c:spPr>
            <c:txPr>
              <a:bodyPr rot="0" spcFirstLastPara="1" vertOverflow="ellipsis" vert="horz" wrap="square" lIns="0" tIns="19050" rIns="0" bIns="19050" anchor="ctr" anchorCtr="1">
                <a:spAutoFit/>
              </a:bodyPr>
              <a:lstStyle/>
              <a:p>
                <a:pPr>
                  <a:defRPr sz="900" b="1" i="0" u="none" strike="noStrike" kern="1200" baseline="0">
                    <a:solidFill>
                      <a:schemeClr val="lt1"/>
                    </a:solidFill>
                    <a:latin typeface="Arial Narrow" panose="020B0606020202030204" pitchFamily="34" charset="0"/>
                    <a:ea typeface="+mn-ea"/>
                    <a:cs typeface="+mn-cs"/>
                  </a:defRPr>
                </a:pPr>
                <a:endParaRPr lang="en-US"/>
              </a:p>
            </c:txPr>
            <c:dLblPos val="inEnd"/>
            <c:showLegendKey val="0"/>
            <c:showVal val="1"/>
            <c:showCatName val="1"/>
            <c:showSerName val="0"/>
            <c:showPercent val="1"/>
            <c:showBubbleSize val="0"/>
            <c:showLeaderLines val="0"/>
            <c:extLst>
              <c:ext xmlns:c15="http://schemas.microsoft.com/office/drawing/2012/chart" uri="{CE6537A1-D6FC-4f65-9D91-7224C49458BB}">
                <c15:spPr xmlns:c15="http://schemas.microsoft.com/office/drawing/2012/chart">
                  <a:prstGeom prst="rect">
                    <a:avLst/>
                  </a:prstGeom>
                </c15:spPr>
              </c:ext>
            </c:extLst>
          </c:dLbls>
          <c:cat>
            <c:strRef>
              <c:f>'TABLERO CONTROL'!$E$10:$E$11</c:f>
              <c:strCache>
                <c:ptCount val="2"/>
                <c:pt idx="0">
                  <c:v>Valor total Consultoría</c:v>
                </c:pt>
                <c:pt idx="1">
                  <c:v>Valor total Interventoría</c:v>
                </c:pt>
              </c:strCache>
            </c:strRef>
          </c:cat>
          <c:val>
            <c:numRef>
              <c:f>'TABLERO CONTROL'!$F$10:$F$11</c:f>
              <c:numCache>
                <c:formatCode>"$"#,##0.00</c:formatCode>
                <c:ptCount val="2"/>
                <c:pt idx="0">
                  <c:v>2319047656</c:v>
                </c:pt>
                <c:pt idx="1">
                  <c:v>308805994</c:v>
                </c:pt>
              </c:numCache>
            </c:numRef>
          </c:val>
          <c:extLst>
            <c:ext xmlns:c16="http://schemas.microsoft.com/office/drawing/2014/chart" uri="{C3380CC4-5D6E-409C-BE32-E72D297353CC}">
              <c16:uniqueId val="{00000006-FEE4-4227-BCC2-55CE302ED761}"/>
            </c:ext>
          </c:extLst>
        </c:ser>
        <c:ser>
          <c:idx val="1"/>
          <c:order val="1"/>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8-FEE4-4227-BCC2-55CE302ED761}"/>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A-FEE4-4227-BCC2-55CE302ED761}"/>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C-FEE4-4227-BCC2-55CE302ED761}"/>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0"/>
            <c:showCatName val="1"/>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'TABLERO CONTROL'!$E$10:$E$11</c:f>
              <c:strCache>
                <c:ptCount val="2"/>
                <c:pt idx="0">
                  <c:v>Valor total Consultoría</c:v>
                </c:pt>
                <c:pt idx="1">
                  <c:v>Valor total Interventoría</c:v>
                </c:pt>
              </c:strCache>
            </c:strRef>
          </c:cat>
          <c:val>
            <c:numRef>
              <c:f>'TABLERO CONTROL'!$G$10:$G$11</c:f>
              <c:numCache>
                <c:formatCode>0.00%</c:formatCode>
                <c:ptCount val="2"/>
                <c:pt idx="0">
                  <c:v>0.88248736987312826</c:v>
                </c:pt>
                <c:pt idx="1">
                  <c:v>0.1175126301268718</c:v>
                </c:pt>
              </c:numCache>
            </c:numRef>
          </c:val>
          <c:extLst>
            <c:ext xmlns:c16="http://schemas.microsoft.com/office/drawing/2014/chart" uri="{C3380CC4-5D6E-409C-BE32-E72D297353CC}">
              <c16:uniqueId val="{0000000D-FEE4-4227-BCC2-55CE302ED761}"/>
            </c:ext>
          </c:extLst>
        </c:ser>
        <c:dLbls>
          <c:dLblPos val="inEnd"/>
          <c:showLegendKey val="0"/>
          <c:showVal val="0"/>
          <c:showCatName val="1"/>
          <c:showSerName val="0"/>
          <c:showPercent val="1"/>
          <c:showBubbleSize val="0"/>
          <c:showLeaderLines val="0"/>
        </c:dLbls>
        <c:gapWidth val="150"/>
        <c:secondPieSize val="75"/>
        <c:serLines>
          <c:spPr>
            <a:ln w="9525" cap="flat" cmpd="sng" algn="ctr">
              <a:solidFill>
                <a:schemeClr val="dk1">
                  <a:lumMod val="35000"/>
                  <a:lumOff val="65000"/>
                </a:schemeClr>
              </a:solidFill>
              <a:round/>
            </a:ln>
            <a:effectLst/>
          </c:spPr>
        </c:serLines>
      </c:of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6673091188831828"/>
          <c:y val="4.6296296296296294E-3"/>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Arial Narrow" panose="020B0606020202030204" pitchFamily="34" charset="0"/>
              <a:ea typeface="+mn-ea"/>
              <a:cs typeface="+mn-cs"/>
            </a:defRPr>
          </a:pPr>
          <a:endParaRPr lang="en-US"/>
        </a:p>
      </c:txPr>
    </c:title>
    <c:autoTitleDeleted val="0"/>
    <c:plotArea>
      <c:layout>
        <c:manualLayout>
          <c:layoutTarget val="inner"/>
          <c:xMode val="edge"/>
          <c:yMode val="edge"/>
          <c:x val="0.22039895013123359"/>
          <c:y val="9.7638888888888914E-2"/>
          <c:w val="0.76573985628845587"/>
          <c:h val="0.74865011665208503"/>
        </c:manualLayout>
      </c:layout>
      <c:barChart>
        <c:barDir val="col"/>
        <c:grouping val="stacked"/>
        <c:varyColors val="0"/>
        <c:ser>
          <c:idx val="0"/>
          <c:order val="0"/>
          <c:tx>
            <c:v>AVANCE MENSUAL</c:v>
          </c:tx>
          <c:spPr>
            <a:solidFill>
              <a:schemeClr val="accent1"/>
            </a:solidFill>
            <a:ln>
              <a:noFill/>
            </a:ln>
            <a:effectLst/>
          </c:spPr>
          <c:invertIfNegative val="0"/>
          <c:cat>
            <c:strRef>
              <c:f>'(%) DE AVANCE CONSULTORÍA'!$F$52:$Q$52</c:f>
              <c:strCache>
                <c:ptCount val="12"/>
                <c:pt idx="0">
                  <c:v>MES 1</c:v>
                </c:pt>
                <c:pt idx="1">
                  <c:v>MES 2</c:v>
                </c:pt>
                <c:pt idx="2">
                  <c:v>MES 3</c:v>
                </c:pt>
                <c:pt idx="3">
                  <c:v>MES 4</c:v>
                </c:pt>
                <c:pt idx="4">
                  <c:v>MES 5</c:v>
                </c:pt>
                <c:pt idx="5">
                  <c:v>MES 6</c:v>
                </c:pt>
                <c:pt idx="6">
                  <c:v>MES 7</c:v>
                </c:pt>
                <c:pt idx="7">
                  <c:v>MES 8</c:v>
                </c:pt>
                <c:pt idx="8">
                  <c:v>MES 9</c:v>
                </c:pt>
                <c:pt idx="9">
                  <c:v>MES 10</c:v>
                </c:pt>
                <c:pt idx="10">
                  <c:v>MES 11</c:v>
                </c:pt>
                <c:pt idx="11">
                  <c:v>MES 12</c:v>
                </c:pt>
              </c:strCache>
            </c:strRef>
          </c:cat>
          <c:val>
            <c:numRef>
              <c:f>'(%) DE AVANCE CONSULTORÍA'!$F$50:$Q$50</c:f>
              <c:numCache>
                <c:formatCode>0.00%</c:formatCode>
                <c:ptCount val="12"/>
                <c:pt idx="0">
                  <c:v>2.7190125541065938E-2</c:v>
                </c:pt>
                <c:pt idx="1">
                  <c:v>8.5227030829615538E-2</c:v>
                </c:pt>
                <c:pt idx="2">
                  <c:v>0.24162470411903203</c:v>
                </c:pt>
                <c:pt idx="3">
                  <c:v>0.24795153418792598</c:v>
                </c:pt>
                <c:pt idx="4">
                  <c:v>5.5812586836597164E-2</c:v>
                </c:pt>
                <c:pt idx="5">
                  <c:v>0.22367678827147627</c:v>
                </c:pt>
                <c:pt idx="6">
                  <c:v>3.9810907209916931E-2</c:v>
                </c:pt>
                <c:pt idx="7">
                  <c:v>1.6874038016143216E-2</c:v>
                </c:pt>
                <c:pt idx="8">
                  <c:v>2.2625961983861229E-2</c:v>
                </c:pt>
                <c:pt idx="9">
                  <c:v>1.0580040570109497E-2</c:v>
                </c:pt>
                <c:pt idx="10">
                  <c:v>1.5900435063155527E-2</c:v>
                </c:pt>
                <c:pt idx="11">
                  <c:v>1.2719524366756645E-2</c:v>
                </c:pt>
              </c:numCache>
            </c:numRef>
          </c:val>
          <c:extLst>
            <c:ext xmlns:c16="http://schemas.microsoft.com/office/drawing/2014/chart" uri="{C3380CC4-5D6E-409C-BE32-E72D297353CC}">
              <c16:uniqueId val="{00000000-A8AF-4C7F-9A19-2B4AE2180092}"/>
            </c:ext>
          </c:extLst>
        </c:ser>
        <c:dLbls>
          <c:showLegendKey val="0"/>
          <c:showVal val="0"/>
          <c:showCatName val="0"/>
          <c:showSerName val="0"/>
          <c:showPercent val="0"/>
          <c:showBubbleSize val="0"/>
        </c:dLbls>
        <c:gapWidth val="150"/>
        <c:overlap val="100"/>
        <c:axId val="339322048"/>
        <c:axId val="339340768"/>
      </c:barChart>
      <c:catAx>
        <c:axId val="33932204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9340768"/>
        <c:crosses val="autoZero"/>
        <c:auto val="1"/>
        <c:lblAlgn val="ctr"/>
        <c:lblOffset val="100"/>
        <c:noMultiLvlLbl val="0"/>
      </c:catAx>
      <c:valAx>
        <c:axId val="339340768"/>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Narrow" panose="020B0606020202030204" pitchFamily="34" charset="0"/>
                <a:ea typeface="+mn-ea"/>
                <a:cs typeface="+mn-cs"/>
              </a:defRPr>
            </a:pPr>
            <a:endParaRPr lang="en-US"/>
          </a:p>
        </c:txPr>
        <c:crossAx val="33932204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1000" b="0" i="0" u="none" strike="noStrike" kern="1200" baseline="0">
                <a:solidFill>
                  <a:schemeClr val="tx1">
                    <a:lumMod val="65000"/>
                    <a:lumOff val="35000"/>
                  </a:schemeClr>
                </a:solidFill>
                <a:latin typeface="Arial Narrow" panose="020B0606020202030204" pitchFamily="34" charset="0"/>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ysClr val="windowText" lastClr="000000"/>
                </a:solidFill>
                <a:latin typeface="Arial Narrow" panose="020B0606020202030204" pitchFamily="34" charset="0"/>
                <a:ea typeface="+mn-ea"/>
                <a:cs typeface="+mn-cs"/>
              </a:defRPr>
            </a:pPr>
            <a:r>
              <a:rPr lang="en-US" sz="1000" b="1">
                <a:solidFill>
                  <a:sysClr val="windowText" lastClr="000000"/>
                </a:solidFill>
                <a:latin typeface="Arial Narrow" panose="020B0606020202030204" pitchFamily="34" charset="0"/>
              </a:rPr>
              <a:t>AVANCE ACUMULADO</a:t>
            </a:r>
          </a:p>
        </c:rich>
      </c:tx>
      <c:layout>
        <c:manualLayout>
          <c:xMode val="edge"/>
          <c:yMode val="edge"/>
          <c:x val="0.41334810704704755"/>
          <c:y val="1.1887074662684757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Arial Narrow" panose="020B0606020202030204" pitchFamily="34" charset="0"/>
              <a:ea typeface="+mn-ea"/>
              <a:cs typeface="+mn-cs"/>
            </a:defRPr>
          </a:pPr>
          <a:endParaRPr lang="en-US"/>
        </a:p>
      </c:txPr>
    </c:title>
    <c:autoTitleDeleted val="0"/>
    <c:plotArea>
      <c:layout>
        <c:manualLayout>
          <c:layoutTarget val="inner"/>
          <c:xMode val="edge"/>
          <c:yMode val="edge"/>
          <c:x val="0.2261706166040757"/>
          <c:y val="9.989105074876091E-2"/>
          <c:w val="0.77162478331558659"/>
          <c:h val="0.74483754643291045"/>
        </c:manualLayout>
      </c:layout>
      <c:lineChart>
        <c:grouping val="standard"/>
        <c:varyColors val="0"/>
        <c:ser>
          <c:idx val="0"/>
          <c:order val="0"/>
          <c:tx>
            <c:v>AVANCE ACC</c:v>
          </c:tx>
          <c:spPr>
            <a:ln w="28575" cap="rnd">
              <a:solidFill>
                <a:schemeClr val="accent1"/>
              </a:solidFill>
              <a:round/>
            </a:ln>
            <a:effectLst/>
          </c:spPr>
          <c:marker>
            <c:symbol val="diamond"/>
            <c:size val="7"/>
            <c:spPr>
              <a:solidFill>
                <a:schemeClr val="accent1"/>
              </a:solidFill>
              <a:ln w="9525">
                <a:solidFill>
                  <a:schemeClr val="accent1"/>
                </a:solidFill>
              </a:ln>
              <a:effectLst/>
            </c:spPr>
          </c:marker>
          <c:cat>
            <c:strRef>
              <c:f>'(%) DE AVANCE CONSULTORÍA'!$F$52:$Q$52</c:f>
              <c:strCache>
                <c:ptCount val="12"/>
                <c:pt idx="0">
                  <c:v>MES 1</c:v>
                </c:pt>
                <c:pt idx="1">
                  <c:v>MES 2</c:v>
                </c:pt>
                <c:pt idx="2">
                  <c:v>MES 3</c:v>
                </c:pt>
                <c:pt idx="3">
                  <c:v>MES 4</c:v>
                </c:pt>
                <c:pt idx="4">
                  <c:v>MES 5</c:v>
                </c:pt>
                <c:pt idx="5">
                  <c:v>MES 6</c:v>
                </c:pt>
                <c:pt idx="6">
                  <c:v>MES 7</c:v>
                </c:pt>
                <c:pt idx="7">
                  <c:v>MES 8</c:v>
                </c:pt>
                <c:pt idx="8">
                  <c:v>MES 9</c:v>
                </c:pt>
                <c:pt idx="9">
                  <c:v>MES 10</c:v>
                </c:pt>
                <c:pt idx="10">
                  <c:v>MES 11</c:v>
                </c:pt>
                <c:pt idx="11">
                  <c:v>MES 12</c:v>
                </c:pt>
              </c:strCache>
            </c:strRef>
          </c:cat>
          <c:val>
            <c:numRef>
              <c:f>'(%) DE AVANCE CONSULTORÍA'!$F$51:$Q$51</c:f>
              <c:numCache>
                <c:formatCode>0.00%</c:formatCode>
                <c:ptCount val="12"/>
                <c:pt idx="0">
                  <c:v>2.7190125541065938E-2</c:v>
                </c:pt>
                <c:pt idx="1">
                  <c:v>0.11241715637068148</c:v>
                </c:pt>
                <c:pt idx="2">
                  <c:v>0.35404186048971353</c:v>
                </c:pt>
                <c:pt idx="3">
                  <c:v>0.60199339467763946</c:v>
                </c:pt>
                <c:pt idx="4">
                  <c:v>0.65780598151423664</c:v>
                </c:pt>
                <c:pt idx="5">
                  <c:v>0.88148276978571294</c:v>
                </c:pt>
                <c:pt idx="6">
                  <c:v>0.92129367699562992</c:v>
                </c:pt>
                <c:pt idx="7">
                  <c:v>0.9381677150117731</c:v>
                </c:pt>
                <c:pt idx="8">
                  <c:v>0.96079367699563434</c:v>
                </c:pt>
                <c:pt idx="9">
                  <c:v>0.97137371756574387</c:v>
                </c:pt>
                <c:pt idx="10">
                  <c:v>0.98727415262889939</c:v>
                </c:pt>
                <c:pt idx="11">
                  <c:v>0.999993676995656</c:v>
                </c:pt>
              </c:numCache>
            </c:numRef>
          </c:val>
          <c:smooth val="0"/>
          <c:extLst>
            <c:ext xmlns:c16="http://schemas.microsoft.com/office/drawing/2014/chart" uri="{C3380CC4-5D6E-409C-BE32-E72D297353CC}">
              <c16:uniqueId val="{00000000-CA81-4413-8E06-821245FA42AE}"/>
            </c:ext>
          </c:extLst>
        </c:ser>
        <c:dLbls>
          <c:showLegendKey val="0"/>
          <c:showVal val="0"/>
          <c:showCatName val="0"/>
          <c:showSerName val="0"/>
          <c:showPercent val="0"/>
          <c:showBubbleSize val="0"/>
        </c:dLbls>
        <c:marker val="1"/>
        <c:smooth val="0"/>
        <c:axId val="753425616"/>
        <c:axId val="753427056"/>
      </c:lineChart>
      <c:catAx>
        <c:axId val="753425616"/>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753427056"/>
        <c:crosses val="autoZero"/>
        <c:auto val="1"/>
        <c:lblAlgn val="ctr"/>
        <c:lblOffset val="100"/>
        <c:noMultiLvlLbl val="0"/>
      </c:catAx>
      <c:valAx>
        <c:axId val="753427056"/>
        <c:scaling>
          <c:orientation val="minMax"/>
          <c:max val="1.01"/>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Narrow" panose="020B0606020202030204" pitchFamily="34" charset="0"/>
                <a:ea typeface="+mn-ea"/>
                <a:cs typeface="+mn-cs"/>
              </a:defRPr>
            </a:pPr>
            <a:endParaRPr lang="en-US"/>
          </a:p>
        </c:txPr>
        <c:crossAx val="753425616"/>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1000" b="0" i="0" u="none" strike="noStrike" kern="1200" baseline="0">
                <a:solidFill>
                  <a:sysClr val="windowText" lastClr="000000"/>
                </a:solidFill>
                <a:latin typeface="Arial Narrow" panose="020B0606020202030204" pitchFamily="34" charset="0"/>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6673091188831828"/>
          <c:y val="4.6296296296296294E-3"/>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Arial Narrow" panose="020B0606020202030204" pitchFamily="34" charset="0"/>
              <a:ea typeface="+mn-ea"/>
              <a:cs typeface="+mn-cs"/>
            </a:defRPr>
          </a:pPr>
          <a:endParaRPr lang="en-US"/>
        </a:p>
      </c:txPr>
    </c:title>
    <c:autoTitleDeleted val="0"/>
    <c:plotArea>
      <c:layout>
        <c:manualLayout>
          <c:layoutTarget val="inner"/>
          <c:xMode val="edge"/>
          <c:yMode val="edge"/>
          <c:x val="0.22039895013123359"/>
          <c:y val="9.7638888888888914E-2"/>
          <c:w val="0.76573985628845587"/>
          <c:h val="0.74865011665208503"/>
        </c:manualLayout>
      </c:layout>
      <c:barChart>
        <c:barDir val="col"/>
        <c:grouping val="stacked"/>
        <c:varyColors val="0"/>
        <c:ser>
          <c:idx val="0"/>
          <c:order val="0"/>
          <c:tx>
            <c:v>AVANCE MENSUAL</c:v>
          </c:tx>
          <c:spPr>
            <a:solidFill>
              <a:schemeClr val="accent1"/>
            </a:solidFill>
            <a:ln>
              <a:noFill/>
            </a:ln>
            <a:effectLst/>
          </c:spPr>
          <c:invertIfNegative val="0"/>
          <c:cat>
            <c:strRef>
              <c:f>'(%) DE AVANCE INTERVENTORÍA'!$F$52:$Q$52</c:f>
              <c:strCache>
                <c:ptCount val="12"/>
                <c:pt idx="0">
                  <c:v>MES 1</c:v>
                </c:pt>
                <c:pt idx="1">
                  <c:v>MES 2</c:v>
                </c:pt>
                <c:pt idx="2">
                  <c:v>MES 3</c:v>
                </c:pt>
                <c:pt idx="3">
                  <c:v>MES 4</c:v>
                </c:pt>
                <c:pt idx="4">
                  <c:v>MES 5</c:v>
                </c:pt>
                <c:pt idx="5">
                  <c:v>MES 6</c:v>
                </c:pt>
                <c:pt idx="6">
                  <c:v>MES 7</c:v>
                </c:pt>
                <c:pt idx="7">
                  <c:v>MES 8</c:v>
                </c:pt>
                <c:pt idx="8">
                  <c:v>MES 9</c:v>
                </c:pt>
                <c:pt idx="9">
                  <c:v>MES 10</c:v>
                </c:pt>
                <c:pt idx="10">
                  <c:v>MES 11</c:v>
                </c:pt>
                <c:pt idx="11">
                  <c:v>MES 12</c:v>
                </c:pt>
              </c:strCache>
            </c:strRef>
          </c:cat>
          <c:val>
            <c:numRef>
              <c:f>'(%) DE AVANCE INTERVENTORÍA'!$F$50:$Q$50</c:f>
              <c:numCache>
                <c:formatCode>0.00%</c:formatCode>
                <c:ptCount val="12"/>
                <c:pt idx="0">
                  <c:v>0.104533858534662</c:v>
                </c:pt>
                <c:pt idx="1">
                  <c:v>0.13265840548589908</c:v>
                </c:pt>
                <c:pt idx="2">
                  <c:v>4.4620035614670969E-2</c:v>
                </c:pt>
                <c:pt idx="3">
                  <c:v>6.7429823230019989E-2</c:v>
                </c:pt>
                <c:pt idx="4">
                  <c:v>7.7949893481830831E-2</c:v>
                </c:pt>
                <c:pt idx="5">
                  <c:v>7.6092800688180126E-2</c:v>
                </c:pt>
                <c:pt idx="6">
                  <c:v>0.15795904149939918</c:v>
                </c:pt>
                <c:pt idx="7">
                  <c:v>4.5279504374619826E-2</c:v>
                </c:pt>
                <c:pt idx="8">
                  <c:v>9.179063712036481E-2</c:v>
                </c:pt>
                <c:pt idx="9">
                  <c:v>8.8909586953737546E-2</c:v>
                </c:pt>
                <c:pt idx="10">
                  <c:v>9.4999050121425094E-2</c:v>
                </c:pt>
                <c:pt idx="11">
                  <c:v>1.7781917390747509E-2</c:v>
                </c:pt>
              </c:numCache>
            </c:numRef>
          </c:val>
          <c:extLst>
            <c:ext xmlns:c16="http://schemas.microsoft.com/office/drawing/2014/chart" uri="{C3380CC4-5D6E-409C-BE32-E72D297353CC}">
              <c16:uniqueId val="{00000000-26E5-42AB-8C93-B15106652058}"/>
            </c:ext>
          </c:extLst>
        </c:ser>
        <c:dLbls>
          <c:showLegendKey val="0"/>
          <c:showVal val="0"/>
          <c:showCatName val="0"/>
          <c:showSerName val="0"/>
          <c:showPercent val="0"/>
          <c:showBubbleSize val="0"/>
        </c:dLbls>
        <c:gapWidth val="150"/>
        <c:overlap val="100"/>
        <c:axId val="339322048"/>
        <c:axId val="339340768"/>
      </c:barChart>
      <c:catAx>
        <c:axId val="33932204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9340768"/>
        <c:crosses val="autoZero"/>
        <c:auto val="1"/>
        <c:lblAlgn val="ctr"/>
        <c:lblOffset val="100"/>
        <c:noMultiLvlLbl val="0"/>
      </c:catAx>
      <c:valAx>
        <c:axId val="339340768"/>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Narrow" panose="020B0606020202030204" pitchFamily="34" charset="0"/>
                <a:ea typeface="+mn-ea"/>
                <a:cs typeface="+mn-cs"/>
              </a:defRPr>
            </a:pPr>
            <a:endParaRPr lang="en-US"/>
          </a:p>
        </c:txPr>
        <c:crossAx val="33932204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1000" b="0" i="0" u="none" strike="noStrike" kern="1200" baseline="0">
                <a:solidFill>
                  <a:schemeClr val="tx1">
                    <a:lumMod val="65000"/>
                    <a:lumOff val="35000"/>
                  </a:schemeClr>
                </a:solidFill>
                <a:latin typeface="Arial Narrow" panose="020B0606020202030204" pitchFamily="34" charset="0"/>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ysClr val="windowText" lastClr="000000"/>
                </a:solidFill>
                <a:latin typeface="Arial Narrow" panose="020B0606020202030204" pitchFamily="34" charset="0"/>
                <a:ea typeface="+mn-ea"/>
                <a:cs typeface="+mn-cs"/>
              </a:defRPr>
            </a:pPr>
            <a:r>
              <a:rPr lang="en-US" sz="1000" b="1">
                <a:solidFill>
                  <a:sysClr val="windowText" lastClr="000000"/>
                </a:solidFill>
                <a:latin typeface="Arial Narrow" panose="020B0606020202030204" pitchFamily="34" charset="0"/>
              </a:rPr>
              <a:t>AVANCE ACUMULADO</a:t>
            </a:r>
          </a:p>
        </c:rich>
      </c:tx>
      <c:layout>
        <c:manualLayout>
          <c:xMode val="edge"/>
          <c:yMode val="edge"/>
          <c:x val="0.41334810704704755"/>
          <c:y val="1.1887074662684757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Arial Narrow" panose="020B0606020202030204" pitchFamily="34" charset="0"/>
              <a:ea typeface="+mn-ea"/>
              <a:cs typeface="+mn-cs"/>
            </a:defRPr>
          </a:pPr>
          <a:endParaRPr lang="en-US"/>
        </a:p>
      </c:txPr>
    </c:title>
    <c:autoTitleDeleted val="0"/>
    <c:plotArea>
      <c:layout>
        <c:manualLayout>
          <c:layoutTarget val="inner"/>
          <c:xMode val="edge"/>
          <c:yMode val="edge"/>
          <c:x val="0.2261706166040757"/>
          <c:y val="9.989105074876091E-2"/>
          <c:w val="0.77162478331558659"/>
          <c:h val="0.74483754643291045"/>
        </c:manualLayout>
      </c:layout>
      <c:lineChart>
        <c:grouping val="standard"/>
        <c:varyColors val="0"/>
        <c:ser>
          <c:idx val="0"/>
          <c:order val="0"/>
          <c:tx>
            <c:v>AVANCE ACC</c:v>
          </c:tx>
          <c:spPr>
            <a:ln w="28575" cap="rnd">
              <a:solidFill>
                <a:schemeClr val="accent1"/>
              </a:solidFill>
              <a:round/>
            </a:ln>
            <a:effectLst/>
          </c:spPr>
          <c:marker>
            <c:symbol val="diamond"/>
            <c:size val="7"/>
            <c:spPr>
              <a:solidFill>
                <a:schemeClr val="accent1"/>
              </a:solidFill>
              <a:ln w="9525">
                <a:solidFill>
                  <a:schemeClr val="accent1"/>
                </a:solidFill>
              </a:ln>
              <a:effectLst/>
            </c:spPr>
          </c:marker>
          <c:cat>
            <c:strRef>
              <c:f>'(%) DE AVANCE INTERVENTORÍA'!$F$52:$Q$52</c:f>
              <c:strCache>
                <c:ptCount val="12"/>
                <c:pt idx="0">
                  <c:v>MES 1</c:v>
                </c:pt>
                <c:pt idx="1">
                  <c:v>MES 2</c:v>
                </c:pt>
                <c:pt idx="2">
                  <c:v>MES 3</c:v>
                </c:pt>
                <c:pt idx="3">
                  <c:v>MES 4</c:v>
                </c:pt>
                <c:pt idx="4">
                  <c:v>MES 5</c:v>
                </c:pt>
                <c:pt idx="5">
                  <c:v>MES 6</c:v>
                </c:pt>
                <c:pt idx="6">
                  <c:v>MES 7</c:v>
                </c:pt>
                <c:pt idx="7">
                  <c:v>MES 8</c:v>
                </c:pt>
                <c:pt idx="8">
                  <c:v>MES 9</c:v>
                </c:pt>
                <c:pt idx="9">
                  <c:v>MES 10</c:v>
                </c:pt>
                <c:pt idx="10">
                  <c:v>MES 11</c:v>
                </c:pt>
                <c:pt idx="11">
                  <c:v>MES 12</c:v>
                </c:pt>
              </c:strCache>
            </c:strRef>
          </c:cat>
          <c:val>
            <c:numRef>
              <c:f>'(%) DE AVANCE INTERVENTORÍA'!$F$51:$Q$51</c:f>
              <c:numCache>
                <c:formatCode>0.00%</c:formatCode>
                <c:ptCount val="12"/>
                <c:pt idx="0">
                  <c:v>0.104533858534662</c:v>
                </c:pt>
                <c:pt idx="1">
                  <c:v>0.23719226402056109</c:v>
                </c:pt>
                <c:pt idx="2">
                  <c:v>0.28181229963523208</c:v>
                </c:pt>
                <c:pt idx="3">
                  <c:v>0.34924212286525208</c:v>
                </c:pt>
                <c:pt idx="4">
                  <c:v>0.42719201634708293</c:v>
                </c:pt>
                <c:pt idx="5">
                  <c:v>0.50328481703526307</c:v>
                </c:pt>
                <c:pt idx="6">
                  <c:v>0.66124385853466228</c:v>
                </c:pt>
                <c:pt idx="7">
                  <c:v>0.70652336290928208</c:v>
                </c:pt>
                <c:pt idx="8">
                  <c:v>0.79831400002964692</c:v>
                </c:pt>
                <c:pt idx="9">
                  <c:v>0.88722358698338444</c:v>
                </c:pt>
                <c:pt idx="10">
                  <c:v>0.9822226371048095</c:v>
                </c:pt>
                <c:pt idx="11">
                  <c:v>1.0000045544955569</c:v>
                </c:pt>
              </c:numCache>
            </c:numRef>
          </c:val>
          <c:smooth val="0"/>
          <c:extLst>
            <c:ext xmlns:c16="http://schemas.microsoft.com/office/drawing/2014/chart" uri="{C3380CC4-5D6E-409C-BE32-E72D297353CC}">
              <c16:uniqueId val="{00000000-C80F-43CD-A911-8B43C1C13DD9}"/>
            </c:ext>
          </c:extLst>
        </c:ser>
        <c:dLbls>
          <c:showLegendKey val="0"/>
          <c:showVal val="0"/>
          <c:showCatName val="0"/>
          <c:showSerName val="0"/>
          <c:showPercent val="0"/>
          <c:showBubbleSize val="0"/>
        </c:dLbls>
        <c:marker val="1"/>
        <c:smooth val="0"/>
        <c:axId val="753425616"/>
        <c:axId val="753427056"/>
      </c:lineChart>
      <c:catAx>
        <c:axId val="753425616"/>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753427056"/>
        <c:crosses val="autoZero"/>
        <c:auto val="1"/>
        <c:lblAlgn val="ctr"/>
        <c:lblOffset val="100"/>
        <c:noMultiLvlLbl val="0"/>
      </c:catAx>
      <c:valAx>
        <c:axId val="753427056"/>
        <c:scaling>
          <c:orientation val="minMax"/>
          <c:max val="1.01"/>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Narrow" panose="020B0606020202030204" pitchFamily="34" charset="0"/>
                <a:ea typeface="+mn-ea"/>
                <a:cs typeface="+mn-cs"/>
              </a:defRPr>
            </a:pPr>
            <a:endParaRPr lang="en-US"/>
          </a:p>
        </c:txPr>
        <c:crossAx val="753425616"/>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1000" b="0" i="0" u="none" strike="noStrike" kern="1200" baseline="0">
                <a:solidFill>
                  <a:sysClr val="windowText" lastClr="000000"/>
                </a:solidFill>
                <a:latin typeface="Arial Narrow" panose="020B0606020202030204" pitchFamily="34" charset="0"/>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hyperlink" Target="#FM!A1"/></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hyperlink" Target="#DISTRIBUCI&#211;N!A1"/><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29158</xdr:colOff>
      <xdr:row>12</xdr:row>
      <xdr:rowOff>28574</xdr:rowOff>
    </xdr:from>
    <xdr:to>
      <xdr:col>10</xdr:col>
      <xdr:colOff>409575</xdr:colOff>
      <xdr:row>26</xdr:row>
      <xdr:rowOff>152399</xdr:rowOff>
    </xdr:to>
    <xdr:graphicFrame macro="">
      <xdr:nvGraphicFramePr>
        <xdr:cNvPr id="3" name="Gráfico 2">
          <a:extLst>
            <a:ext uri="{FF2B5EF4-FFF2-40B4-BE49-F238E27FC236}">
              <a16:creationId xmlns:a16="http://schemas.microsoft.com/office/drawing/2014/main" id="{3F26F5D7-78D9-4EBA-8118-2E099F47FE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971</xdr:colOff>
      <xdr:row>9</xdr:row>
      <xdr:rowOff>73269</xdr:rowOff>
    </xdr:from>
    <xdr:to>
      <xdr:col>2</xdr:col>
      <xdr:colOff>1778841</xdr:colOff>
      <xdr:row>29</xdr:row>
      <xdr:rowOff>125700</xdr:rowOff>
    </xdr:to>
    <xdr:pic>
      <xdr:nvPicPr>
        <xdr:cNvPr id="4" name="Imagen 3">
          <a:extLst>
            <a:ext uri="{FF2B5EF4-FFF2-40B4-BE49-F238E27FC236}">
              <a16:creationId xmlns:a16="http://schemas.microsoft.com/office/drawing/2014/main" id="{C6A11F7E-B75C-932F-03ED-01E1DD36EFE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968" t="15407" r="4096" b="15225"/>
        <a:stretch>
          <a:fillRect/>
        </a:stretch>
      </xdr:blipFill>
      <xdr:spPr bwMode="auto">
        <a:xfrm>
          <a:off x="971" y="1858374"/>
          <a:ext cx="2956839" cy="332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1739771</xdr:colOff>
      <xdr:row>9</xdr:row>
      <xdr:rowOff>76488</xdr:rowOff>
    </xdr:from>
    <xdr:to>
      <xdr:col>2</xdr:col>
      <xdr:colOff>4075016</xdr:colOff>
      <xdr:row>29</xdr:row>
      <xdr:rowOff>85919</xdr:rowOff>
    </xdr:to>
    <xdr:pic>
      <xdr:nvPicPr>
        <xdr:cNvPr id="5" name="Imagen 4">
          <a:extLst>
            <a:ext uri="{FF2B5EF4-FFF2-40B4-BE49-F238E27FC236}">
              <a16:creationId xmlns:a16="http://schemas.microsoft.com/office/drawing/2014/main" id="{9B61D090-0CE3-48F0-2D6F-7614C125CD0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964414" y="1796820"/>
          <a:ext cx="2335245" cy="33738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119062</xdr:colOff>
      <xdr:row>11</xdr:row>
      <xdr:rowOff>35718</xdr:rowOff>
    </xdr:from>
    <xdr:to>
      <xdr:col>4</xdr:col>
      <xdr:colOff>404812</xdr:colOff>
      <xdr:row>11</xdr:row>
      <xdr:rowOff>202406</xdr:rowOff>
    </xdr:to>
    <xdr:sp macro="" textlink="">
      <xdr:nvSpPr>
        <xdr:cNvPr id="2" name="Flecha: a la derecha 1">
          <a:hlinkClick xmlns:r="http://schemas.openxmlformats.org/officeDocument/2006/relationships" r:id="rId1"/>
          <a:extLst>
            <a:ext uri="{FF2B5EF4-FFF2-40B4-BE49-F238E27FC236}">
              <a16:creationId xmlns:a16="http://schemas.microsoft.com/office/drawing/2014/main" id="{345C646D-3381-399F-50CF-65BD6C661CA3}"/>
            </a:ext>
          </a:extLst>
        </xdr:cNvPr>
        <xdr:cNvSpPr/>
      </xdr:nvSpPr>
      <xdr:spPr>
        <a:xfrm>
          <a:off x="5869781" y="2607468"/>
          <a:ext cx="285750" cy="166688"/>
        </a:xfrm>
        <a:prstGeom prst="rightArrow">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127000</xdr:colOff>
      <xdr:row>33</xdr:row>
      <xdr:rowOff>38100</xdr:rowOff>
    </xdr:from>
    <xdr:to>
      <xdr:col>4</xdr:col>
      <xdr:colOff>412750</xdr:colOff>
      <xdr:row>33</xdr:row>
      <xdr:rowOff>204788</xdr:rowOff>
    </xdr:to>
    <xdr:sp macro="" textlink="">
      <xdr:nvSpPr>
        <xdr:cNvPr id="13" name="Flecha: a la derecha 12">
          <a:hlinkClick xmlns:r="http://schemas.openxmlformats.org/officeDocument/2006/relationships" r:id="rId1"/>
          <a:extLst>
            <a:ext uri="{FF2B5EF4-FFF2-40B4-BE49-F238E27FC236}">
              <a16:creationId xmlns:a16="http://schemas.microsoft.com/office/drawing/2014/main" id="{585BF273-D306-4010-8B04-69630851F16E}"/>
            </a:ext>
          </a:extLst>
        </xdr:cNvPr>
        <xdr:cNvSpPr/>
      </xdr:nvSpPr>
      <xdr:spPr>
        <a:xfrm>
          <a:off x="5791200" y="5143500"/>
          <a:ext cx="285750" cy="166688"/>
        </a:xfrm>
        <a:prstGeom prst="rightArrow">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119062</xdr:colOff>
      <xdr:row>121</xdr:row>
      <xdr:rowOff>35718</xdr:rowOff>
    </xdr:from>
    <xdr:to>
      <xdr:col>4</xdr:col>
      <xdr:colOff>404812</xdr:colOff>
      <xdr:row>121</xdr:row>
      <xdr:rowOff>202406</xdr:rowOff>
    </xdr:to>
    <xdr:sp macro="" textlink="">
      <xdr:nvSpPr>
        <xdr:cNvPr id="3" name="Flecha: a la derecha 2">
          <a:hlinkClick xmlns:r="http://schemas.openxmlformats.org/officeDocument/2006/relationships" r:id="rId1"/>
          <a:extLst>
            <a:ext uri="{FF2B5EF4-FFF2-40B4-BE49-F238E27FC236}">
              <a16:creationId xmlns:a16="http://schemas.microsoft.com/office/drawing/2014/main" id="{876F3D7D-6EE0-4BDA-904D-89F7B9303221}"/>
            </a:ext>
          </a:extLst>
        </xdr:cNvPr>
        <xdr:cNvSpPr/>
      </xdr:nvSpPr>
      <xdr:spPr>
        <a:xfrm>
          <a:off x="5783262" y="2626518"/>
          <a:ext cx="285750" cy="166688"/>
        </a:xfrm>
        <a:prstGeom prst="rightArrow">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127000</xdr:colOff>
      <xdr:row>127</xdr:row>
      <xdr:rowOff>38100</xdr:rowOff>
    </xdr:from>
    <xdr:to>
      <xdr:col>4</xdr:col>
      <xdr:colOff>412750</xdr:colOff>
      <xdr:row>127</xdr:row>
      <xdr:rowOff>204788</xdr:rowOff>
    </xdr:to>
    <xdr:sp macro="" textlink="">
      <xdr:nvSpPr>
        <xdr:cNvPr id="4" name="Flecha: a la derecha 3">
          <a:hlinkClick xmlns:r="http://schemas.openxmlformats.org/officeDocument/2006/relationships" r:id="rId1"/>
          <a:extLst>
            <a:ext uri="{FF2B5EF4-FFF2-40B4-BE49-F238E27FC236}">
              <a16:creationId xmlns:a16="http://schemas.microsoft.com/office/drawing/2014/main" id="{0C652519-12F0-4147-8840-55833601A037}"/>
            </a:ext>
          </a:extLst>
        </xdr:cNvPr>
        <xdr:cNvSpPr/>
      </xdr:nvSpPr>
      <xdr:spPr>
        <a:xfrm>
          <a:off x="5791200" y="5143500"/>
          <a:ext cx="285750" cy="166688"/>
        </a:xfrm>
        <a:prstGeom prst="rightArrow">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119060</xdr:colOff>
      <xdr:row>1</xdr:row>
      <xdr:rowOff>0</xdr:rowOff>
    </xdr:from>
    <xdr:to>
      <xdr:col>28</xdr:col>
      <xdr:colOff>369093</xdr:colOff>
      <xdr:row>14</xdr:row>
      <xdr:rowOff>8335</xdr:rowOff>
    </xdr:to>
    <xdr:graphicFrame macro="">
      <xdr:nvGraphicFramePr>
        <xdr:cNvPr id="2" name="Gráfico 1">
          <a:extLst>
            <a:ext uri="{FF2B5EF4-FFF2-40B4-BE49-F238E27FC236}">
              <a16:creationId xmlns:a16="http://schemas.microsoft.com/office/drawing/2014/main" id="{D2CF34F8-1165-4649-9133-E7D9F1D0C9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47624</xdr:colOff>
      <xdr:row>14</xdr:row>
      <xdr:rowOff>65486</xdr:rowOff>
    </xdr:from>
    <xdr:to>
      <xdr:col>28</xdr:col>
      <xdr:colOff>297656</xdr:colOff>
      <xdr:row>26</xdr:row>
      <xdr:rowOff>91679</xdr:rowOff>
    </xdr:to>
    <xdr:graphicFrame macro="">
      <xdr:nvGraphicFramePr>
        <xdr:cNvPr id="3" name="Gráfico 2">
          <a:extLst>
            <a:ext uri="{FF2B5EF4-FFF2-40B4-BE49-F238E27FC236}">
              <a16:creationId xmlns:a16="http://schemas.microsoft.com/office/drawing/2014/main" id="{3C7DBC78-84D4-4E85-8DFE-8BF462CEFE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20</xdr:col>
      <xdr:colOff>0</xdr:colOff>
      <xdr:row>1</xdr:row>
      <xdr:rowOff>0</xdr:rowOff>
    </xdr:from>
    <xdr:to>
      <xdr:col>28</xdr:col>
      <xdr:colOff>369095</xdr:colOff>
      <xdr:row>13</xdr:row>
      <xdr:rowOff>198835</xdr:rowOff>
    </xdr:to>
    <xdr:graphicFrame macro="">
      <xdr:nvGraphicFramePr>
        <xdr:cNvPr id="2" name="Gráfico 1">
          <a:extLst>
            <a:ext uri="{FF2B5EF4-FFF2-40B4-BE49-F238E27FC236}">
              <a16:creationId xmlns:a16="http://schemas.microsoft.com/office/drawing/2014/main" id="{D2C3A5BC-3550-4F48-8476-915BC12328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47626</xdr:colOff>
      <xdr:row>13</xdr:row>
      <xdr:rowOff>255986</xdr:rowOff>
    </xdr:from>
    <xdr:to>
      <xdr:col>28</xdr:col>
      <xdr:colOff>297658</xdr:colOff>
      <xdr:row>23</xdr:row>
      <xdr:rowOff>389335</xdr:rowOff>
    </xdr:to>
    <xdr:graphicFrame macro="">
      <xdr:nvGraphicFramePr>
        <xdr:cNvPr id="3" name="Gráfico 2">
          <a:extLst>
            <a:ext uri="{FF2B5EF4-FFF2-40B4-BE49-F238E27FC236}">
              <a16:creationId xmlns:a16="http://schemas.microsoft.com/office/drawing/2014/main" id="{7EE7564D-4DA4-49E7-A1DB-CC0060E5C4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219075</xdr:colOff>
      <xdr:row>1</xdr:row>
      <xdr:rowOff>38100</xdr:rowOff>
    </xdr:from>
    <xdr:to>
      <xdr:col>1</xdr:col>
      <xdr:colOff>491083</xdr:colOff>
      <xdr:row>2</xdr:row>
      <xdr:rowOff>133350</xdr:rowOff>
    </xdr:to>
    <xdr:pic>
      <xdr:nvPicPr>
        <xdr:cNvPr id="2" name="Imagen 1">
          <a:extLst>
            <a:ext uri="{FF2B5EF4-FFF2-40B4-BE49-F238E27FC236}">
              <a16:creationId xmlns:a16="http://schemas.microsoft.com/office/drawing/2014/main" id="{4C2438A5-4D8C-4F72-97AE-4666ED5E188D}"/>
            </a:ext>
          </a:extLst>
        </xdr:cNvPr>
        <xdr:cNvPicPr>
          <a:picLocks noChangeAspect="1"/>
        </xdr:cNvPicPr>
      </xdr:nvPicPr>
      <xdr:blipFill>
        <a:blip xmlns:r="http://schemas.openxmlformats.org/officeDocument/2006/relationships" r:embed="rId1"/>
        <a:stretch>
          <a:fillRect/>
        </a:stretch>
      </xdr:blipFill>
      <xdr:spPr>
        <a:xfrm>
          <a:off x="1057275" y="213360"/>
          <a:ext cx="272008" cy="270510"/>
        </a:xfrm>
        <a:prstGeom prst="rect">
          <a:avLst/>
        </a:prstGeom>
      </xdr:spPr>
    </xdr:pic>
    <xdr:clientData/>
  </xdr:twoCellAnchor>
  <xdr:twoCellAnchor>
    <xdr:from>
      <xdr:col>4</xdr:col>
      <xdr:colOff>392905</xdr:colOff>
      <xdr:row>4</xdr:row>
      <xdr:rowOff>202406</xdr:rowOff>
    </xdr:from>
    <xdr:to>
      <xdr:col>4</xdr:col>
      <xdr:colOff>738187</xdr:colOff>
      <xdr:row>4</xdr:row>
      <xdr:rowOff>416719</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F176AEF-EFC5-778C-F054-B38BF14EC647}"/>
            </a:ext>
          </a:extLst>
        </xdr:cNvPr>
        <xdr:cNvSpPr/>
      </xdr:nvSpPr>
      <xdr:spPr>
        <a:xfrm>
          <a:off x="7524749" y="916781"/>
          <a:ext cx="345282" cy="214313"/>
        </a:xfrm>
        <a:prstGeom prst="leftArrow">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37B5B-5445-43EF-A611-D1D2D78DE007}">
  <sheetPr codeName="Hoja1"/>
  <dimension ref="B1:M41"/>
  <sheetViews>
    <sheetView showGridLines="0" tabSelected="1" zoomScaleNormal="100" workbookViewId="0">
      <selection activeCell="F24" sqref="F24"/>
    </sheetView>
  </sheetViews>
  <sheetFormatPr defaultColWidth="11.3984375" defaultRowHeight="12.75" x14ac:dyDescent="0.35"/>
  <cols>
    <col min="1" max="1" width="0.73046875" style="1" customWidth="1"/>
    <col min="2" max="2" width="17" style="1" customWidth="1"/>
    <col min="3" max="3" width="61.265625" style="1" customWidth="1"/>
    <col min="4" max="4" width="0.73046875" style="1" customWidth="1"/>
    <col min="5" max="5" width="20.3984375" style="1" customWidth="1"/>
    <col min="6" max="6" width="33.265625" style="1" customWidth="1"/>
    <col min="7" max="7" width="26.86328125" style="1" customWidth="1"/>
    <col min="8" max="11" width="6.86328125" style="1" customWidth="1"/>
    <col min="12" max="12" width="11.3984375" style="1"/>
    <col min="13" max="13" width="11.3984375" style="1" hidden="1" customWidth="1"/>
    <col min="14" max="16384" width="11.3984375" style="1"/>
  </cols>
  <sheetData>
    <row r="1" spans="2:13" ht="9" customHeight="1" x14ac:dyDescent="0.4">
      <c r="B1" s="697" t="s">
        <v>349</v>
      </c>
      <c r="C1" s="697"/>
      <c r="D1" s="697"/>
      <c r="E1" s="697"/>
      <c r="F1" s="697"/>
      <c r="G1" s="697"/>
      <c r="H1" s="697"/>
      <c r="I1" s="697"/>
      <c r="J1" s="697"/>
      <c r="K1" s="697"/>
      <c r="M1" s="545"/>
    </row>
    <row r="2" spans="2:13" ht="9" customHeight="1" x14ac:dyDescent="0.35">
      <c r="B2" s="697"/>
      <c r="C2" s="697"/>
      <c r="D2" s="697"/>
      <c r="E2" s="697"/>
      <c r="F2" s="697"/>
      <c r="G2" s="697"/>
      <c r="H2" s="697"/>
      <c r="I2" s="697"/>
      <c r="J2" s="697"/>
      <c r="K2" s="697"/>
      <c r="M2" s="549" t="s">
        <v>591</v>
      </c>
    </row>
    <row r="3" spans="2:13" ht="5.25" customHeight="1" x14ac:dyDescent="0.35">
      <c r="M3" s="549" t="s">
        <v>592</v>
      </c>
    </row>
    <row r="4" spans="2:13" ht="51" customHeight="1" x14ac:dyDescent="0.35">
      <c r="B4" s="397" t="s">
        <v>350</v>
      </c>
      <c r="C4" s="405" t="str">
        <f>ECONÓMICA!B2</f>
        <v>“FORMULACIÓN DEL PLAN DE ORDENAMIENTO DEL RECURSO HÍDRICO (PORH) DE LA CORRIENTE PRINCIPAL DE LA CUENCA DEL RÍO MEDIO Y BAJO SUÁREZ - NSS Y SUS PRINCIPALES TRIBUTARIOS EN LA JURISDICCIÓN DE LA CORPORACIÓN AUTÓNOMA REGIONAL DE SANTANDER (CAS)”</v>
      </c>
      <c r="D4" s="550"/>
      <c r="E4" s="702" t="s">
        <v>598</v>
      </c>
      <c r="F4" s="702"/>
      <c r="G4" s="702"/>
      <c r="H4" s="702"/>
      <c r="I4" s="702"/>
      <c r="J4" s="702"/>
      <c r="K4" s="702"/>
      <c r="M4" s="549" t="s">
        <v>593</v>
      </c>
    </row>
    <row r="5" spans="2:13" s="263" customFormat="1" ht="15.75" customHeight="1" x14ac:dyDescent="0.35">
      <c r="B5" s="397" t="s">
        <v>387</v>
      </c>
      <c r="C5" s="411" t="s">
        <v>386</v>
      </c>
      <c r="D5" s="551"/>
      <c r="E5" s="702"/>
      <c r="F5" s="702"/>
      <c r="G5" s="702"/>
      <c r="H5" s="702"/>
      <c r="I5" s="702"/>
      <c r="J5" s="702"/>
      <c r="K5" s="702"/>
      <c r="M5" s="549" t="s">
        <v>509</v>
      </c>
    </row>
    <row r="6" spans="2:13" s="263" customFormat="1" ht="15.75" customHeight="1" x14ac:dyDescent="0.35">
      <c r="B6" s="397" t="s">
        <v>351</v>
      </c>
      <c r="C6" s="411" t="str">
        <f>COUNTA(DISTRIBUCIÓN!F2:BA2)&amp;" MESES"</f>
        <v>12 MESES</v>
      </c>
      <c r="D6" s="551"/>
      <c r="E6" s="702"/>
      <c r="F6" s="702"/>
      <c r="G6" s="702"/>
      <c r="H6" s="702"/>
      <c r="I6" s="702"/>
      <c r="J6" s="702"/>
      <c r="K6" s="702"/>
      <c r="M6" s="549" t="s">
        <v>510</v>
      </c>
    </row>
    <row r="7" spans="2:13" s="263" customFormat="1" ht="15.75" customHeight="1" x14ac:dyDescent="0.35">
      <c r="B7" s="397" t="s">
        <v>352</v>
      </c>
      <c r="C7" s="410" t="s">
        <v>549</v>
      </c>
      <c r="D7" s="551"/>
      <c r="E7" s="702"/>
      <c r="F7" s="702"/>
      <c r="G7" s="702"/>
      <c r="H7" s="702"/>
      <c r="I7" s="702"/>
      <c r="J7" s="702"/>
      <c r="K7" s="702"/>
      <c r="M7" s="549" t="s">
        <v>511</v>
      </c>
    </row>
    <row r="8" spans="2:13" ht="3" customHeight="1" x14ac:dyDescent="0.35">
      <c r="D8" s="550"/>
      <c r="M8" s="549" t="s">
        <v>594</v>
      </c>
    </row>
    <row r="9" spans="2:13" ht="13.5" x14ac:dyDescent="0.35">
      <c r="B9" s="398" t="s">
        <v>353</v>
      </c>
      <c r="C9" s="65" t="s">
        <v>550</v>
      </c>
      <c r="D9" s="550"/>
      <c r="E9" s="698" t="s">
        <v>384</v>
      </c>
      <c r="F9" s="698"/>
      <c r="G9" s="698"/>
      <c r="H9" s="695" t="s">
        <v>382</v>
      </c>
      <c r="I9" s="696"/>
      <c r="J9" s="696"/>
      <c r="K9" s="696"/>
      <c r="M9" s="549" t="s">
        <v>595</v>
      </c>
    </row>
    <row r="10" spans="2:13" ht="15.75" customHeight="1" x14ac:dyDescent="0.35">
      <c r="B10"/>
      <c r="D10" s="550"/>
      <c r="E10" s="406" t="s">
        <v>380</v>
      </c>
      <c r="F10" s="408">
        <f ca="1">ECONÓMICA!H45</f>
        <v>2319047656</v>
      </c>
      <c r="G10" s="409">
        <f ca="1">F10/F12</f>
        <v>0.88248736987312826</v>
      </c>
      <c r="H10" s="404">
        <v>2024</v>
      </c>
      <c r="I10" s="404">
        <v>2025</v>
      </c>
      <c r="J10" s="404">
        <v>2026</v>
      </c>
      <c r="K10" s="404">
        <v>2027</v>
      </c>
      <c r="M10" s="549" t="s">
        <v>596</v>
      </c>
    </row>
    <row r="11" spans="2:13" ht="15.75" customHeight="1" x14ac:dyDescent="0.35">
      <c r="D11" s="550"/>
      <c r="E11" s="406" t="s">
        <v>381</v>
      </c>
      <c r="F11" s="408">
        <f>ECONÓMICA!H46</f>
        <v>308805994</v>
      </c>
      <c r="G11" s="409">
        <f ca="1">F11/F12</f>
        <v>0.1175126301268718</v>
      </c>
      <c r="H11" s="404">
        <v>1</v>
      </c>
      <c r="I11" s="404">
        <v>1</v>
      </c>
      <c r="J11" s="407">
        <v>1</v>
      </c>
      <c r="K11" s="404">
        <v>1</v>
      </c>
      <c r="M11" s="549" t="s">
        <v>597</v>
      </c>
    </row>
    <row r="12" spans="2:13" ht="15.75" customHeight="1" x14ac:dyDescent="0.35">
      <c r="C12"/>
      <c r="D12" s="550"/>
      <c r="E12" s="406" t="s">
        <v>354</v>
      </c>
      <c r="F12" s="408">
        <f ca="1">F10+F11</f>
        <v>2627853650</v>
      </c>
      <c r="G12" s="409">
        <f ca="1">G10+G11</f>
        <v>1</v>
      </c>
      <c r="H12" s="699" t="s">
        <v>383</v>
      </c>
      <c r="I12" s="700"/>
      <c r="J12" s="700"/>
      <c r="K12" s="701"/>
      <c r="M12" s="401"/>
    </row>
    <row r="13" spans="2:13" ht="4.5" customHeight="1" x14ac:dyDescent="0.35">
      <c r="D13" s="550"/>
    </row>
    <row r="14" spans="2:13" ht="13.5" x14ac:dyDescent="0.35">
      <c r="D14" s="550"/>
      <c r="E14" s="399" t="s">
        <v>355</v>
      </c>
    </row>
    <row r="15" spans="2:13" x14ac:dyDescent="0.35">
      <c r="D15" s="550"/>
      <c r="E15" s="412" t="s">
        <v>356</v>
      </c>
      <c r="F15" s="552" t="s">
        <v>357</v>
      </c>
    </row>
    <row r="16" spans="2:13" x14ac:dyDescent="0.35">
      <c r="D16" s="550"/>
      <c r="E16" s="412" t="s">
        <v>358</v>
      </c>
      <c r="F16" s="552" t="s">
        <v>359</v>
      </c>
    </row>
    <row r="17" spans="4:8" x14ac:dyDescent="0.35">
      <c r="D17" s="550"/>
      <c r="E17" s="412" t="s">
        <v>360</v>
      </c>
      <c r="F17" s="544" t="s">
        <v>580</v>
      </c>
    </row>
    <row r="18" spans="4:8" x14ac:dyDescent="0.35">
      <c r="D18" s="550"/>
      <c r="E18" s="412" t="s">
        <v>374</v>
      </c>
      <c r="F18" s="552" t="s">
        <v>376</v>
      </c>
    </row>
    <row r="19" spans="4:8" x14ac:dyDescent="0.35">
      <c r="D19" s="550"/>
      <c r="E19" s="412" t="s">
        <v>375</v>
      </c>
      <c r="F19" s="552" t="s">
        <v>377</v>
      </c>
    </row>
    <row r="20" spans="4:8" x14ac:dyDescent="0.35">
      <c r="D20" s="550"/>
      <c r="E20" s="412" t="s">
        <v>361</v>
      </c>
      <c r="F20" s="552" t="s">
        <v>581</v>
      </c>
    </row>
    <row r="21" spans="4:8" x14ac:dyDescent="0.35">
      <c r="D21" s="550"/>
      <c r="E21" s="412" t="s">
        <v>362</v>
      </c>
      <c r="F21" s="544" t="s">
        <v>539</v>
      </c>
    </row>
    <row r="22" spans="4:8" x14ac:dyDescent="0.35">
      <c r="D22" s="550"/>
      <c r="E22" s="412" t="s">
        <v>363</v>
      </c>
      <c r="F22" s="552" t="s">
        <v>364</v>
      </c>
    </row>
    <row r="23" spans="4:8" x14ac:dyDescent="0.35">
      <c r="D23" s="550"/>
      <c r="E23" s="412" t="s">
        <v>365</v>
      </c>
      <c r="F23" s="552" t="s">
        <v>579</v>
      </c>
    </row>
    <row r="24" spans="4:8" x14ac:dyDescent="0.35">
      <c r="D24" s="550"/>
      <c r="E24" s="412" t="s">
        <v>366</v>
      </c>
      <c r="F24" s="552" t="s">
        <v>367</v>
      </c>
    </row>
    <row r="25" spans="4:8" x14ac:dyDescent="0.35">
      <c r="D25" s="550"/>
      <c r="E25" s="412" t="s">
        <v>368</v>
      </c>
      <c r="F25" s="552" t="s">
        <v>369</v>
      </c>
    </row>
    <row r="26" spans="4:8" x14ac:dyDescent="0.35">
      <c r="D26" s="550"/>
      <c r="E26" s="412" t="s">
        <v>370</v>
      </c>
      <c r="F26" s="552" t="s">
        <v>371</v>
      </c>
    </row>
    <row r="27" spans="4:8" x14ac:dyDescent="0.35">
      <c r="D27" s="550"/>
      <c r="E27" s="412" t="s">
        <v>599</v>
      </c>
      <c r="F27" s="552" t="s">
        <v>372</v>
      </c>
    </row>
    <row r="28" spans="4:8" x14ac:dyDescent="0.35">
      <c r="D28" s="550"/>
      <c r="E28" s="412" t="s">
        <v>373</v>
      </c>
      <c r="F28" s="552" t="s">
        <v>593</v>
      </c>
      <c r="G28" s="693" t="str">
        <f>IF(F28="","Selecciona arriba",HYPERLINK("#'"&amp;F28&amp;"'!A1","Ir a " &amp;F28))</f>
        <v>Ir a 2.3 - Socialización</v>
      </c>
      <c r="H28" s="694"/>
    </row>
    <row r="29" spans="4:8" x14ac:dyDescent="0.35">
      <c r="D29" s="550"/>
    </row>
    <row r="30" spans="4:8" x14ac:dyDescent="0.35">
      <c r="D30" s="550"/>
    </row>
    <row r="31" spans="4:8" x14ac:dyDescent="0.35">
      <c r="D31" s="550"/>
    </row>
    <row r="32" spans="4:8" x14ac:dyDescent="0.35">
      <c r="D32" s="550"/>
    </row>
    <row r="33" spans="4:8" x14ac:dyDescent="0.35">
      <c r="D33" s="550"/>
    </row>
    <row r="34" spans="4:8" x14ac:dyDescent="0.35">
      <c r="D34" s="550"/>
    </row>
    <row r="35" spans="4:8" x14ac:dyDescent="0.35">
      <c r="D35" s="550"/>
    </row>
    <row r="36" spans="4:8" x14ac:dyDescent="0.35">
      <c r="D36" s="550"/>
    </row>
    <row r="37" spans="4:8" x14ac:dyDescent="0.35">
      <c r="D37" s="550"/>
    </row>
    <row r="38" spans="4:8" x14ac:dyDescent="0.35">
      <c r="D38" s="550"/>
    </row>
    <row r="39" spans="4:8" x14ac:dyDescent="0.35">
      <c r="D39" s="550"/>
      <c r="H39"/>
    </row>
    <row r="40" spans="4:8" x14ac:dyDescent="0.35">
      <c r="H40"/>
    </row>
    <row r="41" spans="4:8" x14ac:dyDescent="0.35">
      <c r="H41"/>
    </row>
  </sheetData>
  <sheetProtection algorithmName="SHA-512" hashValue="PDQ2vDUUMdefbCQwZvQJaeYnO/u2ngdp78TkeBe5XzluYiI8AekKoq6PcLuR40KkVJePtOq0x2vMDz0UQdLByg==" saltValue="HAzJ2FcBsD4oUN6MuQRMsw==" spinCount="100000" sheet="1" objects="1" scenarios="1"/>
  <mergeCells count="6">
    <mergeCell ref="G28:H28"/>
    <mergeCell ref="H9:K9"/>
    <mergeCell ref="B1:K2"/>
    <mergeCell ref="E9:G9"/>
    <mergeCell ref="H12:K12"/>
    <mergeCell ref="E4:K7"/>
  </mergeCells>
  <dataValidations disablePrompts="1" count="1">
    <dataValidation type="list" allowBlank="1" errorTitle="Valor no válido" error="El valor debe ser una opción de la lista." promptTitle="Lista desplegable" prompt="Selecciona una categoría de la lista" sqref="F28" xr:uid="{899350FF-4070-455F-829D-5A9B313AD5FB}">
      <formula1>$M$2:$M$11</formula1>
    </dataValidation>
  </dataValidations>
  <hyperlinks>
    <hyperlink ref="F15" location="ECONÓMICA!A1" display="Ir a ECONÓMICA" xr:uid="{C0F4525D-E739-48ED-961F-C580DEF4BF97}"/>
    <hyperlink ref="F16" location="ENTREGABLES!A1" display="Ir a ENTREGABLES" xr:uid="{DF91A149-C8C3-4D91-ABDF-446B564F402B}"/>
    <hyperlink ref="F17" location="'(%) DE AVANCE CONSULTORÍA'!A1" display="Ir a (%) DE AVANCE CONSULTORÍA" xr:uid="{680C3B56-6222-4F2E-8D50-A3040B97F486}"/>
    <hyperlink ref="F20" location="'CRONOGRAMA CONSULTORÍA'!A1" display="Ir a CRONOGRAMA CONSULTORÍA" xr:uid="{D38EB720-0C93-48AC-89D0-1198997E2703}"/>
    <hyperlink ref="F21" location="INTERVENTORÍA!A1" display="Ir a INTERVENTORÍA" xr:uid="{46EC0209-787C-46D3-B120-BD8E0A0561B4}"/>
    <hyperlink ref="F22" location="'ENTREGABLES INTERVENTORÍA'!A1" display="Ir a ENTREGABLES INTERVENTORÍA" xr:uid="{055CB188-F992-465D-A834-B32EAF920F6B}"/>
    <hyperlink ref="F23" location="'(%) DE AVANCE INTERVENTORÍA'!A1" display="Ir a (%) DE AVANCE INTERVENTORÍA" xr:uid="{0C3A8984-EBB3-4333-8CC5-B1EE140D7D56}"/>
    <hyperlink ref="F24" location="'CRONOGRAMA INTERVENTORÍA'!A1" display="Ir a CRONOGRAMA INTERVENTORÍA" xr:uid="{6E556F11-8D9D-4710-9860-FDA46712393D}"/>
    <hyperlink ref="F25" location="DISTRIBUCIÓN!A1" display="Ir a DISTRIBUCIÓN" xr:uid="{91663A2F-F948-4DE4-9C85-FACEC89FA93D}"/>
    <hyperlink ref="F26" location="'VIÁTICOS-TRANSP'!A1" display="Ir a VIÁTICOS-TRANSP" xr:uid="{C52D4EBD-EAEA-4124-B738-7A7FCCD9070C}"/>
    <hyperlink ref="F27" location="FM!A1" display="Ir a FM" xr:uid="{963E43F6-1CDD-4A10-A2CF-6170715056D6}"/>
    <hyperlink ref="F18" location="'PLAN DE CARGAS'!A1" display="Ir a Plan de Cargas" xr:uid="{8DEB9690-ED33-4A94-A46C-69AF16E20B9A}"/>
    <hyperlink ref="F19" location="'RESUMEN PLAN DE CARGAS'!A1" display="Ir a Resumen Plan de Cargas" xr:uid="{0B007E4E-7A22-4451-A079-3F1D0C3AF662}"/>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BQ259"/>
  <sheetViews>
    <sheetView showGridLines="0" zoomScale="84" zoomScaleNormal="84" workbookViewId="0">
      <selection activeCell="F78" sqref="F78:I78"/>
    </sheetView>
  </sheetViews>
  <sheetFormatPr defaultColWidth="11.3984375" defaultRowHeight="13.5" x14ac:dyDescent="0.35"/>
  <cols>
    <col min="1" max="1" width="55.265625" style="143" customWidth="1"/>
    <col min="2" max="3" width="7.265625" style="143" customWidth="1"/>
    <col min="4" max="4" width="15.73046875" style="161" customWidth="1"/>
    <col min="5" max="5" width="14.73046875" style="161" customWidth="1"/>
    <col min="6" max="53" width="3.86328125" style="143" customWidth="1"/>
    <col min="54" max="54" width="15" style="143" customWidth="1"/>
    <col min="55" max="55" width="14.86328125" style="143" customWidth="1"/>
    <col min="56" max="56" width="13.59765625" style="143" customWidth="1"/>
    <col min="57" max="57" width="15.73046875" style="143" customWidth="1"/>
    <col min="58" max="58" width="11.3984375" style="143"/>
    <col min="59" max="59" width="14.86328125" style="143" customWidth="1"/>
    <col min="60" max="16384" width="11.3984375" style="143"/>
  </cols>
  <sheetData>
    <row r="1" spans="1:57" x14ac:dyDescent="0.35">
      <c r="F1" s="653" t="s">
        <v>88</v>
      </c>
      <c r="G1" s="653"/>
      <c r="H1" s="653"/>
      <c r="I1" s="653"/>
      <c r="J1" s="672" t="s">
        <v>89</v>
      </c>
      <c r="K1" s="673"/>
      <c r="L1" s="673"/>
      <c r="M1" s="673"/>
      <c r="N1" s="673"/>
      <c r="O1" s="673"/>
      <c r="P1" s="673"/>
      <c r="Q1" s="673"/>
      <c r="R1" s="673"/>
      <c r="S1" s="673"/>
      <c r="T1" s="673"/>
      <c r="U1" s="673"/>
      <c r="V1" s="673"/>
      <c r="W1" s="673"/>
      <c r="X1" s="673"/>
      <c r="Y1" s="673"/>
      <c r="Z1" s="673"/>
      <c r="AA1" s="673"/>
      <c r="AB1" s="673"/>
      <c r="AC1" s="673"/>
      <c r="AD1" s="673"/>
      <c r="AE1" s="673"/>
      <c r="AF1" s="673"/>
      <c r="AG1" s="674"/>
      <c r="AH1" s="616" t="s">
        <v>126</v>
      </c>
      <c r="AI1" s="617"/>
      <c r="AJ1" s="617"/>
      <c r="AK1" s="617"/>
      <c r="AL1" s="617"/>
      <c r="AM1" s="617"/>
      <c r="AN1" s="617"/>
      <c r="AO1" s="617"/>
      <c r="AP1" s="620" t="s">
        <v>171</v>
      </c>
      <c r="AQ1" s="620"/>
      <c r="AR1" s="620"/>
      <c r="AS1" s="620"/>
      <c r="AT1" s="620"/>
      <c r="AU1" s="620"/>
      <c r="AV1" s="620"/>
      <c r="AW1" s="620"/>
      <c r="AX1" s="620"/>
      <c r="AY1" s="620"/>
      <c r="AZ1" s="620"/>
      <c r="BA1" s="620"/>
    </row>
    <row r="2" spans="1:57" x14ac:dyDescent="0.35">
      <c r="F2" s="610" t="s">
        <v>46</v>
      </c>
      <c r="G2" s="610"/>
      <c r="H2" s="610"/>
      <c r="I2" s="610"/>
      <c r="J2" s="610" t="s">
        <v>47</v>
      </c>
      <c r="K2" s="610"/>
      <c r="L2" s="610"/>
      <c r="M2" s="610"/>
      <c r="N2" s="610" t="s">
        <v>48</v>
      </c>
      <c r="O2" s="610"/>
      <c r="P2" s="610"/>
      <c r="Q2" s="610"/>
      <c r="R2" s="610" t="s">
        <v>49</v>
      </c>
      <c r="S2" s="610"/>
      <c r="T2" s="610"/>
      <c r="U2" s="610"/>
      <c r="V2" s="610" t="s">
        <v>50</v>
      </c>
      <c r="W2" s="610"/>
      <c r="X2" s="610"/>
      <c r="Y2" s="610"/>
      <c r="Z2" s="610" t="s">
        <v>51</v>
      </c>
      <c r="AA2" s="610"/>
      <c r="AB2" s="610"/>
      <c r="AC2" s="610"/>
      <c r="AD2" s="610" t="s">
        <v>52</v>
      </c>
      <c r="AE2" s="610"/>
      <c r="AF2" s="610"/>
      <c r="AG2" s="610"/>
      <c r="AH2" s="610" t="s">
        <v>166</v>
      </c>
      <c r="AI2" s="610"/>
      <c r="AJ2" s="610"/>
      <c r="AK2" s="610"/>
      <c r="AL2" s="610" t="s">
        <v>167</v>
      </c>
      <c r="AM2" s="610"/>
      <c r="AN2" s="610"/>
      <c r="AO2" s="610"/>
      <c r="AP2" s="610" t="s">
        <v>168</v>
      </c>
      <c r="AQ2" s="610"/>
      <c r="AR2" s="610"/>
      <c r="AS2" s="610"/>
      <c r="AT2" s="610" t="s">
        <v>169</v>
      </c>
      <c r="AU2" s="610"/>
      <c r="AV2" s="610"/>
      <c r="AW2" s="610"/>
      <c r="AX2" s="610" t="s">
        <v>170</v>
      </c>
      <c r="AY2" s="610"/>
      <c r="AZ2" s="610"/>
      <c r="BA2" s="610"/>
    </row>
    <row r="3" spans="1:57" x14ac:dyDescent="0.35">
      <c r="A3" s="543" t="str">
        <f>INTERVENTORÍA!A3</f>
        <v>Personal PROFESIONAL</v>
      </c>
      <c r="B3" s="172" t="s">
        <v>120</v>
      </c>
      <c r="C3" s="172" t="s">
        <v>125</v>
      </c>
      <c r="D3" s="172" t="s">
        <v>115</v>
      </c>
      <c r="E3" s="172" t="s">
        <v>114</v>
      </c>
      <c r="F3" s="162">
        <v>1</v>
      </c>
      <c r="G3" s="162">
        <v>2</v>
      </c>
      <c r="H3" s="162">
        <v>3</v>
      </c>
      <c r="I3" s="162">
        <v>4</v>
      </c>
      <c r="J3" s="162">
        <v>5</v>
      </c>
      <c r="K3" s="162">
        <v>6</v>
      </c>
      <c r="L3" s="162">
        <v>7</v>
      </c>
      <c r="M3" s="162">
        <v>8</v>
      </c>
      <c r="N3" s="162">
        <v>9</v>
      </c>
      <c r="O3" s="162">
        <v>10</v>
      </c>
      <c r="P3" s="162">
        <v>11</v>
      </c>
      <c r="Q3" s="162">
        <v>12</v>
      </c>
      <c r="R3" s="162">
        <v>13</v>
      </c>
      <c r="S3" s="162">
        <v>14</v>
      </c>
      <c r="T3" s="162">
        <v>15</v>
      </c>
      <c r="U3" s="162">
        <v>16</v>
      </c>
      <c r="V3" s="162">
        <v>17</v>
      </c>
      <c r="W3" s="162">
        <v>18</v>
      </c>
      <c r="X3" s="162">
        <v>19</v>
      </c>
      <c r="Y3" s="162">
        <v>20</v>
      </c>
      <c r="Z3" s="162">
        <v>21</v>
      </c>
      <c r="AA3" s="162">
        <v>22</v>
      </c>
      <c r="AB3" s="162">
        <v>23</v>
      </c>
      <c r="AC3" s="162">
        <v>24</v>
      </c>
      <c r="AD3" s="162">
        <v>25</v>
      </c>
      <c r="AE3" s="162">
        <v>26</v>
      </c>
      <c r="AF3" s="162">
        <v>27</v>
      </c>
      <c r="AG3" s="162">
        <v>28</v>
      </c>
      <c r="AH3" s="162">
        <v>29</v>
      </c>
      <c r="AI3" s="162">
        <v>30</v>
      </c>
      <c r="AJ3" s="162">
        <v>31</v>
      </c>
      <c r="AK3" s="162">
        <v>32</v>
      </c>
      <c r="AL3" s="162">
        <v>33</v>
      </c>
      <c r="AM3" s="162">
        <v>34</v>
      </c>
      <c r="AN3" s="162">
        <v>35</v>
      </c>
      <c r="AO3" s="162">
        <v>36</v>
      </c>
      <c r="AP3" s="162">
        <v>37</v>
      </c>
      <c r="AQ3" s="162">
        <v>38</v>
      </c>
      <c r="AR3" s="162">
        <v>39</v>
      </c>
      <c r="AS3" s="162">
        <v>40</v>
      </c>
      <c r="AT3" s="162">
        <v>41</v>
      </c>
      <c r="AU3" s="162">
        <v>42</v>
      </c>
      <c r="AV3" s="162">
        <v>43</v>
      </c>
      <c r="AW3" s="162">
        <v>44</v>
      </c>
      <c r="AX3" s="162">
        <v>45</v>
      </c>
      <c r="AY3" s="162">
        <v>46</v>
      </c>
      <c r="AZ3" s="162">
        <v>47</v>
      </c>
      <c r="BA3" s="162">
        <v>48</v>
      </c>
    </row>
    <row r="4" spans="1:57" x14ac:dyDescent="0.35">
      <c r="A4" s="177" t="str">
        <f>ECONÓMICA!B6</f>
        <v>Director</v>
      </c>
      <c r="B4" s="214">
        <f>ECONÓMICA!C6</f>
        <v>1</v>
      </c>
      <c r="C4" s="540">
        <f ca="1">ECONÓMICA!H6</f>
        <v>12</v>
      </c>
      <c r="D4" s="161">
        <f>ECONÓMICA!D6</f>
        <v>6977992</v>
      </c>
      <c r="E4" s="175">
        <f ca="1">ECONÓMICA!E6</f>
        <v>0.7</v>
      </c>
      <c r="F4" s="609">
        <f ca="1">$D$4*$E$4*$B$4</f>
        <v>4884594.3999999994</v>
      </c>
      <c r="G4" s="609"/>
      <c r="H4" s="609"/>
      <c r="I4" s="609"/>
      <c r="J4" s="609">
        <f t="shared" ref="J4" ca="1" si="0">$D$4*$E$4*$B$4</f>
        <v>4884594.3999999994</v>
      </c>
      <c r="K4" s="609"/>
      <c r="L4" s="609"/>
      <c r="M4" s="609"/>
      <c r="N4" s="609">
        <f t="shared" ref="N4" ca="1" si="1">$D$4*$E$4*$B$4</f>
        <v>4884594.3999999994</v>
      </c>
      <c r="O4" s="609"/>
      <c r="P4" s="609"/>
      <c r="Q4" s="609"/>
      <c r="R4" s="609">
        <f t="shared" ref="R4" ca="1" si="2">$D$4*$E$4*$B$4</f>
        <v>4884594.3999999994</v>
      </c>
      <c r="S4" s="609"/>
      <c r="T4" s="609"/>
      <c r="U4" s="609"/>
      <c r="V4" s="609">
        <f t="shared" ref="V4" ca="1" si="3">$D$4*$E$4*$B$4</f>
        <v>4884594.3999999994</v>
      </c>
      <c r="W4" s="609"/>
      <c r="X4" s="609"/>
      <c r="Y4" s="609"/>
      <c r="Z4" s="609">
        <f t="shared" ref="Z4" ca="1" si="4">$D$4*$E$4*$B$4</f>
        <v>4884594.3999999994</v>
      </c>
      <c r="AA4" s="609"/>
      <c r="AB4" s="609"/>
      <c r="AC4" s="609"/>
      <c r="AD4" s="609">
        <f ca="1">$D$4*$E$4*$B$4</f>
        <v>4884594.3999999994</v>
      </c>
      <c r="AE4" s="609"/>
      <c r="AF4" s="609"/>
      <c r="AG4" s="609"/>
      <c r="AH4" s="609">
        <f ca="1">$D$4*$E$4*$B$4</f>
        <v>4884594.3999999994</v>
      </c>
      <c r="AI4" s="609"/>
      <c r="AJ4" s="609"/>
      <c r="AK4" s="609"/>
      <c r="AL4" s="609">
        <f ca="1">$D$4*$E$4*$B$4</f>
        <v>4884594.3999999994</v>
      </c>
      <c r="AM4" s="609"/>
      <c r="AN4" s="609"/>
      <c r="AO4" s="609"/>
      <c r="AP4" s="609">
        <f ca="1">$D$4*$E$4*$B$4</f>
        <v>4884594.3999999994</v>
      </c>
      <c r="AQ4" s="609"/>
      <c r="AR4" s="609"/>
      <c r="AS4" s="609"/>
      <c r="AT4" s="609">
        <f ca="1">$D$4*$E$4*$B$4</f>
        <v>4884594.3999999994</v>
      </c>
      <c r="AU4" s="609"/>
      <c r="AV4" s="609"/>
      <c r="AW4" s="609"/>
      <c r="AX4" s="609">
        <f ca="1">$D$4*$E$4*$B$4</f>
        <v>4884594.3999999994</v>
      </c>
      <c r="AY4" s="609"/>
      <c r="AZ4" s="609"/>
      <c r="BA4" s="609"/>
      <c r="BB4" s="161">
        <f ca="1">SUM(F4:BA4)*$E$12</f>
        <v>119574870.91199999</v>
      </c>
      <c r="BC4" s="161">
        <f ca="1">ECONÓMICA!I6</f>
        <v>119574870.912</v>
      </c>
      <c r="BD4" s="161">
        <f ca="1">BB4-BC4</f>
        <v>0</v>
      </c>
      <c r="BE4" s="166"/>
    </row>
    <row r="5" spans="1:57" x14ac:dyDescent="0.35">
      <c r="A5" s="177" t="str">
        <f>ECONÓMICA!B7</f>
        <v>Experto en modelamiento y calidad de agua</v>
      </c>
      <c r="B5" s="214">
        <f>ECONÓMICA!C7</f>
        <v>1</v>
      </c>
      <c r="C5" s="540">
        <f ca="1">ECONÓMICA!H7</f>
        <v>11</v>
      </c>
      <c r="D5" s="161">
        <f>ECONÓMICA!D7</f>
        <v>5925555</v>
      </c>
      <c r="E5" s="175">
        <f ca="1">ECONÓMICA!E7</f>
        <v>0.7</v>
      </c>
      <c r="F5" s="609">
        <f t="shared" ref="F5" ca="1" si="5">$D$5*$E$5*$B$5</f>
        <v>4147888.4999999995</v>
      </c>
      <c r="G5" s="609"/>
      <c r="H5" s="609"/>
      <c r="I5" s="609"/>
      <c r="J5" s="609">
        <f t="shared" ref="J5" ca="1" si="6">$D$5*$E$5*$B$5</f>
        <v>4147888.4999999995</v>
      </c>
      <c r="K5" s="609"/>
      <c r="L5" s="609"/>
      <c r="M5" s="609"/>
      <c r="N5" s="609">
        <f t="shared" ref="N5" ca="1" si="7">$D$5*$E$5*$B$5</f>
        <v>4147888.4999999995</v>
      </c>
      <c r="O5" s="609"/>
      <c r="P5" s="609"/>
      <c r="Q5" s="609"/>
      <c r="R5" s="609">
        <f t="shared" ref="R5" ca="1" si="8">$D$5*$E$5*$B$5</f>
        <v>4147888.4999999995</v>
      </c>
      <c r="S5" s="609"/>
      <c r="T5" s="609"/>
      <c r="U5" s="609"/>
      <c r="V5" s="609">
        <f t="shared" ref="V5" ca="1" si="9">$D$5*$E$5*$B$5</f>
        <v>4147888.4999999995</v>
      </c>
      <c r="W5" s="609"/>
      <c r="X5" s="609"/>
      <c r="Y5" s="609"/>
      <c r="Z5" s="609">
        <f t="shared" ref="Z5" ca="1" si="10">$D$5*$E$5*$B$5</f>
        <v>4147888.4999999995</v>
      </c>
      <c r="AA5" s="609"/>
      <c r="AB5" s="609"/>
      <c r="AC5" s="609"/>
      <c r="AD5" s="609">
        <f t="shared" ref="AD5" ca="1" si="11">$D$5*$E$5*$B$5</f>
        <v>4147888.4999999995</v>
      </c>
      <c r="AE5" s="609"/>
      <c r="AF5" s="609"/>
      <c r="AG5" s="609"/>
      <c r="AH5" s="609">
        <f t="shared" ref="AH5" ca="1" si="12">$D$5*$E$5*$B$5</f>
        <v>4147888.4999999995</v>
      </c>
      <c r="AI5" s="609"/>
      <c r="AJ5" s="609"/>
      <c r="AK5" s="609"/>
      <c r="AL5" s="609">
        <f t="shared" ref="AL5" ca="1" si="13">$D$5*$E$5*$B$5</f>
        <v>4147888.4999999995</v>
      </c>
      <c r="AM5" s="609"/>
      <c r="AN5" s="609"/>
      <c r="AO5" s="609"/>
      <c r="AP5" s="609">
        <f t="shared" ref="AP5" ca="1" si="14">$D$5*$E$5*$B$5</f>
        <v>4147888.4999999995</v>
      </c>
      <c r="AQ5" s="609"/>
      <c r="AR5" s="609"/>
      <c r="AS5" s="609"/>
      <c r="AT5" s="609">
        <f t="shared" ref="AT5" ca="1" si="15">$D$5*$E$5*$B$5</f>
        <v>4147888.4999999995</v>
      </c>
      <c r="AU5" s="609"/>
      <c r="AV5" s="609"/>
      <c r="AW5" s="609"/>
      <c r="AX5" s="210"/>
      <c r="AY5" s="210"/>
      <c r="AZ5" s="210"/>
      <c r="BA5" s="210"/>
      <c r="BB5" s="161">
        <f t="shared" ref="BB5:BB10" ca="1" si="16">SUM(F5:BA5)*$E$12</f>
        <v>93078617.939999983</v>
      </c>
      <c r="BC5" s="161">
        <f ca="1">ECONÓMICA!I7</f>
        <v>93078617.939999998</v>
      </c>
      <c r="BD5" s="161">
        <f t="shared" ref="BD5:BD10" ca="1" si="17">BB5-BC5</f>
        <v>0</v>
      </c>
      <c r="BE5" s="166"/>
    </row>
    <row r="6" spans="1:57" x14ac:dyDescent="0.35">
      <c r="A6" s="177" t="str">
        <f>ECONÓMICA!B8</f>
        <v>Experto en Hidrología</v>
      </c>
      <c r="B6" s="214">
        <f>ECONÓMICA!C8</f>
        <v>1</v>
      </c>
      <c r="C6" s="540">
        <f ca="1">ECONÓMICA!H8</f>
        <v>9</v>
      </c>
      <c r="D6" s="161">
        <f>ECONÓMICA!D8</f>
        <v>5925555</v>
      </c>
      <c r="E6" s="175">
        <f ca="1">ECONÓMICA!E8</f>
        <v>0.6</v>
      </c>
      <c r="F6" s="609">
        <f t="shared" ref="F6" ca="1" si="18">$D$6*$E$6*$B$6</f>
        <v>3555333</v>
      </c>
      <c r="G6" s="609"/>
      <c r="H6" s="609"/>
      <c r="I6" s="609"/>
      <c r="J6" s="609">
        <f t="shared" ref="J6" ca="1" si="19">$D$6*$E$6*$B$6</f>
        <v>3555333</v>
      </c>
      <c r="K6" s="609"/>
      <c r="L6" s="609"/>
      <c r="M6" s="609"/>
      <c r="N6" s="609">
        <f t="shared" ref="N6" ca="1" si="20">$D$6*$E$6*$B$6</f>
        <v>3555333</v>
      </c>
      <c r="O6" s="609"/>
      <c r="P6" s="609"/>
      <c r="Q6" s="609"/>
      <c r="R6" s="609">
        <f t="shared" ref="R6" ca="1" si="21">$D$6*$E$6*$B$6</f>
        <v>3555333</v>
      </c>
      <c r="S6" s="609"/>
      <c r="T6" s="609"/>
      <c r="U6" s="609"/>
      <c r="V6" s="609">
        <f t="shared" ref="V6" ca="1" si="22">$D$6*$E$6*$B$6</f>
        <v>3555333</v>
      </c>
      <c r="W6" s="609"/>
      <c r="X6" s="609"/>
      <c r="Y6" s="609"/>
      <c r="Z6" s="609">
        <f t="shared" ref="Z6" ca="1" si="23">$D$6*$E$6*$B$6</f>
        <v>3555333</v>
      </c>
      <c r="AA6" s="609"/>
      <c r="AB6" s="609"/>
      <c r="AC6" s="609"/>
      <c r="AD6" s="609">
        <f t="shared" ref="AD6" ca="1" si="24">$D$6*$E$6*$B$6</f>
        <v>3555333</v>
      </c>
      <c r="AE6" s="609"/>
      <c r="AF6" s="609"/>
      <c r="AG6" s="609"/>
      <c r="AH6" s="609">
        <f t="shared" ref="AH6" ca="1" si="25">$D$6*$E$6*$B$6</f>
        <v>3555333</v>
      </c>
      <c r="AI6" s="609"/>
      <c r="AJ6" s="609"/>
      <c r="AK6" s="609"/>
      <c r="AL6" s="609">
        <f t="shared" ref="AL6" ca="1" si="26">$D$6*$E$6*$B$6</f>
        <v>3555333</v>
      </c>
      <c r="AM6" s="609"/>
      <c r="AN6" s="609"/>
      <c r="AO6" s="609"/>
      <c r="AP6" s="210"/>
      <c r="AQ6" s="210"/>
      <c r="AR6" s="210"/>
      <c r="AS6" s="210"/>
      <c r="AT6" s="210"/>
      <c r="AU6" s="210"/>
      <c r="AV6" s="210"/>
      <c r="AW6" s="210"/>
      <c r="AX6" s="210"/>
      <c r="AY6" s="210"/>
      <c r="AZ6" s="210"/>
      <c r="BA6" s="210"/>
      <c r="BB6" s="161">
        <f t="shared" ca="1" si="16"/>
        <v>65275913.880000003</v>
      </c>
      <c r="BC6" s="161">
        <f ca="1">ECONÓMICA!I8</f>
        <v>65275913.880000003</v>
      </c>
      <c r="BD6" s="161">
        <f t="shared" ca="1" si="17"/>
        <v>0</v>
      </c>
      <c r="BE6" s="166"/>
    </row>
    <row r="7" spans="1:57" x14ac:dyDescent="0.35">
      <c r="A7" s="177" t="str">
        <f>ECONÓMICA!B9</f>
        <v>Profesional Social</v>
      </c>
      <c r="B7" s="214">
        <f>ECONÓMICA!C9</f>
        <v>1</v>
      </c>
      <c r="C7" s="540">
        <f ca="1">ECONÓMICA!H9</f>
        <v>5</v>
      </c>
      <c r="D7" s="161">
        <f>ECONÓMICA!D9</f>
        <v>3639162</v>
      </c>
      <c r="E7" s="175">
        <f ca="1">ECONÓMICA!E9</f>
        <v>0.9</v>
      </c>
      <c r="F7" s="609">
        <f ca="1">$D$7*$E$7*$B$7</f>
        <v>3275245.8000000003</v>
      </c>
      <c r="G7" s="609"/>
      <c r="H7" s="609"/>
      <c r="I7" s="609"/>
      <c r="J7" s="609">
        <f t="shared" ref="J7" ca="1" si="27">$D$7*$E$7*$B$7</f>
        <v>3275245.8000000003</v>
      </c>
      <c r="K7" s="609"/>
      <c r="L7" s="609"/>
      <c r="M7" s="609"/>
      <c r="N7" s="609">
        <f ca="1">$D$7*$E$7*$B$7</f>
        <v>3275245.8000000003</v>
      </c>
      <c r="O7" s="609"/>
      <c r="P7" s="609"/>
      <c r="Q7" s="609"/>
      <c r="R7" s="609">
        <f ca="1">$D$7*$E$7*$B$7</f>
        <v>3275245.8000000003</v>
      </c>
      <c r="S7" s="609"/>
      <c r="T7" s="609"/>
      <c r="U7" s="609"/>
      <c r="V7" s="609">
        <f t="shared" ref="V7" ca="1" si="28">$D$7*$E$7*$B$7</f>
        <v>3275245.8000000003</v>
      </c>
      <c r="W7" s="609"/>
      <c r="X7" s="609"/>
      <c r="Y7" s="609"/>
      <c r="Z7" s="598"/>
      <c r="AA7" s="598"/>
      <c r="AB7" s="598"/>
      <c r="AC7" s="598"/>
      <c r="AD7" s="609"/>
      <c r="AE7" s="609"/>
      <c r="AF7" s="609"/>
      <c r="AG7" s="609"/>
      <c r="AH7" s="210"/>
      <c r="AI7" s="210"/>
      <c r="AJ7" s="210"/>
      <c r="AK7" s="210"/>
      <c r="AL7" s="609"/>
      <c r="AM7" s="609"/>
      <c r="AN7" s="609"/>
      <c r="AO7" s="609"/>
      <c r="AP7" s="210"/>
      <c r="AQ7" s="210"/>
      <c r="AR7" s="210"/>
      <c r="AS7" s="210"/>
      <c r="AT7" s="210"/>
      <c r="AU7" s="210"/>
      <c r="AV7" s="210"/>
      <c r="AW7" s="210"/>
      <c r="AX7" s="210"/>
      <c r="AY7" s="210"/>
      <c r="AZ7" s="210"/>
      <c r="BA7" s="210"/>
      <c r="BB7" s="161">
        <f t="shared" ca="1" si="16"/>
        <v>33407507.160000004</v>
      </c>
      <c r="BC7" s="161">
        <f ca="1">ECONÓMICA!I9</f>
        <v>33407507.160000004</v>
      </c>
      <c r="BD7" s="161">
        <f t="shared" ca="1" si="17"/>
        <v>0</v>
      </c>
      <c r="BE7" s="166"/>
    </row>
    <row r="8" spans="1:57" x14ac:dyDescent="0.35">
      <c r="A8" s="177" t="str">
        <f>ECONÓMICA!B10</f>
        <v>Personal de Campo</v>
      </c>
      <c r="B8" s="214">
        <f>ECONÓMICA!C10</f>
        <v>6</v>
      </c>
      <c r="C8" s="540">
        <f>ECONÓMICA!H10</f>
        <v>4</v>
      </c>
      <c r="D8" s="161">
        <f>ECONÓMICA!D10</f>
        <v>2416246</v>
      </c>
      <c r="E8" s="175">
        <f>ECONÓMICA!E10</f>
        <v>1</v>
      </c>
      <c r="F8" s="609"/>
      <c r="G8" s="609"/>
      <c r="H8" s="609"/>
      <c r="I8" s="609"/>
      <c r="J8" s="609">
        <f t="shared" ref="J8" si="29">$D$8*$E$8*$B$8</f>
        <v>14497476</v>
      </c>
      <c r="K8" s="609"/>
      <c r="L8" s="609"/>
      <c r="M8" s="609"/>
      <c r="N8" s="609">
        <f t="shared" ref="N8" si="30">$D$8*$E$8*$B$8</f>
        <v>14497476</v>
      </c>
      <c r="O8" s="609"/>
      <c r="P8" s="609"/>
      <c r="Q8" s="609"/>
      <c r="R8" s="609">
        <f t="shared" ref="R8" si="31">$D$8*$E$8*$B$8</f>
        <v>14497476</v>
      </c>
      <c r="S8" s="609"/>
      <c r="T8" s="609"/>
      <c r="U8" s="609"/>
      <c r="V8" s="609">
        <f t="shared" ref="V8" si="32">$D$8*$E$8*$B$8</f>
        <v>14497476</v>
      </c>
      <c r="W8" s="609"/>
      <c r="X8" s="609"/>
      <c r="Y8" s="609"/>
      <c r="Z8" s="609"/>
      <c r="AA8" s="609"/>
      <c r="AB8" s="609"/>
      <c r="AC8" s="609"/>
      <c r="AD8" s="609"/>
      <c r="AE8" s="609"/>
      <c r="AF8" s="609"/>
      <c r="AG8" s="609"/>
      <c r="AH8" s="210"/>
      <c r="AI8" s="210"/>
      <c r="AJ8" s="210"/>
      <c r="AK8" s="210"/>
      <c r="AL8" s="210"/>
      <c r="AM8" s="210"/>
      <c r="AN8" s="210"/>
      <c r="AO8" s="210"/>
      <c r="AP8" s="210"/>
      <c r="AQ8" s="210"/>
      <c r="AR8" s="210"/>
      <c r="AS8" s="210"/>
      <c r="AT8" s="210"/>
      <c r="AU8" s="210"/>
      <c r="AV8" s="210"/>
      <c r="AW8" s="210"/>
      <c r="AX8" s="210"/>
      <c r="AY8" s="210"/>
      <c r="AZ8" s="210"/>
      <c r="BA8" s="210"/>
      <c r="BB8" s="161">
        <f t="shared" si="16"/>
        <v>118299404.16</v>
      </c>
      <c r="BC8" s="161">
        <f>ECONÓMICA!I10</f>
        <v>118299404.16</v>
      </c>
      <c r="BD8" s="161">
        <f t="shared" si="17"/>
        <v>0</v>
      </c>
      <c r="BE8" s="166"/>
    </row>
    <row r="9" spans="1:57" x14ac:dyDescent="0.35">
      <c r="A9" s="177" t="str">
        <f>ECONÓMICA!B11</f>
        <v>Profesional SIG</v>
      </c>
      <c r="B9" s="214">
        <f>ECONÓMICA!C11</f>
        <v>1</v>
      </c>
      <c r="C9" s="540">
        <f ca="1">ECONÓMICA!H11</f>
        <v>6</v>
      </c>
      <c r="D9" s="161">
        <f>ECONÓMICA!D11</f>
        <v>3639162</v>
      </c>
      <c r="E9" s="175">
        <f ca="1">ECONÓMICA!E11</f>
        <v>0.6</v>
      </c>
      <c r="F9" s="609">
        <f ca="1">$D$9*$E$9*$B$9</f>
        <v>2183497.1999999997</v>
      </c>
      <c r="G9" s="609"/>
      <c r="H9" s="609"/>
      <c r="I9" s="609"/>
      <c r="J9" s="609">
        <f ca="1">$D$9*$E$9*$B$9</f>
        <v>2183497.1999999997</v>
      </c>
      <c r="K9" s="609"/>
      <c r="L9" s="609"/>
      <c r="M9" s="609"/>
      <c r="N9" s="598"/>
      <c r="O9" s="598"/>
      <c r="P9" s="598"/>
      <c r="Q9" s="598"/>
      <c r="R9" s="598"/>
      <c r="S9" s="598"/>
      <c r="T9" s="598"/>
      <c r="U9" s="598"/>
      <c r="V9" s="598"/>
      <c r="W9" s="598"/>
      <c r="X9" s="598"/>
      <c r="Y9" s="598"/>
      <c r="Z9" s="609">
        <f t="shared" ref="Z9" ca="1" si="33">$D$9*$E$9*$B$9</f>
        <v>2183497.1999999997</v>
      </c>
      <c r="AA9" s="609"/>
      <c r="AB9" s="609"/>
      <c r="AC9" s="609"/>
      <c r="AD9" s="609">
        <f t="shared" ref="AD9" ca="1" si="34">$D$9*$E$9*$B$9</f>
        <v>2183497.1999999997</v>
      </c>
      <c r="AE9" s="609"/>
      <c r="AF9" s="609"/>
      <c r="AG9" s="609"/>
      <c r="AH9" s="210"/>
      <c r="AI9" s="210"/>
      <c r="AJ9" s="210"/>
      <c r="AK9" s="210"/>
      <c r="AL9" s="609">
        <f ca="1">$D$9*$E$9*$B$9</f>
        <v>2183497.1999999997</v>
      </c>
      <c r="AM9" s="609"/>
      <c r="AN9" s="609"/>
      <c r="AO9" s="609"/>
      <c r="AP9" s="210"/>
      <c r="AQ9" s="210"/>
      <c r="AR9" s="210"/>
      <c r="AS9" s="210"/>
      <c r="AT9" s="609">
        <f ca="1">$D$9*$E$9*$B$9</f>
        <v>2183497.1999999997</v>
      </c>
      <c r="AU9" s="609"/>
      <c r="AV9" s="609"/>
      <c r="AW9" s="609"/>
      <c r="AX9" s="210"/>
      <c r="AY9" s="210"/>
      <c r="AZ9" s="210"/>
      <c r="BA9" s="210"/>
      <c r="BB9" s="161">
        <f t="shared" ca="1" si="16"/>
        <v>26726005.727999996</v>
      </c>
      <c r="BC9" s="161">
        <f ca="1">ECONÓMICA!I11</f>
        <v>26726005.728</v>
      </c>
      <c r="BD9" s="161">
        <f t="shared" ca="1" si="17"/>
        <v>0</v>
      </c>
      <c r="BE9" s="166"/>
    </row>
    <row r="10" spans="1:57" x14ac:dyDescent="0.35">
      <c r="A10" s="177" t="str">
        <f>ECONÓMICA!B12</f>
        <v>Auxiliar administrativo</v>
      </c>
      <c r="B10" s="214">
        <f>ECONÓMICA!C12</f>
        <v>1</v>
      </c>
      <c r="C10" s="540">
        <f ca="1">ECONÓMICA!H12</f>
        <v>12</v>
      </c>
      <c r="D10" s="161">
        <f>ECONÓMICA!D12</f>
        <v>2247340</v>
      </c>
      <c r="E10" s="175">
        <f ca="1">ECONÓMICA!E12</f>
        <v>0.7</v>
      </c>
      <c r="F10" s="609">
        <f ca="1">$D$10*$E$10*$B$10</f>
        <v>1573138</v>
      </c>
      <c r="G10" s="609"/>
      <c r="H10" s="609"/>
      <c r="I10" s="609"/>
      <c r="J10" s="609">
        <f t="shared" ref="J10" ca="1" si="35">$D$10*$E$10*$B$10</f>
        <v>1573138</v>
      </c>
      <c r="K10" s="609"/>
      <c r="L10" s="609"/>
      <c r="M10" s="609"/>
      <c r="N10" s="609">
        <f t="shared" ref="N10" ca="1" si="36">$D$10*$E$10*$B$10</f>
        <v>1573138</v>
      </c>
      <c r="O10" s="609"/>
      <c r="P10" s="609"/>
      <c r="Q10" s="609"/>
      <c r="R10" s="609">
        <f t="shared" ref="R10" ca="1" si="37">$D$10*$E$10*$B$10</f>
        <v>1573138</v>
      </c>
      <c r="S10" s="609"/>
      <c r="T10" s="609"/>
      <c r="U10" s="609"/>
      <c r="V10" s="609">
        <f t="shared" ref="V10" ca="1" si="38">$D$10*$E$10*$B$10</f>
        <v>1573138</v>
      </c>
      <c r="W10" s="609"/>
      <c r="X10" s="609"/>
      <c r="Y10" s="609"/>
      <c r="Z10" s="609">
        <f t="shared" ref="Z10" ca="1" si="39">$D$10*$E$10*$B$10</f>
        <v>1573138</v>
      </c>
      <c r="AA10" s="609"/>
      <c r="AB10" s="609"/>
      <c r="AC10" s="609"/>
      <c r="AD10" s="609">
        <f ca="1">$D$10*$E$10*$B$10</f>
        <v>1573138</v>
      </c>
      <c r="AE10" s="609"/>
      <c r="AF10" s="609"/>
      <c r="AG10" s="609"/>
      <c r="AH10" s="609">
        <f ca="1">$D$10*$E$10*$B$10</f>
        <v>1573138</v>
      </c>
      <c r="AI10" s="609"/>
      <c r="AJ10" s="609"/>
      <c r="AK10" s="609"/>
      <c r="AL10" s="609">
        <f ca="1">$D$10*$E$10*$B$10</f>
        <v>1573138</v>
      </c>
      <c r="AM10" s="609"/>
      <c r="AN10" s="609"/>
      <c r="AO10" s="609"/>
      <c r="AP10" s="609">
        <f ca="1">$D$10*$E$10*$B$10</f>
        <v>1573138</v>
      </c>
      <c r="AQ10" s="609"/>
      <c r="AR10" s="609"/>
      <c r="AS10" s="609"/>
      <c r="AT10" s="609">
        <f ca="1">$D$10*$E$10*$B$10</f>
        <v>1573138</v>
      </c>
      <c r="AU10" s="609"/>
      <c r="AV10" s="609"/>
      <c r="AW10" s="609"/>
      <c r="AX10" s="609">
        <f ca="1">$D$10*$E$10*$B$10</f>
        <v>1573138</v>
      </c>
      <c r="AY10" s="609"/>
      <c r="AZ10" s="609"/>
      <c r="BA10" s="609"/>
      <c r="BB10" s="161">
        <f t="shared" ca="1" si="16"/>
        <v>38510418.240000002</v>
      </c>
      <c r="BC10" s="161">
        <f ca="1">ECONÓMICA!I12</f>
        <v>38510418.240000002</v>
      </c>
      <c r="BD10" s="161">
        <f t="shared" ca="1" si="17"/>
        <v>0</v>
      </c>
      <c r="BE10" s="166"/>
    </row>
    <row r="11" spans="1:57" x14ac:dyDescent="0.35">
      <c r="A11" s="161"/>
      <c r="B11" s="161"/>
      <c r="C11" s="161"/>
      <c r="F11" s="614"/>
      <c r="G11" s="597"/>
      <c r="H11" s="597"/>
      <c r="I11" s="597"/>
      <c r="J11" s="597"/>
      <c r="K11" s="597"/>
      <c r="L11" s="597"/>
      <c r="M11" s="597"/>
      <c r="N11" s="597"/>
      <c r="O11" s="597"/>
      <c r="P11" s="597"/>
      <c r="Q11" s="597"/>
      <c r="R11" s="597"/>
      <c r="S11" s="597"/>
      <c r="T11" s="597"/>
      <c r="U11" s="597"/>
      <c r="V11" s="597"/>
      <c r="W11" s="597"/>
      <c r="X11" s="597"/>
      <c r="Y11" s="597"/>
      <c r="Z11" s="597"/>
      <c r="AA11" s="597"/>
      <c r="AB11" s="597"/>
      <c r="AC11" s="597"/>
      <c r="AD11" s="614"/>
      <c r="AE11" s="597"/>
      <c r="AF11" s="597"/>
      <c r="AG11" s="597"/>
      <c r="AH11" s="163"/>
      <c r="AI11" s="163"/>
      <c r="AJ11" s="163"/>
      <c r="AK11" s="163"/>
      <c r="AL11" s="163"/>
      <c r="AM11" s="163"/>
      <c r="AN11" s="163"/>
      <c r="AO11" s="163"/>
      <c r="AP11" s="163"/>
      <c r="AQ11" s="163"/>
      <c r="AR11" s="163"/>
      <c r="AS11" s="163"/>
      <c r="AT11" s="163"/>
      <c r="AU11" s="163"/>
      <c r="AV11" s="163"/>
      <c r="AW11" s="163"/>
      <c r="AX11" s="163"/>
      <c r="AY11" s="163"/>
      <c r="AZ11" s="163"/>
      <c r="BA11" s="163"/>
      <c r="BB11" s="161"/>
      <c r="BC11" s="161"/>
      <c r="BE11" s="166" t="s">
        <v>129</v>
      </c>
    </row>
    <row r="12" spans="1:57" x14ac:dyDescent="0.35">
      <c r="D12" s="181" t="s">
        <v>599</v>
      </c>
      <c r="E12" s="178">
        <f>FM!D37</f>
        <v>2.04</v>
      </c>
      <c r="F12" s="619">
        <f ca="1">SUM(F4:I10)*$E$12</f>
        <v>40024181.675999999</v>
      </c>
      <c r="G12" s="619"/>
      <c r="H12" s="619"/>
      <c r="I12" s="619"/>
      <c r="J12" s="619">
        <f ca="1">SUM(J4:M10)*$E$12</f>
        <v>69599032.716000006</v>
      </c>
      <c r="K12" s="619"/>
      <c r="L12" s="619"/>
      <c r="M12" s="619"/>
      <c r="N12" s="619">
        <f ca="1">SUM(N4:Q10)*$E$12</f>
        <v>65144698.428000003</v>
      </c>
      <c r="O12" s="619"/>
      <c r="P12" s="619"/>
      <c r="Q12" s="619"/>
      <c r="R12" s="619">
        <f ca="1">SUM(R4:U10)*$E$12</f>
        <v>65144698.428000003</v>
      </c>
      <c r="S12" s="619"/>
      <c r="T12" s="619"/>
      <c r="U12" s="619"/>
      <c r="V12" s="619">
        <f ca="1">SUM(V4:Y10)*$E$12</f>
        <v>65144698.428000003</v>
      </c>
      <c r="W12" s="619"/>
      <c r="X12" s="619"/>
      <c r="Y12" s="619"/>
      <c r="Z12" s="619">
        <f ca="1">SUM(Z4:AC10)*$E$12</f>
        <v>33342680.243999995</v>
      </c>
      <c r="AA12" s="619"/>
      <c r="AB12" s="619"/>
      <c r="AC12" s="619"/>
      <c r="AD12" s="619">
        <f ca="1">SUM(AD4:AG10)*$E$12</f>
        <v>33342680.243999995</v>
      </c>
      <c r="AE12" s="619"/>
      <c r="AF12" s="619"/>
      <c r="AG12" s="619"/>
      <c r="AH12" s="619">
        <f t="shared" ref="AH12" ca="1" si="40">SUM(AH4:AK10)*$E$12</f>
        <v>28888345.955999997</v>
      </c>
      <c r="AI12" s="619"/>
      <c r="AJ12" s="619"/>
      <c r="AK12" s="619"/>
      <c r="AL12" s="619">
        <f t="shared" ref="AL12" ca="1" si="41">SUM(AL4:AO10)*$E$12</f>
        <v>33342680.243999995</v>
      </c>
      <c r="AM12" s="619"/>
      <c r="AN12" s="619"/>
      <c r="AO12" s="619"/>
      <c r="AP12" s="619">
        <f t="shared" ref="AP12" ca="1" si="42">SUM(AP4:AS10)*$E$12</f>
        <v>21635466.635999996</v>
      </c>
      <c r="AQ12" s="619"/>
      <c r="AR12" s="619"/>
      <c r="AS12" s="619"/>
      <c r="AT12" s="619">
        <f t="shared" ref="AT12" ca="1" si="43">SUM(AT4:AW10)*$E$12</f>
        <v>26089800.923999995</v>
      </c>
      <c r="AU12" s="619"/>
      <c r="AV12" s="619"/>
      <c r="AW12" s="619"/>
      <c r="AX12" s="619">
        <f ca="1">SUM(AX4:BA10)*$E$12</f>
        <v>13173774.095999999</v>
      </c>
      <c r="AY12" s="619"/>
      <c r="AZ12" s="619"/>
      <c r="BA12" s="619"/>
      <c r="BB12" s="161"/>
      <c r="BC12" s="161">
        <f ca="1">SUM(F12:BA12)</f>
        <v>494872738.02000004</v>
      </c>
      <c r="BD12" s="222" t="str">
        <f ca="1">IF(ABS(BC12-BE12)&lt;0.001,"OK"," ERROR")</f>
        <v>OK</v>
      </c>
      <c r="BE12" s="163">
        <f ca="1">ECONÓMICA!I13</f>
        <v>494872738.02000004</v>
      </c>
    </row>
    <row r="13" spans="1:57" x14ac:dyDescent="0.35">
      <c r="F13" s="641"/>
      <c r="G13" s="641"/>
      <c r="H13" s="641"/>
      <c r="I13" s="641"/>
      <c r="J13" s="689"/>
      <c r="K13" s="689"/>
      <c r="L13" s="689"/>
      <c r="M13" s="689"/>
      <c r="N13" s="689"/>
      <c r="O13" s="689"/>
      <c r="P13" s="689"/>
      <c r="Q13" s="689"/>
      <c r="R13" s="689"/>
      <c r="S13" s="689"/>
      <c r="T13" s="689"/>
      <c r="U13" s="689"/>
      <c r="V13" s="689"/>
      <c r="W13" s="689"/>
      <c r="X13" s="689"/>
      <c r="Y13" s="689"/>
      <c r="Z13" s="689"/>
      <c r="AA13" s="689"/>
      <c r="AB13" s="689"/>
      <c r="AC13" s="689"/>
      <c r="AD13" s="689"/>
      <c r="AE13" s="689"/>
      <c r="AF13" s="689"/>
      <c r="AG13" s="689"/>
      <c r="AH13" s="689"/>
      <c r="AI13" s="689"/>
      <c r="AJ13" s="689"/>
      <c r="AK13" s="689"/>
      <c r="AL13" s="689"/>
      <c r="AM13" s="689"/>
      <c r="AN13" s="689"/>
      <c r="AO13" s="689"/>
      <c r="AP13" s="689"/>
      <c r="AQ13" s="689"/>
      <c r="AR13" s="689"/>
      <c r="AS13" s="689"/>
      <c r="AT13" s="689"/>
      <c r="AU13" s="689"/>
      <c r="AV13" s="689"/>
      <c r="AW13" s="689"/>
      <c r="AX13" s="689"/>
      <c r="AY13" s="689"/>
      <c r="AZ13" s="689"/>
      <c r="BA13" s="689"/>
      <c r="BD13" s="166" t="s">
        <v>130</v>
      </c>
    </row>
    <row r="14" spans="1:57" ht="17.25" customHeight="1" x14ac:dyDescent="0.35">
      <c r="D14" s="143"/>
      <c r="E14" s="143"/>
      <c r="F14" s="653" t="s">
        <v>88</v>
      </c>
      <c r="G14" s="653"/>
      <c r="H14" s="653"/>
      <c r="I14" s="653"/>
      <c r="J14" s="672" t="s">
        <v>89</v>
      </c>
      <c r="K14" s="673"/>
      <c r="L14" s="673"/>
      <c r="M14" s="673"/>
      <c r="N14" s="673"/>
      <c r="O14" s="673"/>
      <c r="P14" s="673"/>
      <c r="Q14" s="673"/>
      <c r="R14" s="673"/>
      <c r="S14" s="673"/>
      <c r="T14" s="673"/>
      <c r="U14" s="673"/>
      <c r="V14" s="673"/>
      <c r="W14" s="673"/>
      <c r="X14" s="673"/>
      <c r="Y14" s="673"/>
      <c r="Z14" s="673"/>
      <c r="AA14" s="673"/>
      <c r="AB14" s="673"/>
      <c r="AC14" s="673"/>
      <c r="AD14" s="673"/>
      <c r="AE14" s="673"/>
      <c r="AF14" s="673"/>
      <c r="AG14" s="674"/>
      <c r="AH14" s="616" t="s">
        <v>126</v>
      </c>
      <c r="AI14" s="617"/>
      <c r="AJ14" s="617"/>
      <c r="AK14" s="617"/>
      <c r="AL14" s="617"/>
      <c r="AM14" s="617"/>
      <c r="AN14" s="617"/>
      <c r="AO14" s="617"/>
      <c r="AP14" s="620" t="s">
        <v>171</v>
      </c>
      <c r="AQ14" s="620"/>
      <c r="AR14" s="620"/>
      <c r="AS14" s="620"/>
      <c r="AT14" s="620"/>
      <c r="AU14" s="620"/>
      <c r="AV14" s="620"/>
      <c r="AW14" s="620"/>
      <c r="AX14" s="620"/>
      <c r="AY14" s="620"/>
      <c r="AZ14" s="620"/>
      <c r="BA14" s="620"/>
      <c r="BB14" s="176"/>
      <c r="BC14" s="176"/>
      <c r="BD14" s="176"/>
      <c r="BE14" s="176"/>
    </row>
    <row r="15" spans="1:57" ht="13.5" customHeight="1" x14ac:dyDescent="0.35">
      <c r="D15" s="143"/>
      <c r="E15" s="143"/>
      <c r="F15" s="610" t="s">
        <v>46</v>
      </c>
      <c r="G15" s="610"/>
      <c r="H15" s="610"/>
      <c r="I15" s="610"/>
      <c r="J15" s="610" t="s">
        <v>47</v>
      </c>
      <c r="K15" s="610"/>
      <c r="L15" s="610"/>
      <c r="M15" s="610"/>
      <c r="N15" s="610" t="s">
        <v>48</v>
      </c>
      <c r="O15" s="610"/>
      <c r="P15" s="610"/>
      <c r="Q15" s="610"/>
      <c r="R15" s="610" t="s">
        <v>49</v>
      </c>
      <c r="S15" s="610"/>
      <c r="T15" s="610"/>
      <c r="U15" s="610"/>
      <c r="V15" s="610" t="s">
        <v>50</v>
      </c>
      <c r="W15" s="610"/>
      <c r="X15" s="610"/>
      <c r="Y15" s="610"/>
      <c r="Z15" s="610" t="s">
        <v>51</v>
      </c>
      <c r="AA15" s="610"/>
      <c r="AB15" s="610"/>
      <c r="AC15" s="610"/>
      <c r="AD15" s="610" t="s">
        <v>52</v>
      </c>
      <c r="AE15" s="610"/>
      <c r="AF15" s="610"/>
      <c r="AG15" s="610"/>
      <c r="AH15" s="610" t="s">
        <v>166</v>
      </c>
      <c r="AI15" s="610"/>
      <c r="AJ15" s="610"/>
      <c r="AK15" s="610"/>
      <c r="AL15" s="610" t="s">
        <v>167</v>
      </c>
      <c r="AM15" s="610"/>
      <c r="AN15" s="610"/>
      <c r="AO15" s="610"/>
      <c r="AP15" s="610" t="s">
        <v>168</v>
      </c>
      <c r="AQ15" s="610"/>
      <c r="AR15" s="610"/>
      <c r="AS15" s="610"/>
      <c r="AT15" s="610" t="s">
        <v>169</v>
      </c>
      <c r="AU15" s="610"/>
      <c r="AV15" s="610"/>
      <c r="AW15" s="610"/>
      <c r="AX15" s="610" t="s">
        <v>170</v>
      </c>
      <c r="AY15" s="610"/>
      <c r="AZ15" s="610"/>
      <c r="BA15" s="610"/>
      <c r="BB15" s="176"/>
      <c r="BC15" s="176"/>
      <c r="BD15" s="176"/>
      <c r="BE15" s="176"/>
    </row>
    <row r="16" spans="1:57" ht="13.5" customHeight="1" x14ac:dyDescent="0.35">
      <c r="B16" s="172"/>
      <c r="C16" s="172"/>
      <c r="D16" s="143"/>
      <c r="E16" s="143"/>
      <c r="F16" s="211">
        <v>1</v>
      </c>
      <c r="G16" s="211">
        <v>2</v>
      </c>
      <c r="H16" s="211">
        <v>3</v>
      </c>
      <c r="I16" s="211">
        <v>4</v>
      </c>
      <c r="J16" s="211">
        <v>5</v>
      </c>
      <c r="K16" s="211">
        <v>6</v>
      </c>
      <c r="L16" s="211">
        <v>7</v>
      </c>
      <c r="M16" s="211">
        <v>8</v>
      </c>
      <c r="N16" s="211">
        <v>9</v>
      </c>
      <c r="O16" s="211">
        <v>10</v>
      </c>
      <c r="P16" s="211">
        <v>11</v>
      </c>
      <c r="Q16" s="211">
        <v>12</v>
      </c>
      <c r="R16" s="211">
        <v>13</v>
      </c>
      <c r="S16" s="211">
        <v>14</v>
      </c>
      <c r="T16" s="211">
        <v>15</v>
      </c>
      <c r="U16" s="211">
        <v>16</v>
      </c>
      <c r="V16" s="211">
        <v>17</v>
      </c>
      <c r="W16" s="211">
        <v>18</v>
      </c>
      <c r="X16" s="211">
        <v>19</v>
      </c>
      <c r="Y16" s="211">
        <v>20</v>
      </c>
      <c r="Z16" s="211">
        <v>21</v>
      </c>
      <c r="AA16" s="211">
        <v>22</v>
      </c>
      <c r="AB16" s="211">
        <v>23</v>
      </c>
      <c r="AC16" s="211">
        <v>24</v>
      </c>
      <c r="AD16" s="211">
        <v>25</v>
      </c>
      <c r="AE16" s="211">
        <v>26</v>
      </c>
      <c r="AF16" s="211">
        <v>27</v>
      </c>
      <c r="AG16" s="211">
        <v>28</v>
      </c>
      <c r="AH16" s="211">
        <v>29</v>
      </c>
      <c r="AI16" s="211">
        <v>30</v>
      </c>
      <c r="AJ16" s="211">
        <v>31</v>
      </c>
      <c r="AK16" s="211">
        <v>32</v>
      </c>
      <c r="AL16" s="298">
        <v>33</v>
      </c>
      <c r="AM16" s="298">
        <v>34</v>
      </c>
      <c r="AN16" s="298">
        <v>35</v>
      </c>
      <c r="AO16" s="298">
        <v>36</v>
      </c>
      <c r="AP16" s="211">
        <v>37</v>
      </c>
      <c r="AQ16" s="211">
        <v>38</v>
      </c>
      <c r="AR16" s="211">
        <v>39</v>
      </c>
      <c r="AS16" s="211">
        <v>40</v>
      </c>
      <c r="AT16" s="298">
        <v>41</v>
      </c>
      <c r="AU16" s="298">
        <v>42</v>
      </c>
      <c r="AV16" s="298">
        <v>43</v>
      </c>
      <c r="AW16" s="298">
        <v>44</v>
      </c>
      <c r="AX16" s="211">
        <v>45</v>
      </c>
      <c r="AY16" s="211">
        <v>46</v>
      </c>
      <c r="AZ16" s="211">
        <v>47</v>
      </c>
      <c r="BA16" s="211">
        <v>48</v>
      </c>
      <c r="BB16" s="176"/>
      <c r="BC16" s="176"/>
      <c r="BD16" s="176"/>
      <c r="BE16" s="176"/>
    </row>
    <row r="17" spans="1:57" x14ac:dyDescent="0.35">
      <c r="A17" s="611" t="str">
        <f>ECONÓMICA!B17</f>
        <v>2.1. Transporte</v>
      </c>
      <c r="B17" s="612"/>
      <c r="C17" s="612"/>
      <c r="D17" s="143"/>
      <c r="E17" s="143"/>
      <c r="F17" s="618">
        <f>'VIÁTICOS-TRANSP'!D12</f>
        <v>7964445.3777777795</v>
      </c>
      <c r="G17" s="618"/>
      <c r="H17" s="618"/>
      <c r="I17" s="618"/>
      <c r="J17" s="618">
        <f>'VIÁTICOS-TRANSP'!D33</f>
        <v>18204446.577777781</v>
      </c>
      <c r="K17" s="618"/>
      <c r="L17" s="618"/>
      <c r="M17" s="618"/>
      <c r="N17" s="618">
        <f>'VIÁTICOS-TRANSP'!E33</f>
        <v>37546671.06666667</v>
      </c>
      <c r="O17" s="618"/>
      <c r="P17" s="618"/>
      <c r="Q17" s="618"/>
      <c r="R17" s="618">
        <f>'VIÁTICOS-TRANSP'!F33</f>
        <v>42097782.711111121</v>
      </c>
      <c r="S17" s="618"/>
      <c r="T17" s="618"/>
      <c r="U17" s="618"/>
      <c r="V17" s="618">
        <f>'VIÁTICOS-TRANSP'!D36</f>
        <v>2844444.777777778</v>
      </c>
      <c r="W17" s="618"/>
      <c r="X17" s="618"/>
      <c r="Y17" s="643"/>
      <c r="Z17" s="609">
        <f>'VIÁTICOS-TRANSP'!E36</f>
        <v>0</v>
      </c>
      <c r="AA17" s="609"/>
      <c r="AB17" s="609"/>
      <c r="AC17" s="609"/>
      <c r="AD17" s="609">
        <f>'VIÁTICOS-TRANSP'!F36</f>
        <v>2275555.8222222226</v>
      </c>
      <c r="AE17" s="609"/>
      <c r="AF17" s="609"/>
      <c r="AG17" s="609"/>
      <c r="AH17" s="675">
        <f>'VIÁTICOS-TRANSP'!D51</f>
        <v>0</v>
      </c>
      <c r="AI17" s="675"/>
      <c r="AJ17" s="675"/>
      <c r="AK17" s="675"/>
      <c r="AL17" s="615">
        <f>'VIÁTICOS-TRANSP'!E51</f>
        <v>2275555.8222222226</v>
      </c>
      <c r="AM17" s="615"/>
      <c r="AN17" s="615"/>
      <c r="AO17" s="615"/>
      <c r="AP17" s="675">
        <f>'VIÁTICOS-TRANSP'!D64</f>
        <v>0</v>
      </c>
      <c r="AQ17" s="675"/>
      <c r="AR17" s="675"/>
      <c r="AS17" s="675"/>
      <c r="AT17" s="615">
        <f>'VIÁTICOS-TRANSP'!E64</f>
        <v>2275555.8222222226</v>
      </c>
      <c r="AU17" s="615"/>
      <c r="AV17" s="615"/>
      <c r="AW17" s="615"/>
      <c r="AX17" s="615">
        <f>'VIÁTICOS-TRANSP'!F64</f>
        <v>0</v>
      </c>
      <c r="AY17" s="615"/>
      <c r="AZ17" s="615"/>
      <c r="BA17" s="615"/>
      <c r="BB17" s="174">
        <f>SUM(F17:BA17)*$E$34</f>
        <v>120300159.87545112</v>
      </c>
      <c r="BC17" s="174">
        <f>ECONÓMICA!I17</f>
        <v>120300159.87545113</v>
      </c>
      <c r="BD17" s="161">
        <f>BB17-BC17</f>
        <v>0</v>
      </c>
      <c r="BE17" s="176"/>
    </row>
    <row r="18" spans="1:57" x14ac:dyDescent="0.35">
      <c r="A18" s="611" t="str">
        <f>ECONÓMICA!B18</f>
        <v>2.2. Gastos de Alojamiento, Alimentación e Hidratación</v>
      </c>
      <c r="B18" s="612"/>
      <c r="C18" s="612"/>
      <c r="D18" s="143"/>
      <c r="E18" s="143"/>
      <c r="F18" s="618">
        <f>'VIÁTICOS-TRANSP'!D13</f>
        <v>4480000</v>
      </c>
      <c r="G18" s="618"/>
      <c r="H18" s="618"/>
      <c r="I18" s="618"/>
      <c r="J18" s="618">
        <f>'VIÁTICOS-TRANSP'!D34</f>
        <v>16960000</v>
      </c>
      <c r="K18" s="618"/>
      <c r="L18" s="618"/>
      <c r="M18" s="618"/>
      <c r="N18" s="618">
        <f>'VIÁTICOS-TRANSP'!E34</f>
        <v>21120000</v>
      </c>
      <c r="O18" s="618"/>
      <c r="P18" s="618"/>
      <c r="Q18" s="618"/>
      <c r="R18" s="618">
        <f>'VIÁTICOS-TRANSP'!F34</f>
        <v>23680000</v>
      </c>
      <c r="S18" s="618"/>
      <c r="T18" s="618"/>
      <c r="U18" s="621"/>
      <c r="V18" s="609">
        <f>'VIÁTICOS-TRANSP'!D37</f>
        <v>1600000</v>
      </c>
      <c r="W18" s="609"/>
      <c r="X18" s="609"/>
      <c r="Y18" s="609"/>
      <c r="Z18" s="609">
        <f>'VIÁTICOS-TRANSP'!E37</f>
        <v>0</v>
      </c>
      <c r="AA18" s="609"/>
      <c r="AB18" s="609"/>
      <c r="AC18" s="609"/>
      <c r="AD18" s="609">
        <f>'VIÁTICOS-TRANSP'!F37</f>
        <v>2560000</v>
      </c>
      <c r="AE18" s="609"/>
      <c r="AF18" s="609"/>
      <c r="AG18" s="609"/>
      <c r="AH18" s="609">
        <f>'VIÁTICOS-TRANSP'!D52</f>
        <v>0</v>
      </c>
      <c r="AI18" s="609"/>
      <c r="AJ18" s="609"/>
      <c r="AK18" s="609"/>
      <c r="AL18" s="615">
        <f>'VIÁTICOS-TRANSP'!E52</f>
        <v>2560000</v>
      </c>
      <c r="AM18" s="615"/>
      <c r="AN18" s="615"/>
      <c r="AO18" s="615"/>
      <c r="AP18" s="609">
        <f>'VIÁTICOS-TRANSP'!D65</f>
        <v>0</v>
      </c>
      <c r="AQ18" s="609"/>
      <c r="AR18" s="609"/>
      <c r="AS18" s="609"/>
      <c r="AT18" s="615">
        <f>'VIÁTICOS-TRANSP'!E65</f>
        <v>1920000</v>
      </c>
      <c r="AU18" s="615"/>
      <c r="AV18" s="615"/>
      <c r="AW18" s="615"/>
      <c r="AX18" s="615">
        <f>'VIÁTICOS-TRANSP'!F65</f>
        <v>0</v>
      </c>
      <c r="AY18" s="615"/>
      <c r="AZ18" s="615"/>
      <c r="BA18" s="615"/>
      <c r="BB18" s="174">
        <f>SUM(F18:BA18)*$E$34</f>
        <v>78002496</v>
      </c>
      <c r="BC18" s="174">
        <f>ECONÓMICA!I18</f>
        <v>78002496</v>
      </c>
      <c r="BD18" s="161">
        <f t="shared" ref="BD18:BD19" si="44">BB18-BC18</f>
        <v>0</v>
      </c>
      <c r="BE18" s="176"/>
    </row>
    <row r="19" spans="1:57" x14ac:dyDescent="0.35">
      <c r="A19" s="611" t="str">
        <f>ECONÓMICA!B19</f>
        <v>2.3. Logística de espacios de socialización PORH - 3 fases</v>
      </c>
      <c r="B19" s="612"/>
      <c r="C19" s="612"/>
      <c r="D19" s="143"/>
      <c r="E19" s="143"/>
      <c r="F19" s="615"/>
      <c r="G19" s="615"/>
      <c r="H19" s="615"/>
      <c r="I19" s="615"/>
      <c r="J19" s="615"/>
      <c r="K19" s="615"/>
      <c r="L19" s="615"/>
      <c r="M19" s="615"/>
      <c r="N19" s="615"/>
      <c r="O19" s="615"/>
      <c r="P19" s="615"/>
      <c r="Q19" s="615"/>
      <c r="R19" s="615"/>
      <c r="S19" s="615"/>
      <c r="T19" s="615"/>
      <c r="U19" s="615"/>
      <c r="V19" s="615"/>
      <c r="W19" s="615"/>
      <c r="X19" s="615"/>
      <c r="Y19" s="615"/>
      <c r="Z19" s="615"/>
      <c r="AA19" s="615"/>
      <c r="AB19" s="615"/>
      <c r="AC19" s="615"/>
      <c r="AD19" s="615">
        <f>('2.3 - Socialización'!K5/'2.3 - Socialización'!E5)*4</f>
        <v>4300000</v>
      </c>
      <c r="AE19" s="615"/>
      <c r="AF19" s="615"/>
      <c r="AG19" s="615"/>
      <c r="AH19" s="615"/>
      <c r="AI19" s="615"/>
      <c r="AJ19" s="615"/>
      <c r="AK19" s="615"/>
      <c r="AL19" s="615">
        <f>('2.3 - Socialización'!K5/'2.3 - Socialización'!E5)*4</f>
        <v>4300000</v>
      </c>
      <c r="AM19" s="615"/>
      <c r="AN19" s="615"/>
      <c r="AO19" s="615"/>
      <c r="AP19" s="615"/>
      <c r="AQ19" s="615"/>
      <c r="AR19" s="615"/>
      <c r="AS19" s="615"/>
      <c r="AT19" s="615"/>
      <c r="AU19" s="615"/>
      <c r="AV19" s="615"/>
      <c r="AW19" s="615"/>
      <c r="AX19" s="615">
        <f>('2.3 - Socialización'!K5/'2.3 - Socialización'!E5)*4</f>
        <v>4300000</v>
      </c>
      <c r="AY19" s="615"/>
      <c r="AZ19" s="615"/>
      <c r="BA19" s="615"/>
      <c r="BB19" s="174">
        <f>SUM(F19:BA19)*$E$34</f>
        <v>13437930</v>
      </c>
      <c r="BC19" s="174">
        <f>ECONÓMICA!I19</f>
        <v>13437930</v>
      </c>
      <c r="BD19" s="161">
        <f t="shared" si="44"/>
        <v>0</v>
      </c>
      <c r="BE19" s="176"/>
    </row>
    <row r="20" spans="1:57" x14ac:dyDescent="0.35">
      <c r="A20" s="611" t="str">
        <f>ECONÓMICA!B20</f>
        <v>2.4. (A) Monitoreo puntual Tiempos de Viaje</v>
      </c>
      <c r="B20" s="612"/>
      <c r="C20" s="612"/>
      <c r="D20" s="143"/>
      <c r="E20" s="143"/>
      <c r="F20" s="580"/>
      <c r="G20" s="581"/>
      <c r="H20" s="581"/>
      <c r="I20" s="582"/>
      <c r="J20" s="580">
        <f>'2.4 - (A,B,C y D) LABORATORIO'!C3*'2.4 - (A,B,C y D) LABORATORIO'!E3</f>
        <v>46440000</v>
      </c>
      <c r="K20" s="581"/>
      <c r="L20" s="581"/>
      <c r="M20" s="582"/>
      <c r="N20" s="580"/>
      <c r="O20" s="581"/>
      <c r="P20" s="581"/>
      <c r="Q20" s="582"/>
      <c r="R20" s="580"/>
      <c r="S20" s="581"/>
      <c r="T20" s="581"/>
      <c r="U20" s="582"/>
      <c r="V20" s="580"/>
      <c r="W20" s="581"/>
      <c r="X20" s="581"/>
      <c r="Y20" s="582"/>
      <c r="Z20" s="580"/>
      <c r="AA20" s="581"/>
      <c r="AB20" s="581"/>
      <c r="AC20" s="582"/>
      <c r="AD20" s="580"/>
      <c r="AE20" s="581"/>
      <c r="AF20" s="581"/>
      <c r="AG20" s="582"/>
      <c r="AH20" s="580"/>
      <c r="AI20" s="581"/>
      <c r="AJ20" s="581"/>
      <c r="AK20" s="582"/>
      <c r="AL20" s="580"/>
      <c r="AM20" s="581"/>
      <c r="AN20" s="581"/>
      <c r="AO20" s="582"/>
      <c r="AP20" s="580"/>
      <c r="AQ20" s="581"/>
      <c r="AR20" s="581"/>
      <c r="AS20" s="582"/>
      <c r="AT20" s="580"/>
      <c r="AU20" s="581"/>
      <c r="AV20" s="581"/>
      <c r="AW20" s="582"/>
      <c r="AX20" s="580"/>
      <c r="AY20" s="581"/>
      <c r="AZ20" s="581"/>
      <c r="BA20" s="582"/>
      <c r="BB20" s="174">
        <f>SUM(F20:BA20)*$E$34</f>
        <v>48376548</v>
      </c>
      <c r="BC20" s="174">
        <f>ECONÓMICA!I20</f>
        <v>48376548.000000007</v>
      </c>
      <c r="BD20" s="161">
        <f>BB20-BC20</f>
        <v>0</v>
      </c>
      <c r="BE20" s="176"/>
    </row>
    <row r="21" spans="1:57" x14ac:dyDescent="0.35">
      <c r="A21" s="611" t="str">
        <f>ECONÓMICA!B21</f>
        <v>2.4. (B) Monitoreo puntual Matriz de agua + Aforo Molinete</v>
      </c>
      <c r="B21" s="612"/>
      <c r="C21" s="612"/>
      <c r="D21" s="143"/>
      <c r="E21" s="143"/>
      <c r="F21" s="580"/>
      <c r="G21" s="581"/>
      <c r="H21" s="581"/>
      <c r="I21" s="582"/>
      <c r="J21" s="580">
        <f>'2.4 - (A,B,C y D) LABORATORIO'!$C$4*'2.4 - (A,B,C y D) LABORATORIO'!$E$4/3</f>
        <v>7012112</v>
      </c>
      <c r="K21" s="581"/>
      <c r="L21" s="581"/>
      <c r="M21" s="582"/>
      <c r="N21" s="580">
        <f>'2.4 - (A,B,C y D) LABORATORIO'!$C$4*'2.4 - (A,B,C y D) LABORATORIO'!$E$4/3</f>
        <v>7012112</v>
      </c>
      <c r="O21" s="581"/>
      <c r="P21" s="581"/>
      <c r="Q21" s="582"/>
      <c r="R21" s="580"/>
      <c r="S21" s="581"/>
      <c r="T21" s="581"/>
      <c r="U21" s="582"/>
      <c r="V21" s="580"/>
      <c r="W21" s="581"/>
      <c r="X21" s="581"/>
      <c r="Y21" s="582"/>
      <c r="Z21" s="580">
        <f>'2.4 - (A,B,C y D) LABORATORIO'!$C$4*'2.4 - (A,B,C y D) LABORATORIO'!$E$4/3</f>
        <v>7012112</v>
      </c>
      <c r="AA21" s="581"/>
      <c r="AB21" s="581"/>
      <c r="AC21" s="582"/>
      <c r="AD21" s="580"/>
      <c r="AE21" s="581"/>
      <c r="AF21" s="581"/>
      <c r="AG21" s="582"/>
      <c r="AH21" s="580"/>
      <c r="AI21" s="581"/>
      <c r="AJ21" s="581"/>
      <c r="AK21" s="582"/>
      <c r="AL21" s="580"/>
      <c r="AM21" s="581"/>
      <c r="AN21" s="581"/>
      <c r="AO21" s="582"/>
      <c r="AP21" s="580"/>
      <c r="AQ21" s="581"/>
      <c r="AR21" s="581"/>
      <c r="AS21" s="582"/>
      <c r="AT21" s="580"/>
      <c r="AU21" s="581"/>
      <c r="AV21" s="581"/>
      <c r="AW21" s="582"/>
      <c r="AX21" s="580"/>
      <c r="AY21" s="581"/>
      <c r="AZ21" s="581"/>
      <c r="BA21" s="582"/>
      <c r="BB21" s="174">
        <f>SUM(F21:BA21)*$E$34</f>
        <v>21913551.211200003</v>
      </c>
      <c r="BC21" s="174">
        <f>ECONÓMICA!I21</f>
        <v>21913551.211200003</v>
      </c>
      <c r="BD21" s="174">
        <f t="shared" ref="BD21:BD34" si="45">BB21-BC21</f>
        <v>0</v>
      </c>
      <c r="BE21" s="176"/>
    </row>
    <row r="22" spans="1:57" x14ac:dyDescent="0.35">
      <c r="A22" s="611" t="str">
        <f>ECONÓMICA!B22</f>
        <v xml:space="preserve">2.4. (C) Monitoreo puntual Matriz de agua + Flujo Magnético </v>
      </c>
      <c r="B22" s="612"/>
      <c r="C22" s="612"/>
      <c r="D22" s="143"/>
      <c r="E22" s="143"/>
      <c r="F22" s="413"/>
      <c r="G22" s="414"/>
      <c r="H22" s="414"/>
      <c r="I22" s="415"/>
      <c r="J22" s="580">
        <f>'2.4 - (A,B,C y D) LABORATORIO'!$C$5*'2.4 - (A,B,C y D) LABORATORIO'!$E$5/3</f>
        <v>25410280</v>
      </c>
      <c r="K22" s="581"/>
      <c r="L22" s="581"/>
      <c r="M22" s="582"/>
      <c r="N22" s="580">
        <f>'2.4 - (A,B,C y D) LABORATORIO'!$C$5*'2.4 - (A,B,C y D) LABORATORIO'!$E$5/3</f>
        <v>25410280</v>
      </c>
      <c r="O22" s="581"/>
      <c r="P22" s="581"/>
      <c r="Q22" s="582"/>
      <c r="R22" s="580"/>
      <c r="S22" s="581"/>
      <c r="T22" s="581"/>
      <c r="U22" s="582"/>
      <c r="V22" s="580"/>
      <c r="W22" s="581"/>
      <c r="X22" s="581"/>
      <c r="Y22" s="582"/>
      <c r="Z22" s="580">
        <f>'2.4 - (A,B,C y D) LABORATORIO'!$C$5*'2.4 - (A,B,C y D) LABORATORIO'!$E$5/3</f>
        <v>25410280</v>
      </c>
      <c r="AA22" s="581"/>
      <c r="AB22" s="581"/>
      <c r="AC22" s="582"/>
      <c r="AD22" s="413"/>
      <c r="AE22" s="414"/>
      <c r="AF22" s="414"/>
      <c r="AG22" s="415"/>
      <c r="AH22" s="413"/>
      <c r="AI22" s="414"/>
      <c r="AJ22" s="414"/>
      <c r="AK22" s="415"/>
      <c r="AL22" s="413"/>
      <c r="AM22" s="414"/>
      <c r="AN22" s="414"/>
      <c r="AO22" s="415"/>
      <c r="AP22" s="413"/>
      <c r="AQ22" s="414"/>
      <c r="AR22" s="414"/>
      <c r="AS22" s="415"/>
      <c r="AT22" s="413"/>
      <c r="AU22" s="414"/>
      <c r="AV22" s="414"/>
      <c r="AW22" s="415"/>
      <c r="AX22" s="413"/>
      <c r="AY22" s="414"/>
      <c r="AZ22" s="414"/>
      <c r="BA22" s="415"/>
      <c r="BB22" s="174">
        <f t="shared" ref="BB22:BB33" si="46">SUM(F22:BA22)*$E$34</f>
        <v>79409666.028000012</v>
      </c>
      <c r="BC22" s="174">
        <f>ECONÓMICA!I22</f>
        <v>79409666.028000012</v>
      </c>
      <c r="BD22" s="174">
        <f t="shared" si="45"/>
        <v>0</v>
      </c>
      <c r="BE22" s="176"/>
    </row>
    <row r="23" spans="1:57" x14ac:dyDescent="0.35">
      <c r="A23" s="611" t="str">
        <f>ECONÓMICA!B23</f>
        <v xml:space="preserve">2.4. (D) Monitoreo puntual Matriz de agua + ADCP </v>
      </c>
      <c r="B23" s="612"/>
      <c r="C23" s="612"/>
      <c r="D23" s="143"/>
      <c r="E23" s="143"/>
      <c r="F23" s="580"/>
      <c r="G23" s="581"/>
      <c r="H23" s="581"/>
      <c r="I23" s="582"/>
      <c r="J23" s="580">
        <f>'2.4 - (A,B,C y D) LABORATORIO'!$C$6*'2.4 - (A,B,C y D) LABORATORIO'!$E$6/3</f>
        <v>65780560</v>
      </c>
      <c r="K23" s="581"/>
      <c r="L23" s="581"/>
      <c r="M23" s="582"/>
      <c r="N23" s="580">
        <f>'2.4 - (A,B,C y D) LABORATORIO'!$C$6*'2.4 - (A,B,C y D) LABORATORIO'!$E$6/3</f>
        <v>65780560</v>
      </c>
      <c r="O23" s="581"/>
      <c r="P23" s="581"/>
      <c r="Q23" s="582"/>
      <c r="R23" s="580"/>
      <c r="S23" s="581"/>
      <c r="T23" s="581"/>
      <c r="U23" s="582"/>
      <c r="V23" s="580"/>
      <c r="W23" s="581"/>
      <c r="X23" s="581"/>
      <c r="Y23" s="582"/>
      <c r="Z23" s="580">
        <f>'2.4 - (A,B,C y D) LABORATORIO'!$C$6*'2.4 - (A,B,C y D) LABORATORIO'!$E$6/3</f>
        <v>65780560</v>
      </c>
      <c r="AA23" s="581"/>
      <c r="AB23" s="581"/>
      <c r="AC23" s="582"/>
      <c r="AD23" s="580"/>
      <c r="AE23" s="581"/>
      <c r="AF23" s="581"/>
      <c r="AG23" s="582"/>
      <c r="AH23" s="580"/>
      <c r="AI23" s="581"/>
      <c r="AJ23" s="581"/>
      <c r="AK23" s="582"/>
      <c r="AL23" s="580"/>
      <c r="AM23" s="581"/>
      <c r="AN23" s="581"/>
      <c r="AO23" s="582"/>
      <c r="AP23" s="580"/>
      <c r="AQ23" s="581"/>
      <c r="AR23" s="581"/>
      <c r="AS23" s="582"/>
      <c r="AT23" s="580"/>
      <c r="AU23" s="581"/>
      <c r="AV23" s="581"/>
      <c r="AW23" s="582"/>
      <c r="AX23" s="580"/>
      <c r="AY23" s="581"/>
      <c r="AZ23" s="581"/>
      <c r="BA23" s="582"/>
      <c r="BB23" s="174">
        <f t="shared" si="46"/>
        <v>205570828.05600002</v>
      </c>
      <c r="BC23" s="174">
        <f>ECONÓMICA!I23</f>
        <v>205570828.05600002</v>
      </c>
      <c r="BD23" s="174">
        <f t="shared" si="45"/>
        <v>0</v>
      </c>
      <c r="BE23" s="176"/>
    </row>
    <row r="24" spans="1:57" x14ac:dyDescent="0.35">
      <c r="A24" s="611" t="str">
        <f>ECONÓMICA!B24</f>
        <v>2.5. (A)  Matriz Biota</v>
      </c>
      <c r="B24" s="612"/>
      <c r="C24" s="612"/>
      <c r="D24" s="143"/>
      <c r="E24" s="143"/>
      <c r="F24" s="580"/>
      <c r="G24" s="581"/>
      <c r="H24" s="581"/>
      <c r="I24" s="582"/>
      <c r="J24" s="580">
        <f>'2.5 (A,B y C) - HIDROBIOLOGÍA'!$C$3*'2.5 (A,B y C) - HIDROBIOLOGÍA'!$E$3/2</f>
        <v>146443100</v>
      </c>
      <c r="K24" s="581"/>
      <c r="L24" s="581"/>
      <c r="M24" s="582"/>
      <c r="N24" s="580"/>
      <c r="O24" s="581"/>
      <c r="P24" s="581"/>
      <c r="Q24" s="582"/>
      <c r="R24" s="580"/>
      <c r="S24" s="581"/>
      <c r="T24" s="581"/>
      <c r="U24" s="582"/>
      <c r="V24" s="580"/>
      <c r="W24" s="581"/>
      <c r="X24" s="581"/>
      <c r="Y24" s="582"/>
      <c r="Z24" s="580">
        <f>'2.5 (A,B y C) - HIDROBIOLOGÍA'!$C$3*'2.5 (A,B y C) - HIDROBIOLOGÍA'!$E$3/2</f>
        <v>146443100</v>
      </c>
      <c r="AA24" s="581"/>
      <c r="AB24" s="581"/>
      <c r="AC24" s="582"/>
      <c r="AD24" s="580"/>
      <c r="AE24" s="581"/>
      <c r="AF24" s="581"/>
      <c r="AG24" s="582"/>
      <c r="AH24" s="580"/>
      <c r="AI24" s="581"/>
      <c r="AJ24" s="581"/>
      <c r="AK24" s="582"/>
      <c r="AL24" s="580"/>
      <c r="AM24" s="581"/>
      <c r="AN24" s="581"/>
      <c r="AO24" s="582"/>
      <c r="AP24" s="580"/>
      <c r="AQ24" s="581"/>
      <c r="AR24" s="581"/>
      <c r="AS24" s="582"/>
      <c r="AT24" s="580"/>
      <c r="AU24" s="581"/>
      <c r="AV24" s="581"/>
      <c r="AW24" s="582"/>
      <c r="AX24" s="580"/>
      <c r="AY24" s="581"/>
      <c r="AZ24" s="581"/>
      <c r="BA24" s="582"/>
      <c r="BB24" s="174">
        <f t="shared" si="46"/>
        <v>305099554.54000002</v>
      </c>
      <c r="BC24" s="174">
        <f>ECONÓMICA!I24</f>
        <v>305099554.54000002</v>
      </c>
      <c r="BD24" s="174">
        <f t="shared" si="45"/>
        <v>0</v>
      </c>
      <c r="BE24" s="176"/>
    </row>
    <row r="25" spans="1:57" ht="16.5" customHeight="1" x14ac:dyDescent="0.35">
      <c r="A25" s="611" t="str">
        <f>ECONÓMICA!B25</f>
        <v>2.5. (B)  Índices Hidrobiología</v>
      </c>
      <c r="B25" s="612"/>
      <c r="C25" s="612"/>
      <c r="D25" s="143"/>
      <c r="E25" s="143"/>
      <c r="F25" s="580"/>
      <c r="G25" s="581"/>
      <c r="H25" s="581"/>
      <c r="I25" s="582"/>
      <c r="J25" s="580"/>
      <c r="K25" s="581"/>
      <c r="L25" s="581"/>
      <c r="M25" s="582"/>
      <c r="N25" s="580">
        <f>'2.5 (A,B y C) - HIDROBIOLOGÍA'!$C$4*'2.5 (A,B y C) - HIDROBIOLOGÍA'!$E$4/2</f>
        <v>21736948</v>
      </c>
      <c r="O25" s="581"/>
      <c r="P25" s="581"/>
      <c r="Q25" s="582"/>
      <c r="R25" s="580"/>
      <c r="S25" s="581"/>
      <c r="T25" s="581"/>
      <c r="U25" s="582"/>
      <c r="V25" s="580"/>
      <c r="W25" s="581"/>
      <c r="X25" s="581"/>
      <c r="Y25" s="582"/>
      <c r="Z25" s="580">
        <f>'2.5 (A,B y C) - HIDROBIOLOGÍA'!$C$4*'2.5 (A,B y C) - HIDROBIOLOGÍA'!$E$4/2</f>
        <v>21736948</v>
      </c>
      <c r="AA25" s="581"/>
      <c r="AB25" s="581"/>
      <c r="AC25" s="582"/>
      <c r="AD25" s="580"/>
      <c r="AE25" s="581"/>
      <c r="AF25" s="581"/>
      <c r="AG25" s="582"/>
      <c r="AH25" s="580"/>
      <c r="AI25" s="581"/>
      <c r="AJ25" s="581"/>
      <c r="AK25" s="582"/>
      <c r="AL25" s="580"/>
      <c r="AM25" s="581"/>
      <c r="AN25" s="581"/>
      <c r="AO25" s="582"/>
      <c r="AP25" s="580"/>
      <c r="AQ25" s="581"/>
      <c r="AR25" s="581"/>
      <c r="AS25" s="582"/>
      <c r="AT25" s="580"/>
      <c r="AU25" s="581"/>
      <c r="AV25" s="581"/>
      <c r="AW25" s="582"/>
      <c r="AX25" s="580"/>
      <c r="AY25" s="581"/>
      <c r="AZ25" s="581"/>
      <c r="BA25" s="582"/>
      <c r="BB25" s="174">
        <f t="shared" si="46"/>
        <v>45286757.463200003</v>
      </c>
      <c r="BC25" s="174">
        <f>ECONÓMICA!I25</f>
        <v>45286757.463200003</v>
      </c>
      <c r="BD25" s="174">
        <f t="shared" si="45"/>
        <v>0</v>
      </c>
      <c r="BE25" s="176"/>
    </row>
    <row r="26" spans="1:57" ht="16.5" customHeight="1" x14ac:dyDescent="0.35">
      <c r="A26" s="611" t="str">
        <f>ECONÓMICA!B26</f>
        <v>2.5. (C)  Informe</v>
      </c>
      <c r="B26" s="612"/>
      <c r="C26" s="612"/>
      <c r="D26" s="143"/>
      <c r="E26" s="143"/>
      <c r="F26" s="580"/>
      <c r="G26" s="581"/>
      <c r="H26" s="581"/>
      <c r="I26" s="582"/>
      <c r="J26" s="580"/>
      <c r="K26" s="581"/>
      <c r="L26" s="581"/>
      <c r="M26" s="582"/>
      <c r="N26" s="580">
        <f>'2.5 (A,B y C) - HIDROBIOLOGÍA'!$C$5*'2.5 (A,B y C) - HIDROBIOLOGÍA'!$E$5/2</f>
        <v>10000000</v>
      </c>
      <c r="O26" s="581"/>
      <c r="P26" s="581"/>
      <c r="Q26" s="582"/>
      <c r="R26" s="580"/>
      <c r="S26" s="581"/>
      <c r="T26" s="581"/>
      <c r="U26" s="582"/>
      <c r="V26" s="580"/>
      <c r="W26" s="581"/>
      <c r="X26" s="581"/>
      <c r="Y26" s="582"/>
      <c r="Z26" s="580">
        <f>'2.5 (A,B y C) - HIDROBIOLOGÍA'!$C$5*'2.5 (A,B y C) - HIDROBIOLOGÍA'!$E$5/2</f>
        <v>10000000</v>
      </c>
      <c r="AA26" s="581"/>
      <c r="AB26" s="581"/>
      <c r="AC26" s="582"/>
      <c r="AD26" s="580"/>
      <c r="AE26" s="581"/>
      <c r="AF26" s="581"/>
      <c r="AG26" s="582"/>
      <c r="AH26" s="580"/>
      <c r="AI26" s="581"/>
      <c r="AJ26" s="581"/>
      <c r="AK26" s="582"/>
      <c r="AL26" s="580"/>
      <c r="AM26" s="581"/>
      <c r="AN26" s="581"/>
      <c r="AO26" s="582"/>
      <c r="AP26" s="580"/>
      <c r="AQ26" s="581"/>
      <c r="AR26" s="581"/>
      <c r="AS26" s="582"/>
      <c r="AT26" s="580"/>
      <c r="AU26" s="581"/>
      <c r="AV26" s="581"/>
      <c r="AW26" s="582"/>
      <c r="AX26" s="580"/>
      <c r="AY26" s="581"/>
      <c r="AZ26" s="581"/>
      <c r="BA26" s="582"/>
      <c r="BB26" s="174">
        <f t="shared" si="46"/>
        <v>20834000</v>
      </c>
      <c r="BC26" s="174">
        <f>ECONÓMICA!I26</f>
        <v>20834000</v>
      </c>
      <c r="BD26" s="174">
        <f t="shared" si="45"/>
        <v>0</v>
      </c>
      <c r="BE26" s="176"/>
    </row>
    <row r="27" spans="1:57" ht="16.5" customHeight="1" x14ac:dyDescent="0.35">
      <c r="A27" s="611" t="str">
        <f>ECONÓMICA!B27</f>
        <v>2.6. Monitoreo de Vertimiento</v>
      </c>
      <c r="B27" s="612"/>
      <c r="C27" s="612"/>
      <c r="D27" s="143"/>
      <c r="E27" s="143"/>
      <c r="F27" s="580"/>
      <c r="G27" s="581"/>
      <c r="H27" s="581"/>
      <c r="I27" s="582"/>
      <c r="J27" s="580">
        <f>'2.6 - LABORATORIO - VTOs'!C5*'2.6 - LABORATORIO - VTOs'!E5</f>
        <v>41684364</v>
      </c>
      <c r="K27" s="581"/>
      <c r="L27" s="581"/>
      <c r="M27" s="582"/>
      <c r="N27" s="580"/>
      <c r="O27" s="581"/>
      <c r="P27" s="581"/>
      <c r="Q27" s="582"/>
      <c r="R27" s="580"/>
      <c r="S27" s="581"/>
      <c r="T27" s="581"/>
      <c r="U27" s="582"/>
      <c r="V27" s="580"/>
      <c r="W27" s="581"/>
      <c r="X27" s="581"/>
      <c r="Y27" s="582"/>
      <c r="Z27" s="580"/>
      <c r="AA27" s="581"/>
      <c r="AB27" s="581"/>
      <c r="AC27" s="582"/>
      <c r="AD27" s="580"/>
      <c r="AE27" s="581"/>
      <c r="AF27" s="581"/>
      <c r="AG27" s="582"/>
      <c r="AH27" s="580"/>
      <c r="AI27" s="581"/>
      <c r="AJ27" s="581"/>
      <c r="AK27" s="582"/>
      <c r="AL27" s="580"/>
      <c r="AM27" s="581"/>
      <c r="AN27" s="581"/>
      <c r="AO27" s="582"/>
      <c r="AP27" s="580"/>
      <c r="AQ27" s="581"/>
      <c r="AR27" s="581"/>
      <c r="AS27" s="582"/>
      <c r="AT27" s="580"/>
      <c r="AU27" s="581"/>
      <c r="AV27" s="581"/>
      <c r="AW27" s="582"/>
      <c r="AX27" s="580"/>
      <c r="AY27" s="581"/>
      <c r="AZ27" s="581"/>
      <c r="BA27" s="582"/>
      <c r="BB27" s="174">
        <f t="shared" si="46"/>
        <v>43422601.978800006</v>
      </c>
      <c r="BC27" s="174">
        <f>ECONÓMICA!I27</f>
        <v>43422601.978800006</v>
      </c>
      <c r="BD27" s="174">
        <f t="shared" si="45"/>
        <v>0</v>
      </c>
      <c r="BE27" s="176"/>
    </row>
    <row r="28" spans="1:57" ht="16.5" customHeight="1" x14ac:dyDescent="0.35">
      <c r="A28" s="611" t="str">
        <f>ECONÓMICA!B28</f>
        <v>2.7. (A)  Logística Monitoreo Agua Residual</v>
      </c>
      <c r="B28" s="612"/>
      <c r="C28" s="612"/>
      <c r="D28" s="143"/>
      <c r="E28" s="143"/>
      <c r="F28" s="580"/>
      <c r="G28" s="581"/>
      <c r="H28" s="581"/>
      <c r="I28" s="582"/>
      <c r="J28" s="580">
        <f>'2.7 - (A,B y C) logis_Monitoreo'!C3*'2.7 - (A,B y C) logis_Monitoreo'!D3</f>
        <v>34202997</v>
      </c>
      <c r="K28" s="581"/>
      <c r="L28" s="581"/>
      <c r="M28" s="582"/>
      <c r="N28" s="580"/>
      <c r="O28" s="581"/>
      <c r="P28" s="581"/>
      <c r="Q28" s="582"/>
      <c r="R28" s="580"/>
      <c r="S28" s="581"/>
      <c r="T28" s="581"/>
      <c r="U28" s="582"/>
      <c r="V28" s="580"/>
      <c r="W28" s="581"/>
      <c r="X28" s="581"/>
      <c r="Y28" s="582"/>
      <c r="Z28" s="580"/>
      <c r="AA28" s="581"/>
      <c r="AB28" s="581"/>
      <c r="AC28" s="582"/>
      <c r="AD28" s="580"/>
      <c r="AE28" s="581"/>
      <c r="AF28" s="581"/>
      <c r="AG28" s="582"/>
      <c r="AH28" s="580"/>
      <c r="AI28" s="581"/>
      <c r="AJ28" s="581"/>
      <c r="AK28" s="582"/>
      <c r="AL28" s="580"/>
      <c r="AM28" s="581"/>
      <c r="AN28" s="581"/>
      <c r="AO28" s="582"/>
      <c r="AP28" s="580"/>
      <c r="AQ28" s="581"/>
      <c r="AR28" s="581"/>
      <c r="AS28" s="582"/>
      <c r="AT28" s="580"/>
      <c r="AU28" s="581"/>
      <c r="AV28" s="581"/>
      <c r="AW28" s="582"/>
      <c r="AX28" s="580"/>
      <c r="AY28" s="581"/>
      <c r="AZ28" s="581"/>
      <c r="BA28" s="582"/>
      <c r="BB28" s="174">
        <f t="shared" si="46"/>
        <v>35629261.9749</v>
      </c>
      <c r="BC28" s="174">
        <f>ECONÓMICA!I28</f>
        <v>35629261.974900007</v>
      </c>
      <c r="BD28" s="174">
        <f t="shared" si="45"/>
        <v>0</v>
      </c>
      <c r="BE28" s="176"/>
    </row>
    <row r="29" spans="1:57" ht="16.5" customHeight="1" x14ac:dyDescent="0.35">
      <c r="A29" s="611" t="str">
        <f>ECONÓMICA!B29</f>
        <v>2.7. (B)  Logística Monitoreo Biota</v>
      </c>
      <c r="B29" s="612"/>
      <c r="C29" s="612"/>
      <c r="D29" s="143"/>
      <c r="E29" s="143"/>
      <c r="F29" s="580"/>
      <c r="G29" s="581"/>
      <c r="H29" s="581"/>
      <c r="I29" s="582"/>
      <c r="J29" s="580">
        <f>('2.7 - (A,B y C) logis_Monitoreo'!C4*'2.7 - (A,B y C) logis_Monitoreo'!D4+'2.7 - (A,B y C) logis_Monitoreo'!C5*'2.7 - (A,B y C) logis_Monitoreo'!D5)/2</f>
        <v>66624000</v>
      </c>
      <c r="K29" s="581"/>
      <c r="L29" s="581"/>
      <c r="M29" s="582"/>
      <c r="N29" s="580"/>
      <c r="O29" s="581"/>
      <c r="P29" s="581"/>
      <c r="Q29" s="582"/>
      <c r="R29" s="580"/>
      <c r="S29" s="581"/>
      <c r="T29" s="581"/>
      <c r="U29" s="582"/>
      <c r="V29" s="580"/>
      <c r="W29" s="581"/>
      <c r="X29" s="581"/>
      <c r="Y29" s="582"/>
      <c r="Z29" s="580">
        <f>('2.7 - (A,B y C) logis_Monitoreo'!C4*'2.7 - (A,B y C) logis_Monitoreo'!D4+'2.7 - (A,B y C) logis_Monitoreo'!C5*'2.7 - (A,B y C) logis_Monitoreo'!D5)/2</f>
        <v>66624000</v>
      </c>
      <c r="AA29" s="581"/>
      <c r="AB29" s="581"/>
      <c r="AC29" s="582"/>
      <c r="AD29" s="580"/>
      <c r="AE29" s="581"/>
      <c r="AF29" s="581"/>
      <c r="AG29" s="582"/>
      <c r="AH29" s="580"/>
      <c r="AI29" s="581"/>
      <c r="AJ29" s="581"/>
      <c r="AK29" s="582"/>
      <c r="AL29" s="580"/>
      <c r="AM29" s="581"/>
      <c r="AN29" s="581"/>
      <c r="AO29" s="582"/>
      <c r="AP29" s="580"/>
      <c r="AQ29" s="581"/>
      <c r="AR29" s="581"/>
      <c r="AS29" s="582"/>
      <c r="AT29" s="580"/>
      <c r="AU29" s="581"/>
      <c r="AV29" s="581"/>
      <c r="AW29" s="582"/>
      <c r="AX29" s="580"/>
      <c r="AY29" s="581"/>
      <c r="AZ29" s="581"/>
      <c r="BA29" s="582"/>
      <c r="BB29" s="174">
        <f t="shared" si="46"/>
        <v>138804441.60000002</v>
      </c>
      <c r="BC29" s="174">
        <f>ECONÓMICA!I29</f>
        <v>138804441.59999999</v>
      </c>
      <c r="BD29" s="174">
        <f t="shared" si="45"/>
        <v>0</v>
      </c>
      <c r="BE29" s="176"/>
    </row>
    <row r="30" spans="1:57" ht="16.5" customHeight="1" x14ac:dyDescent="0.35">
      <c r="A30" s="611" t="str">
        <f>ECONÓMICA!B30</f>
        <v>2.7. (C)  Logística Monitoreo Agua Superficial</v>
      </c>
      <c r="B30" s="612"/>
      <c r="C30" s="612"/>
      <c r="D30" s="143"/>
      <c r="E30" s="143"/>
      <c r="F30" s="580"/>
      <c r="G30" s="581"/>
      <c r="H30" s="581"/>
      <c r="I30" s="582"/>
      <c r="J30" s="580">
        <f>('2.7 - (A,B y C) logis_Monitoreo'!C6*'2.7 - (A,B y C) logis_Monitoreo'!D6+'2.7 - (A,B y C) logis_Monitoreo'!C7*'2.7 - (A,B y C) logis_Monitoreo'!D7)/2</f>
        <v>98743992</v>
      </c>
      <c r="K30" s="581"/>
      <c r="L30" s="581"/>
      <c r="M30" s="582"/>
      <c r="N30" s="580"/>
      <c r="O30" s="581"/>
      <c r="P30" s="581"/>
      <c r="Q30" s="582"/>
      <c r="R30" s="580"/>
      <c r="S30" s="581"/>
      <c r="T30" s="581"/>
      <c r="U30" s="582"/>
      <c r="V30" s="580"/>
      <c r="W30" s="581"/>
      <c r="X30" s="581"/>
      <c r="Y30" s="582"/>
      <c r="Z30" s="580">
        <f>('2.7 - (A,B y C) logis_Monitoreo'!C6*'2.7 - (A,B y C) logis_Monitoreo'!D6+'2.7 - (A,B y C) logis_Monitoreo'!C7*'2.7 - (A,B y C) logis_Monitoreo'!D7)/2</f>
        <v>98743992</v>
      </c>
      <c r="AA30" s="581"/>
      <c r="AB30" s="581"/>
      <c r="AC30" s="582"/>
      <c r="AD30" s="580"/>
      <c r="AE30" s="581"/>
      <c r="AF30" s="581"/>
      <c r="AG30" s="582"/>
      <c r="AH30" s="580"/>
      <c r="AI30" s="581"/>
      <c r="AJ30" s="581"/>
      <c r="AK30" s="582"/>
      <c r="AL30" s="580"/>
      <c r="AM30" s="581"/>
      <c r="AN30" s="581"/>
      <c r="AO30" s="582"/>
      <c r="AP30" s="580"/>
      <c r="AQ30" s="581"/>
      <c r="AR30" s="581"/>
      <c r="AS30" s="582"/>
      <c r="AT30" s="580"/>
      <c r="AU30" s="581"/>
      <c r="AV30" s="581"/>
      <c r="AW30" s="582"/>
      <c r="AX30" s="580"/>
      <c r="AY30" s="581"/>
      <c r="AZ30" s="581"/>
      <c r="BA30" s="582"/>
      <c r="BB30" s="174">
        <f t="shared" si="46"/>
        <v>205723232.93280002</v>
      </c>
      <c r="BC30" s="174">
        <f>ECONÓMICA!I30</f>
        <v>205723232.93280002</v>
      </c>
      <c r="BD30" s="174">
        <f t="shared" si="45"/>
        <v>0</v>
      </c>
      <c r="BE30" s="176"/>
    </row>
    <row r="31" spans="1:57" x14ac:dyDescent="0.35">
      <c r="A31" s="611" t="str">
        <f>ECONÓMICA!B31</f>
        <v>2.8. Hidrología (Oferta, Demanda e Indicadores)</v>
      </c>
      <c r="B31" s="612"/>
      <c r="C31" s="612"/>
      <c r="D31" s="143"/>
      <c r="E31" s="143"/>
      <c r="F31" s="580"/>
      <c r="G31" s="581"/>
      <c r="H31" s="581"/>
      <c r="I31" s="582"/>
      <c r="J31" s="580"/>
      <c r="K31" s="581"/>
      <c r="L31" s="581"/>
      <c r="M31" s="582"/>
      <c r="N31" s="580">
        <f>('2.8 - Ofer-Deman-Ind'!H3+'2.8 - Ofer-Deman-Ind'!H4+'2.8 - Ofer-Deman-Ind'!H5+'2.8 - Ofer-Deman-Ind'!H9)/5</f>
        <v>12400000</v>
      </c>
      <c r="O31" s="581"/>
      <c r="P31" s="581"/>
      <c r="Q31" s="582"/>
      <c r="R31" s="580">
        <f>('2.8 - Ofer-Deman-Ind'!H3+'2.8 - Ofer-Deman-Ind'!H4+'2.8 - Ofer-Deman-Ind'!H5+'2.8 - Ofer-Deman-Ind'!H9)/5</f>
        <v>12400000</v>
      </c>
      <c r="S31" s="581"/>
      <c r="T31" s="581"/>
      <c r="U31" s="582"/>
      <c r="V31" s="580">
        <f>('2.8 - Ofer-Deman-Ind'!H3+'2.8 - Ofer-Deman-Ind'!H4+'2.8 - Ofer-Deman-Ind'!H5+'2.8 - Ofer-Deman-Ind'!H9)/5</f>
        <v>12400000</v>
      </c>
      <c r="W31" s="581"/>
      <c r="X31" s="581"/>
      <c r="Y31" s="582"/>
      <c r="Z31" s="580">
        <f>('2.8 - Ofer-Deman-Ind'!H3+'2.8 - Ofer-Deman-Ind'!H4+'2.8 - Ofer-Deman-Ind'!H5+'2.8 - Ofer-Deman-Ind'!H9)/5</f>
        <v>12400000</v>
      </c>
      <c r="AA31" s="581"/>
      <c r="AB31" s="581"/>
      <c r="AC31" s="582"/>
      <c r="AD31" s="580">
        <f>('2.8 - Ofer-Deman-Ind'!H3+'2.8 - Ofer-Deman-Ind'!H4+'2.8 - Ofer-Deman-Ind'!H5+'2.8 - Ofer-Deman-Ind'!H9)/5</f>
        <v>12400000</v>
      </c>
      <c r="AE31" s="581"/>
      <c r="AF31" s="581"/>
      <c r="AG31" s="582"/>
      <c r="AH31" s="580">
        <f>'2.8 - Ofer-Deman-Ind'!H10/2</f>
        <v>2500000</v>
      </c>
      <c r="AI31" s="581"/>
      <c r="AJ31" s="581"/>
      <c r="AK31" s="582"/>
      <c r="AL31" s="580">
        <f>'2.8 - Ofer-Deman-Ind'!H10/2</f>
        <v>2500000</v>
      </c>
      <c r="AM31" s="581"/>
      <c r="AN31" s="581"/>
      <c r="AO31" s="582"/>
      <c r="AP31" s="580"/>
      <c r="AQ31" s="581"/>
      <c r="AR31" s="581"/>
      <c r="AS31" s="582"/>
      <c r="AT31" s="580"/>
      <c r="AU31" s="581"/>
      <c r="AV31" s="581"/>
      <c r="AW31" s="582"/>
      <c r="AX31" s="580"/>
      <c r="AY31" s="581"/>
      <c r="AZ31" s="581"/>
      <c r="BA31" s="582"/>
      <c r="BB31" s="174">
        <f t="shared" si="46"/>
        <v>69793900</v>
      </c>
      <c r="BC31" s="174">
        <f>ECONÓMICA!I31</f>
        <v>69793900</v>
      </c>
      <c r="BD31" s="174">
        <f t="shared" si="45"/>
        <v>0</v>
      </c>
      <c r="BE31" s="176"/>
    </row>
    <row r="32" spans="1:57" x14ac:dyDescent="0.35">
      <c r="A32" s="611" t="str">
        <f>ECONÓMICA!B32</f>
        <v>2.9. Determinación de zonas de recarga hídrica</v>
      </c>
      <c r="B32" s="612"/>
      <c r="C32" s="612"/>
      <c r="D32" s="143"/>
      <c r="E32" s="143"/>
      <c r="F32" s="580"/>
      <c r="G32" s="581"/>
      <c r="H32" s="581"/>
      <c r="I32" s="582"/>
      <c r="J32" s="580"/>
      <c r="K32" s="581"/>
      <c r="L32" s="581"/>
      <c r="M32" s="582"/>
      <c r="N32" s="580"/>
      <c r="O32" s="581"/>
      <c r="P32" s="581"/>
      <c r="Q32" s="582"/>
      <c r="R32" s="580"/>
      <c r="S32" s="581"/>
      <c r="T32" s="581"/>
      <c r="U32" s="582"/>
      <c r="V32" s="580">
        <f>'2.9 - Zonas de Recarga'!H4/2</f>
        <v>7500000</v>
      </c>
      <c r="W32" s="581"/>
      <c r="X32" s="581"/>
      <c r="Y32" s="582"/>
      <c r="Z32" s="580">
        <f>'2.9 - Zonas de Recarga'!H4/2</f>
        <v>7500000</v>
      </c>
      <c r="AA32" s="581"/>
      <c r="AB32" s="581"/>
      <c r="AC32" s="582"/>
      <c r="AD32" s="580"/>
      <c r="AE32" s="581"/>
      <c r="AF32" s="581"/>
      <c r="AG32" s="582"/>
      <c r="AH32" s="580"/>
      <c r="AI32" s="581"/>
      <c r="AJ32" s="581"/>
      <c r="AK32" s="582"/>
      <c r="AL32" s="580"/>
      <c r="AM32" s="581"/>
      <c r="AN32" s="581"/>
      <c r="AO32" s="582"/>
      <c r="AP32" s="580"/>
      <c r="AQ32" s="581"/>
      <c r="AR32" s="581"/>
      <c r="AS32" s="582"/>
      <c r="AT32" s="580"/>
      <c r="AU32" s="581"/>
      <c r="AV32" s="581"/>
      <c r="AW32" s="582"/>
      <c r="AX32" s="580"/>
      <c r="AY32" s="581"/>
      <c r="AZ32" s="581"/>
      <c r="BA32" s="582"/>
      <c r="BB32" s="174">
        <f t="shared" si="46"/>
        <v>15625500.000000002</v>
      </c>
      <c r="BC32" s="174">
        <f>ECONÓMICA!I32</f>
        <v>15625500.000000002</v>
      </c>
      <c r="BD32" s="174">
        <f t="shared" si="45"/>
        <v>0</v>
      </c>
      <c r="BE32" s="176"/>
    </row>
    <row r="33" spans="1:57" ht="16.5" customHeight="1" x14ac:dyDescent="0.35">
      <c r="A33" s="611" t="str">
        <f>ECONÓMICA!B33</f>
        <v>2.10. Impresión y publicaciones medios</v>
      </c>
      <c r="B33" s="612"/>
      <c r="C33" s="612"/>
      <c r="D33" s="143"/>
      <c r="E33" s="143"/>
      <c r="F33" s="580"/>
      <c r="G33" s="581"/>
      <c r="H33" s="581"/>
      <c r="I33" s="582"/>
      <c r="J33" s="580"/>
      <c r="K33" s="581"/>
      <c r="L33" s="581"/>
      <c r="M33" s="582"/>
      <c r="N33" s="580"/>
      <c r="O33" s="581"/>
      <c r="P33" s="581"/>
      <c r="Q33" s="582"/>
      <c r="R33" s="580"/>
      <c r="S33" s="581"/>
      <c r="T33" s="581"/>
      <c r="U33" s="582"/>
      <c r="V33" s="580"/>
      <c r="W33" s="581"/>
      <c r="X33" s="581"/>
      <c r="Y33" s="582"/>
      <c r="Z33" s="580"/>
      <c r="AA33" s="581"/>
      <c r="AB33" s="581"/>
      <c r="AC33" s="582"/>
      <c r="AD33" s="580"/>
      <c r="AE33" s="581"/>
      <c r="AF33" s="581"/>
      <c r="AG33" s="582"/>
      <c r="AH33" s="580"/>
      <c r="AI33" s="581"/>
      <c r="AJ33" s="581"/>
      <c r="AK33" s="582"/>
      <c r="AL33" s="580"/>
      <c r="AM33" s="581"/>
      <c r="AN33" s="581"/>
      <c r="AO33" s="582"/>
      <c r="AP33" s="580"/>
      <c r="AQ33" s="581"/>
      <c r="AR33" s="581"/>
      <c r="AS33" s="582"/>
      <c r="AT33" s="580"/>
      <c r="AU33" s="581"/>
      <c r="AV33" s="581"/>
      <c r="AW33" s="582"/>
      <c r="AX33" s="615">
        <f>'2.10 - Impresiones'!I8</f>
        <v>6409115.333333334</v>
      </c>
      <c r="AY33" s="615"/>
      <c r="AZ33" s="615"/>
      <c r="BA33" s="615"/>
      <c r="BB33" s="174">
        <f t="shared" si="46"/>
        <v>6676375.4427333344</v>
      </c>
      <c r="BC33" s="174">
        <f>ECONÓMICA!I33</f>
        <v>6676375.4427333344</v>
      </c>
      <c r="BD33" s="174">
        <f t="shared" si="45"/>
        <v>0</v>
      </c>
      <c r="BE33" s="176"/>
    </row>
    <row r="34" spans="1:57" x14ac:dyDescent="0.35">
      <c r="D34" s="181" t="s">
        <v>599</v>
      </c>
      <c r="E34" s="178">
        <f>FM!D48</f>
        <v>1.0417000000000001</v>
      </c>
      <c r="F34" s="594">
        <f>SUM(F17:I33)*E34</f>
        <v>12963378.750031114</v>
      </c>
      <c r="G34" s="594"/>
      <c r="H34" s="594"/>
      <c r="I34" s="594"/>
      <c r="J34" s="594">
        <f>SUM(J17:M33)*$E$34</f>
        <v>591170845.58857107</v>
      </c>
      <c r="K34" s="594"/>
      <c r="L34" s="594"/>
      <c r="M34" s="594"/>
      <c r="N34" s="594">
        <f>SUM(N17:Q33)*$E$34</f>
        <v>209388545.08014667</v>
      </c>
      <c r="O34" s="594"/>
      <c r="P34" s="594"/>
      <c r="Q34" s="594"/>
      <c r="R34" s="594">
        <f>SUM(R17:U33)*$E$34</f>
        <v>81437796.250164464</v>
      </c>
      <c r="S34" s="594"/>
      <c r="T34" s="594"/>
      <c r="U34" s="594"/>
      <c r="V34" s="594">
        <f>SUM(V17:Y33)*$E$34</f>
        <v>25359608.125011113</v>
      </c>
      <c r="W34" s="594"/>
      <c r="X34" s="594"/>
      <c r="Y34" s="594"/>
      <c r="Z34" s="594">
        <f>SUM(Z17:AC33)*$E$34</f>
        <v>480901838.3664</v>
      </c>
      <c r="AA34" s="594"/>
      <c r="AB34" s="594"/>
      <c r="AC34" s="594"/>
      <c r="AD34" s="594">
        <f>SUM(AD17:AG33)*$E$34</f>
        <v>22433588.500008889</v>
      </c>
      <c r="AE34" s="594"/>
      <c r="AF34" s="594"/>
      <c r="AG34" s="594"/>
      <c r="AH34" s="594">
        <f>SUM(AH17:AK33)*$E$34</f>
        <v>2604250</v>
      </c>
      <c r="AI34" s="594"/>
      <c r="AJ34" s="594"/>
      <c r="AK34" s="594"/>
      <c r="AL34" s="594">
        <f>SUM(AL17:AO33)*$E$34</f>
        <v>12120758.500008889</v>
      </c>
      <c r="AM34" s="594"/>
      <c r="AN34" s="594"/>
      <c r="AO34" s="594"/>
      <c r="AP34" s="594">
        <f>SUM(AP17:AS33)*$E$34</f>
        <v>0</v>
      </c>
      <c r="AQ34" s="594"/>
      <c r="AR34" s="594"/>
      <c r="AS34" s="594"/>
      <c r="AT34" s="594">
        <f>SUM(AT17:AW33)*$E$34</f>
        <v>4370510.5000088895</v>
      </c>
      <c r="AU34" s="594"/>
      <c r="AV34" s="594"/>
      <c r="AW34" s="594"/>
      <c r="AX34" s="594">
        <f>SUM(AX17:BA33)*$E$34</f>
        <v>11155685.442733334</v>
      </c>
      <c r="AY34" s="594"/>
      <c r="AZ34" s="594"/>
      <c r="BA34" s="594"/>
      <c r="BB34" s="174">
        <f>SUM(BB17:BB33)</f>
        <v>1453906805.1030846</v>
      </c>
      <c r="BC34" s="174">
        <f>ECONÓMICA!I34</f>
        <v>1453906805.1030846</v>
      </c>
      <c r="BD34" s="174">
        <f t="shared" si="45"/>
        <v>0</v>
      </c>
      <c r="BE34" s="176"/>
    </row>
    <row r="35" spans="1:57" x14ac:dyDescent="0.35">
      <c r="F35" s="597"/>
      <c r="G35" s="598"/>
      <c r="H35" s="598"/>
      <c r="I35" s="598"/>
      <c r="J35" s="597"/>
      <c r="K35" s="598"/>
      <c r="L35" s="598"/>
      <c r="M35" s="598"/>
      <c r="N35" s="597"/>
      <c r="O35" s="598"/>
      <c r="P35" s="598"/>
      <c r="Q35" s="598"/>
      <c r="R35" s="597"/>
      <c r="S35" s="598"/>
      <c r="T35" s="598"/>
      <c r="U35" s="598"/>
      <c r="V35" s="597"/>
      <c r="W35" s="598"/>
      <c r="X35" s="598"/>
      <c r="Y35" s="598"/>
      <c r="Z35" s="597"/>
      <c r="AA35" s="598"/>
      <c r="AB35" s="598"/>
      <c r="AC35" s="598"/>
      <c r="AD35" s="597"/>
      <c r="AE35" s="598"/>
      <c r="AF35" s="598"/>
      <c r="AG35" s="598"/>
      <c r="AH35" s="597"/>
      <c r="AI35" s="598"/>
      <c r="AJ35" s="598"/>
      <c r="AK35" s="598"/>
      <c r="AL35" s="597"/>
      <c r="AM35" s="598"/>
      <c r="AN35" s="598"/>
      <c r="AO35" s="598"/>
      <c r="AP35" s="597"/>
      <c r="AQ35" s="598"/>
      <c r="AR35" s="598"/>
      <c r="AS35" s="598"/>
      <c r="AT35" s="597"/>
      <c r="AU35" s="598"/>
      <c r="AV35" s="598"/>
      <c r="AW35" s="598"/>
      <c r="AX35" s="597"/>
      <c r="AY35" s="598"/>
      <c r="AZ35" s="598"/>
      <c r="BA35" s="598"/>
      <c r="BB35" s="161"/>
      <c r="BD35" s="222" t="str">
        <f>IF(ABS(BB34-BC34)&lt;0.001,"OK"," ERROR")</f>
        <v>OK</v>
      </c>
    </row>
    <row r="36" spans="1:57" x14ac:dyDescent="0.35">
      <c r="F36" s="597"/>
      <c r="G36" s="598"/>
      <c r="H36" s="598"/>
      <c r="I36" s="598"/>
      <c r="J36" s="597"/>
      <c r="K36" s="598"/>
      <c r="L36" s="598"/>
      <c r="M36" s="598"/>
      <c r="N36" s="597"/>
      <c r="O36" s="598"/>
      <c r="P36" s="598"/>
      <c r="Q36" s="598"/>
      <c r="R36" s="597"/>
      <c r="S36" s="598"/>
      <c r="T36" s="598"/>
      <c r="U36" s="598"/>
      <c r="V36" s="597"/>
      <c r="W36" s="598"/>
      <c r="X36" s="598"/>
      <c r="Y36" s="598"/>
      <c r="Z36" s="597"/>
      <c r="AA36" s="598"/>
      <c r="AB36" s="598"/>
      <c r="AC36" s="598"/>
      <c r="AD36" s="597"/>
      <c r="AE36" s="598"/>
      <c r="AF36" s="598"/>
      <c r="AG36" s="598"/>
      <c r="AH36" s="597"/>
      <c r="AI36" s="598"/>
      <c r="AJ36" s="598"/>
      <c r="AK36" s="598"/>
      <c r="AL36" s="597"/>
      <c r="AM36" s="598"/>
      <c r="AN36" s="598"/>
      <c r="AO36" s="598"/>
      <c r="AP36" s="597"/>
      <c r="AQ36" s="598"/>
      <c r="AR36" s="598"/>
      <c r="AS36" s="598"/>
      <c r="AT36" s="597"/>
      <c r="AU36" s="598"/>
      <c r="AV36" s="598"/>
      <c r="AW36" s="598"/>
      <c r="AX36" s="597"/>
      <c r="AY36" s="598"/>
      <c r="AZ36" s="598"/>
      <c r="BA36" s="598"/>
      <c r="BD36" s="166" t="s">
        <v>132</v>
      </c>
    </row>
    <row r="37" spans="1:57" x14ac:dyDescent="0.35">
      <c r="A37" s="143" t="s">
        <v>186</v>
      </c>
      <c r="D37" s="161">
        <f ca="1">SUM(F12)+SUM(F34)</f>
        <v>52987560.426031113</v>
      </c>
      <c r="E37" s="169">
        <f ca="1">D37/$D$41</f>
        <v>2.7190125541065941E-2</v>
      </c>
      <c r="F37" s="597"/>
      <c r="G37" s="598"/>
      <c r="H37" s="598"/>
      <c r="I37" s="598"/>
      <c r="J37" s="597"/>
      <c r="K37" s="598"/>
      <c r="L37" s="598"/>
      <c r="M37" s="598"/>
      <c r="N37" s="597"/>
      <c r="O37" s="598"/>
      <c r="P37" s="598"/>
      <c r="Q37" s="598"/>
      <c r="R37" s="597"/>
      <c r="S37" s="598"/>
      <c r="T37" s="598"/>
      <c r="U37" s="598"/>
      <c r="V37" s="597"/>
      <c r="W37" s="598"/>
      <c r="X37" s="598"/>
      <c r="Y37" s="598"/>
      <c r="Z37" s="597"/>
      <c r="AA37" s="598"/>
      <c r="AB37" s="598"/>
      <c r="AC37" s="598"/>
      <c r="AD37" s="597"/>
      <c r="AE37" s="598"/>
      <c r="AF37" s="598"/>
      <c r="AG37" s="598"/>
      <c r="AH37" s="597"/>
      <c r="AI37" s="598"/>
      <c r="AJ37" s="598"/>
      <c r="AK37" s="598"/>
      <c r="AL37" s="597"/>
      <c r="AM37" s="598"/>
      <c r="AN37" s="598"/>
      <c r="AO37" s="598"/>
      <c r="AP37" s="597"/>
      <c r="AQ37" s="598"/>
      <c r="AR37" s="598"/>
      <c r="AS37" s="598"/>
      <c r="AT37" s="597"/>
      <c r="AU37" s="598"/>
      <c r="AV37" s="598"/>
      <c r="AW37" s="598"/>
      <c r="AX37" s="597"/>
      <c r="AY37" s="598"/>
      <c r="AZ37" s="598"/>
      <c r="BA37" s="598"/>
    </row>
    <row r="38" spans="1:57" x14ac:dyDescent="0.35">
      <c r="A38" s="143" t="s">
        <v>187</v>
      </c>
      <c r="D38" s="161">
        <f ca="1">SUM(J12:AG12)+SUM(J34:AG34)</f>
        <v>1742410710.3983021</v>
      </c>
      <c r="E38" s="169">
        <f ca="1">D38/$D$41</f>
        <v>0.89410355145456388</v>
      </c>
      <c r="F38" s="597"/>
      <c r="G38" s="598"/>
      <c r="H38" s="598"/>
      <c r="I38" s="598"/>
      <c r="J38" s="597"/>
      <c r="K38" s="598"/>
      <c r="L38" s="598"/>
      <c r="M38" s="598"/>
      <c r="N38" s="597"/>
      <c r="O38" s="598"/>
      <c r="P38" s="598"/>
      <c r="Q38" s="598"/>
      <c r="R38" s="597"/>
      <c r="S38" s="598"/>
      <c r="T38" s="598"/>
      <c r="U38" s="598"/>
      <c r="V38" s="597"/>
      <c r="W38" s="598"/>
      <c r="X38" s="598"/>
      <c r="Y38" s="598"/>
      <c r="Z38" s="597"/>
      <c r="AA38" s="598"/>
      <c r="AB38" s="598"/>
      <c r="AC38" s="598"/>
      <c r="AD38" s="597"/>
      <c r="AE38" s="598"/>
      <c r="AF38" s="598"/>
      <c r="AG38" s="598"/>
      <c r="AH38" s="597"/>
      <c r="AI38" s="598"/>
      <c r="AJ38" s="598"/>
      <c r="AK38" s="598"/>
      <c r="AL38" s="597"/>
      <c r="AM38" s="598"/>
      <c r="AN38" s="598"/>
      <c r="AO38" s="598"/>
      <c r="AP38" s="597"/>
      <c r="AQ38" s="598"/>
      <c r="AR38" s="598"/>
      <c r="AS38" s="598"/>
      <c r="AT38" s="597"/>
      <c r="AU38" s="598"/>
      <c r="AV38" s="598"/>
      <c r="AW38" s="598"/>
      <c r="AX38" s="597"/>
      <c r="AY38" s="598"/>
      <c r="AZ38" s="598"/>
      <c r="BA38" s="598"/>
    </row>
    <row r="39" spans="1:57" x14ac:dyDescent="0.35">
      <c r="A39" s="143" t="s">
        <v>188</v>
      </c>
      <c r="D39" s="161">
        <f ca="1">ROUND(SUM(AH12:AO12)+SUM(AH34:AO34),4)</f>
        <v>76956034.700000003</v>
      </c>
      <c r="E39" s="169">
        <f ca="1">ROUND(D39/$D$41,4)</f>
        <v>3.95E-2</v>
      </c>
      <c r="F39" s="597"/>
      <c r="G39" s="598"/>
      <c r="H39" s="598"/>
      <c r="I39" s="598"/>
      <c r="J39" s="597"/>
      <c r="K39" s="598"/>
      <c r="L39" s="598"/>
      <c r="M39" s="598"/>
      <c r="N39" s="597"/>
      <c r="O39" s="598"/>
      <c r="P39" s="598"/>
      <c r="Q39" s="598"/>
      <c r="R39" s="597"/>
      <c r="S39" s="598"/>
      <c r="T39" s="598"/>
      <c r="U39" s="598"/>
      <c r="V39" s="597"/>
      <c r="W39" s="598"/>
      <c r="X39" s="598"/>
      <c r="Y39" s="598"/>
      <c r="Z39" s="597"/>
      <c r="AA39" s="598"/>
      <c r="AB39" s="598"/>
      <c r="AC39" s="598"/>
      <c r="AD39" s="597"/>
      <c r="AE39" s="598"/>
      <c r="AF39" s="598"/>
      <c r="AG39" s="598"/>
      <c r="AH39" s="597"/>
      <c r="AI39" s="598"/>
      <c r="AJ39" s="598"/>
      <c r="AK39" s="598"/>
      <c r="AL39" s="597"/>
      <c r="AM39" s="598"/>
      <c r="AN39" s="598"/>
      <c r="AO39" s="598"/>
      <c r="AP39" s="597"/>
      <c r="AQ39" s="598"/>
      <c r="AR39" s="598"/>
      <c r="AS39" s="598"/>
      <c r="AT39" s="597"/>
      <c r="AU39" s="598"/>
      <c r="AV39" s="598"/>
      <c r="AW39" s="598"/>
      <c r="AX39" s="597"/>
      <c r="AY39" s="598"/>
      <c r="AZ39" s="598"/>
      <c r="BA39" s="598"/>
    </row>
    <row r="40" spans="1:57" x14ac:dyDescent="0.35">
      <c r="A40" s="143" t="s">
        <v>189</v>
      </c>
      <c r="D40" s="161">
        <f ca="1">ROUND(SUM(AP12:BA12)+SUM(AP34:BA34),4)</f>
        <v>76425237.598700002</v>
      </c>
      <c r="E40" s="185">
        <f ca="1">ROUND((D40/$D$41),4)</f>
        <v>3.9199999999999999E-2</v>
      </c>
      <c r="F40" s="597"/>
      <c r="G40" s="598"/>
      <c r="H40" s="598"/>
      <c r="I40" s="598"/>
      <c r="J40" s="597"/>
      <c r="K40" s="598"/>
      <c r="L40" s="598"/>
      <c r="M40" s="598"/>
      <c r="N40" s="597"/>
      <c r="O40" s="598"/>
      <c r="P40" s="598"/>
      <c r="Q40" s="598"/>
      <c r="R40" s="597"/>
      <c r="S40" s="598"/>
      <c r="T40" s="598"/>
      <c r="U40" s="598"/>
      <c r="V40" s="597"/>
      <c r="W40" s="598"/>
      <c r="X40" s="598"/>
      <c r="Y40" s="598"/>
      <c r="Z40" s="597"/>
      <c r="AA40" s="598"/>
      <c r="AB40" s="598"/>
      <c r="AC40" s="598"/>
      <c r="AD40" s="597"/>
      <c r="AE40" s="598"/>
      <c r="AF40" s="598"/>
      <c r="AG40" s="598"/>
      <c r="AH40" s="597"/>
      <c r="AI40" s="598"/>
      <c r="AJ40" s="598"/>
      <c r="AK40" s="598"/>
      <c r="AL40" s="597"/>
      <c r="AM40" s="598"/>
      <c r="AN40" s="598"/>
      <c r="AO40" s="598"/>
      <c r="AP40" s="597"/>
      <c r="AQ40" s="598"/>
      <c r="AR40" s="598"/>
      <c r="AS40" s="598"/>
      <c r="AT40" s="597"/>
      <c r="AU40" s="598"/>
      <c r="AV40" s="598"/>
      <c r="AW40" s="598"/>
      <c r="AX40" s="597"/>
      <c r="AY40" s="598"/>
      <c r="AZ40" s="598"/>
      <c r="BA40" s="598"/>
    </row>
    <row r="41" spans="1:57" x14ac:dyDescent="0.35">
      <c r="D41" s="179">
        <f ca="1">ROUND(SUM(D37:D40),0)</f>
        <v>1948779543</v>
      </c>
      <c r="E41" s="180">
        <f ca="1">ROUND(SUM(E37:E39),0)</f>
        <v>1</v>
      </c>
      <c r="F41" s="597"/>
      <c r="G41" s="598"/>
      <c r="H41" s="598"/>
      <c r="I41" s="598"/>
      <c r="J41" s="597"/>
      <c r="K41" s="598"/>
      <c r="L41" s="598"/>
      <c r="M41" s="598"/>
      <c r="N41" s="597"/>
      <c r="O41" s="598"/>
      <c r="P41" s="598"/>
      <c r="Q41" s="598"/>
      <c r="R41" s="597"/>
      <c r="S41" s="598"/>
      <c r="T41" s="598"/>
      <c r="U41" s="598"/>
      <c r="V41" s="597"/>
      <c r="W41" s="598"/>
      <c r="X41" s="598"/>
      <c r="Y41" s="598"/>
      <c r="Z41" s="597"/>
      <c r="AA41" s="598"/>
      <c r="AB41" s="598"/>
      <c r="AC41" s="598"/>
      <c r="AD41" s="597"/>
      <c r="AE41" s="598"/>
      <c r="AF41" s="598"/>
      <c r="AG41" s="598"/>
      <c r="AH41" s="597"/>
      <c r="AI41" s="598"/>
      <c r="AJ41" s="598"/>
      <c r="AK41" s="598"/>
      <c r="AL41" s="597"/>
      <c r="AM41" s="598"/>
      <c r="AN41" s="598"/>
      <c r="AO41" s="598"/>
      <c r="AP41" s="597"/>
      <c r="AQ41" s="598"/>
      <c r="AR41" s="598"/>
      <c r="AS41" s="598"/>
      <c r="AT41" s="597"/>
      <c r="AU41" s="598"/>
      <c r="AV41" s="598"/>
      <c r="AW41" s="598"/>
      <c r="AX41" s="597"/>
      <c r="AY41" s="598"/>
      <c r="AZ41" s="598"/>
      <c r="BA41" s="598"/>
    </row>
    <row r="42" spans="1:57" x14ac:dyDescent="0.35">
      <c r="D42" s="178">
        <f ca="1">ECONÓMICA!H36</f>
        <v>1948779543</v>
      </c>
      <c r="E42" s="222" t="str">
        <f ca="1">IF(ABS(D42-D41)&lt;0.001,"OK"," ERROR")</f>
        <v>OK</v>
      </c>
      <c r="F42" s="597"/>
      <c r="G42" s="598"/>
      <c r="H42" s="598"/>
      <c r="I42" s="598"/>
      <c r="J42" s="597"/>
      <c r="K42" s="598"/>
      <c r="L42" s="598"/>
      <c r="M42" s="598"/>
      <c r="N42" s="597"/>
      <c r="O42" s="598"/>
      <c r="P42" s="598"/>
      <c r="Q42" s="598"/>
      <c r="R42" s="597"/>
      <c r="S42" s="598"/>
      <c r="T42" s="598"/>
      <c r="U42" s="598"/>
      <c r="V42" s="597"/>
      <c r="W42" s="598"/>
      <c r="X42" s="598"/>
      <c r="Y42" s="598"/>
      <c r="Z42" s="597"/>
      <c r="AA42" s="598"/>
      <c r="AB42" s="598"/>
      <c r="AC42" s="598"/>
      <c r="AD42" s="597"/>
      <c r="AE42" s="598"/>
      <c r="AF42" s="598"/>
      <c r="AG42" s="598"/>
      <c r="AH42" s="597"/>
      <c r="AI42" s="598"/>
      <c r="AJ42" s="598"/>
      <c r="AK42" s="598"/>
      <c r="AL42" s="597"/>
      <c r="AM42" s="598"/>
      <c r="AN42" s="598"/>
      <c r="AO42" s="598"/>
      <c r="AP42" s="597"/>
      <c r="AQ42" s="598"/>
      <c r="AR42" s="598"/>
      <c r="AS42" s="598"/>
      <c r="AT42" s="597"/>
      <c r="AU42" s="598"/>
      <c r="AV42" s="598"/>
      <c r="AW42" s="598"/>
      <c r="AX42" s="597"/>
      <c r="AY42" s="598"/>
      <c r="AZ42" s="598"/>
      <c r="BA42" s="598"/>
    </row>
    <row r="43" spans="1:57" x14ac:dyDescent="0.35">
      <c r="E43" s="166" t="s">
        <v>133</v>
      </c>
      <c r="F43" s="597"/>
      <c r="G43" s="598"/>
      <c r="H43" s="598"/>
      <c r="I43" s="598"/>
      <c r="J43" s="597"/>
      <c r="K43" s="598"/>
      <c r="L43" s="598"/>
      <c r="M43" s="598"/>
      <c r="N43" s="597"/>
      <c r="O43" s="598"/>
      <c r="P43" s="598"/>
      <c r="Q43" s="598"/>
      <c r="R43" s="597"/>
      <c r="S43" s="598"/>
      <c r="T43" s="598"/>
      <c r="U43" s="598"/>
      <c r="V43" s="597"/>
      <c r="W43" s="598"/>
      <c r="X43" s="598"/>
      <c r="Y43" s="598"/>
      <c r="Z43" s="597"/>
      <c r="AA43" s="598"/>
      <c r="AB43" s="598"/>
      <c r="AC43" s="598"/>
      <c r="AD43" s="597"/>
      <c r="AE43" s="598"/>
      <c r="AF43" s="598"/>
      <c r="AG43" s="598"/>
      <c r="AH43" s="597"/>
      <c r="AI43" s="598"/>
      <c r="AJ43" s="598"/>
      <c r="AK43" s="598"/>
      <c r="AL43" s="597"/>
      <c r="AM43" s="598"/>
      <c r="AN43" s="598"/>
      <c r="AO43" s="598"/>
      <c r="AP43" s="597"/>
      <c r="AQ43" s="598"/>
      <c r="AR43" s="598"/>
      <c r="AS43" s="598"/>
      <c r="AT43" s="597"/>
      <c r="AU43" s="598"/>
      <c r="AV43" s="598"/>
      <c r="AW43" s="598"/>
      <c r="AX43" s="597"/>
      <c r="AY43" s="598"/>
      <c r="AZ43" s="598"/>
      <c r="BA43" s="598"/>
    </row>
    <row r="44" spans="1:57" x14ac:dyDescent="0.35">
      <c r="E44" s="166"/>
      <c r="F44" s="597"/>
      <c r="G44" s="598"/>
      <c r="H44" s="598"/>
      <c r="I44" s="598"/>
      <c r="J44" s="597"/>
      <c r="K44" s="598"/>
      <c r="L44" s="598"/>
      <c r="M44" s="598"/>
      <c r="N44" s="597"/>
      <c r="O44" s="598"/>
      <c r="P44" s="598"/>
      <c r="Q44" s="598"/>
      <c r="R44" s="597"/>
      <c r="S44" s="598"/>
      <c r="T44" s="598"/>
      <c r="U44" s="598"/>
      <c r="V44" s="597"/>
      <c r="W44" s="598"/>
      <c r="X44" s="598"/>
      <c r="Y44" s="598"/>
      <c r="Z44" s="597"/>
      <c r="AA44" s="598"/>
      <c r="AB44" s="598"/>
      <c r="AC44" s="598"/>
      <c r="AD44" s="597"/>
      <c r="AE44" s="598"/>
      <c r="AF44" s="598"/>
      <c r="AG44" s="598"/>
      <c r="AH44" s="597"/>
      <c r="AI44" s="598"/>
      <c r="AJ44" s="598"/>
      <c r="AK44" s="598"/>
      <c r="AL44" s="597"/>
      <c r="AM44" s="598"/>
      <c r="AN44" s="598"/>
      <c r="AO44" s="598"/>
      <c r="AP44" s="597"/>
      <c r="AQ44" s="598"/>
      <c r="AR44" s="598"/>
      <c r="AS44" s="598"/>
      <c r="AT44" s="597"/>
      <c r="AU44" s="598"/>
      <c r="AV44" s="598"/>
      <c r="AW44" s="598"/>
      <c r="AX44" s="597"/>
      <c r="AY44" s="598"/>
      <c r="AZ44" s="598"/>
      <c r="BA44" s="598"/>
    </row>
    <row r="45" spans="1:57" x14ac:dyDescent="0.35">
      <c r="E45" s="167" t="s">
        <v>307</v>
      </c>
      <c r="F45" s="642">
        <f ca="1">SUM(F12)</f>
        <v>40024181.675999999</v>
      </c>
      <c r="G45" s="642"/>
      <c r="H45" s="642"/>
      <c r="I45" s="642"/>
      <c r="J45" s="642">
        <f>F17*E34</f>
        <v>8296562.7500311136</v>
      </c>
      <c r="K45" s="642"/>
      <c r="L45" s="642"/>
      <c r="M45" s="642"/>
      <c r="N45" s="642">
        <f>F18*E34</f>
        <v>4666816</v>
      </c>
      <c r="O45" s="642"/>
      <c r="P45" s="642"/>
      <c r="Q45" s="642"/>
      <c r="R45" s="642"/>
      <c r="S45" s="642"/>
      <c r="T45" s="642"/>
      <c r="U45" s="642"/>
      <c r="V45" s="642"/>
      <c r="W45" s="642"/>
      <c r="X45" s="642"/>
      <c r="Y45" s="642"/>
      <c r="Z45" s="642"/>
      <c r="AA45" s="642"/>
      <c r="AB45" s="642"/>
      <c r="AC45" s="642"/>
      <c r="AD45" s="642"/>
      <c r="AE45" s="642"/>
      <c r="AF45" s="642"/>
      <c r="AG45" s="642"/>
      <c r="AH45" s="597"/>
      <c r="AI45" s="598"/>
      <c r="AJ45" s="598"/>
      <c r="AK45" s="598"/>
      <c r="AL45" s="597"/>
      <c r="AM45" s="598"/>
      <c r="AN45" s="598"/>
      <c r="AO45" s="598"/>
      <c r="AP45" s="597"/>
      <c r="AQ45" s="598"/>
      <c r="AR45" s="598"/>
      <c r="AS45" s="598"/>
      <c r="AT45" s="597"/>
      <c r="AU45" s="598"/>
      <c r="AV45" s="598"/>
      <c r="AW45" s="598"/>
      <c r="AX45" s="597"/>
      <c r="AY45" s="598"/>
      <c r="AZ45" s="598"/>
      <c r="BA45" s="598"/>
      <c r="BB45" s="167"/>
    </row>
    <row r="46" spans="1:57" x14ac:dyDescent="0.35">
      <c r="A46" s="628" t="s">
        <v>600</v>
      </c>
      <c r="B46" s="628"/>
      <c r="C46" s="628"/>
      <c r="E46" s="359">
        <f>SUM('PLAN DE CARGAS'!C4:F66)</f>
        <v>16.760000000000005</v>
      </c>
      <c r="F46" s="627" t="s">
        <v>116</v>
      </c>
      <c r="G46" s="627"/>
      <c r="H46" s="627"/>
      <c r="I46" s="627"/>
      <c r="J46" s="626" t="s">
        <v>103</v>
      </c>
      <c r="K46" s="626"/>
      <c r="L46" s="626"/>
      <c r="M46" s="626"/>
      <c r="N46" s="627" t="s">
        <v>104</v>
      </c>
      <c r="O46" s="627"/>
      <c r="P46" s="627"/>
      <c r="Q46" s="627"/>
      <c r="R46" s="626"/>
      <c r="S46" s="626"/>
      <c r="T46" s="626"/>
      <c r="U46" s="626"/>
      <c r="V46" s="627"/>
      <c r="W46" s="627"/>
      <c r="X46" s="627"/>
      <c r="Y46" s="627"/>
      <c r="Z46" s="626"/>
      <c r="AA46" s="626"/>
      <c r="AB46" s="626"/>
      <c r="AC46" s="626"/>
      <c r="AD46" s="627"/>
      <c r="AE46" s="627"/>
      <c r="AF46" s="627"/>
      <c r="AG46" s="627"/>
      <c r="AH46" s="626"/>
      <c r="AI46" s="626"/>
      <c r="AJ46" s="626"/>
      <c r="AK46" s="626"/>
      <c r="AL46" s="676"/>
      <c r="AM46" s="677"/>
      <c r="AN46" s="677"/>
      <c r="AO46" s="678"/>
      <c r="AP46" s="626"/>
      <c r="AQ46" s="626"/>
      <c r="AR46" s="626"/>
      <c r="AS46" s="626"/>
      <c r="AT46" s="676"/>
      <c r="AU46" s="677"/>
      <c r="AV46" s="677"/>
      <c r="AW46" s="678"/>
      <c r="AX46" s="626"/>
      <c r="AY46" s="626"/>
      <c r="AZ46" s="626"/>
      <c r="BA46" s="626"/>
      <c r="BB46" s="316"/>
    </row>
    <row r="47" spans="1:57" x14ac:dyDescent="0.35">
      <c r="A47" s="657" t="s">
        <v>190</v>
      </c>
      <c r="B47" s="657"/>
      <c r="C47" s="657"/>
      <c r="D47" s="161">
        <f ca="1">SUM(F47:BB47)</f>
        <v>1862700.5791933169</v>
      </c>
      <c r="E47" s="219">
        <f>SUM('PLAN DE CARGAS'!C4:F10)/E46</f>
        <v>4.6539379474940322E-2</v>
      </c>
      <c r="F47" s="630">
        <f ca="1">E47*$F$45</f>
        <v>1862700.5791933169</v>
      </c>
      <c r="G47" s="630"/>
      <c r="H47" s="630"/>
      <c r="I47" s="630"/>
      <c r="J47" s="630"/>
      <c r="K47" s="630"/>
      <c r="L47" s="630"/>
      <c r="M47" s="630"/>
      <c r="N47" s="630"/>
      <c r="O47" s="630"/>
      <c r="P47" s="630"/>
      <c r="Q47" s="630"/>
      <c r="R47" s="630"/>
      <c r="S47" s="630"/>
      <c r="T47" s="630"/>
      <c r="U47" s="630"/>
      <c r="V47" s="630"/>
      <c r="W47" s="630"/>
      <c r="X47" s="630"/>
      <c r="Y47" s="630"/>
      <c r="Z47" s="630"/>
      <c r="AA47" s="630"/>
      <c r="AB47" s="630"/>
      <c r="AC47" s="630"/>
      <c r="AD47" s="630"/>
      <c r="AE47" s="630"/>
      <c r="AF47" s="630"/>
      <c r="AG47" s="630"/>
      <c r="AH47" s="679"/>
      <c r="AI47" s="679"/>
      <c r="AJ47" s="679"/>
      <c r="AK47" s="679"/>
      <c r="AL47" s="632"/>
      <c r="AM47" s="632"/>
      <c r="AN47" s="632"/>
      <c r="AO47" s="632"/>
      <c r="AP47" s="632"/>
      <c r="AQ47" s="632"/>
      <c r="AR47" s="632"/>
      <c r="AS47" s="632"/>
      <c r="AT47" s="632"/>
      <c r="AU47" s="632"/>
      <c r="AV47" s="632"/>
      <c r="AW47" s="632"/>
      <c r="AX47" s="632"/>
      <c r="AY47" s="632"/>
      <c r="AZ47" s="632"/>
      <c r="BA47" s="632"/>
      <c r="BC47" s="169">
        <f ca="1">D47/$D$56</f>
        <v>3.5153544798379344E-2</v>
      </c>
      <c r="BD47" s="185">
        <f ca="1">$E$37*BC47</f>
        <v>9.5582929628141992E-4</v>
      </c>
    </row>
    <row r="48" spans="1:57" x14ac:dyDescent="0.35">
      <c r="A48" s="658" t="s">
        <v>191</v>
      </c>
      <c r="B48" s="658"/>
      <c r="C48" s="658"/>
      <c r="D48" s="161">
        <f t="shared" ref="D48:D55" ca="1" si="47">SUM(F48:BB48)</f>
        <v>5826909.5041431943</v>
      </c>
      <c r="E48" s="219">
        <f>SUM('PLAN DE CARGAS'!C11:F17)/E46</f>
        <v>0.14558472553699275</v>
      </c>
      <c r="F48" s="633">
        <f t="shared" ref="F48:F55" ca="1" si="48">E48*$F$45</f>
        <v>5826909.5041431943</v>
      </c>
      <c r="G48" s="633"/>
      <c r="H48" s="633"/>
      <c r="I48" s="633"/>
      <c r="J48" s="633"/>
      <c r="K48" s="633"/>
      <c r="L48" s="633"/>
      <c r="M48" s="633"/>
      <c r="N48" s="633"/>
      <c r="O48" s="633"/>
      <c r="P48" s="633"/>
      <c r="Q48" s="633"/>
      <c r="R48" s="633"/>
      <c r="S48" s="633"/>
      <c r="T48" s="633"/>
      <c r="U48" s="633"/>
      <c r="V48" s="633"/>
      <c r="W48" s="633"/>
      <c r="X48" s="633"/>
      <c r="Y48" s="633"/>
      <c r="Z48" s="633"/>
      <c r="AA48" s="633"/>
      <c r="AB48" s="633"/>
      <c r="AC48" s="633"/>
      <c r="AD48" s="633"/>
      <c r="AE48" s="633"/>
      <c r="AF48" s="633"/>
      <c r="AG48" s="633"/>
      <c r="AH48" s="679"/>
      <c r="AI48" s="679"/>
      <c r="AJ48" s="679"/>
      <c r="AK48" s="679"/>
      <c r="AL48" s="632"/>
      <c r="AM48" s="632"/>
      <c r="AN48" s="632"/>
      <c r="AO48" s="632"/>
      <c r="AP48" s="632"/>
      <c r="AQ48" s="632"/>
      <c r="AR48" s="632"/>
      <c r="AS48" s="632"/>
      <c r="AT48" s="632"/>
      <c r="AU48" s="632"/>
      <c r="AV48" s="632"/>
      <c r="AW48" s="632"/>
      <c r="AX48" s="632"/>
      <c r="AY48" s="632"/>
      <c r="AZ48" s="632"/>
      <c r="BA48" s="632"/>
      <c r="BC48" s="169">
        <f t="shared" ref="BC48:BC55" ca="1" si="49">D48/$D$56</f>
        <v>0.10996749911287892</v>
      </c>
      <c r="BD48" s="185">
        <f t="shared" ref="BD48:BD55" ca="1" si="50">$E$37*BC48</f>
        <v>2.9900301063162356E-3</v>
      </c>
    </row>
    <row r="49" spans="1:57" x14ac:dyDescent="0.35">
      <c r="A49" s="657" t="s">
        <v>192</v>
      </c>
      <c r="B49" s="657"/>
      <c r="C49" s="657"/>
      <c r="D49" s="161">
        <f t="shared" ca="1" si="47"/>
        <v>8702601.6040537432</v>
      </c>
      <c r="E49" s="219">
        <f>SUM('PLAN DE CARGAS'!C18:F24)/E46</f>
        <v>5.548926014319807E-2</v>
      </c>
      <c r="F49" s="633">
        <f t="shared" ca="1" si="48"/>
        <v>2220912.2290381854</v>
      </c>
      <c r="G49" s="633"/>
      <c r="H49" s="633"/>
      <c r="I49" s="633"/>
      <c r="J49" s="633">
        <f>J45/J57</f>
        <v>4148281.3750155568</v>
      </c>
      <c r="K49" s="633"/>
      <c r="L49" s="633"/>
      <c r="M49" s="633"/>
      <c r="N49" s="633">
        <f>N45/N57</f>
        <v>2333408</v>
      </c>
      <c r="O49" s="633"/>
      <c r="P49" s="633"/>
      <c r="Q49" s="633"/>
      <c r="R49" s="633"/>
      <c r="S49" s="633"/>
      <c r="T49" s="633"/>
      <c r="U49" s="633"/>
      <c r="V49" s="633"/>
      <c r="W49" s="633"/>
      <c r="X49" s="633"/>
      <c r="Y49" s="633"/>
      <c r="Z49" s="633"/>
      <c r="AA49" s="633"/>
      <c r="AB49" s="633"/>
      <c r="AC49" s="633"/>
      <c r="AD49" s="633"/>
      <c r="AE49" s="633"/>
      <c r="AF49" s="633"/>
      <c r="AG49" s="633"/>
      <c r="AH49" s="679"/>
      <c r="AI49" s="679"/>
      <c r="AJ49" s="679"/>
      <c r="AK49" s="679"/>
      <c r="AL49" s="632"/>
      <c r="AM49" s="632"/>
      <c r="AN49" s="632"/>
      <c r="AO49" s="632"/>
      <c r="AP49" s="632"/>
      <c r="AQ49" s="632"/>
      <c r="AR49" s="632"/>
      <c r="AS49" s="632"/>
      <c r="AT49" s="632"/>
      <c r="AU49" s="632"/>
      <c r="AV49" s="632"/>
      <c r="AW49" s="632"/>
      <c r="AX49" s="632"/>
      <c r="AY49" s="632"/>
      <c r="AZ49" s="632"/>
      <c r="BA49" s="632"/>
      <c r="BC49" s="169">
        <f t="shared" ca="1" si="49"/>
        <v>0.16423857852829984</v>
      </c>
      <c r="BD49" s="185">
        <f t="shared" ca="1" si="50"/>
        <v>4.4656675688706897E-3</v>
      </c>
    </row>
    <row r="50" spans="1:57" x14ac:dyDescent="0.35">
      <c r="A50" s="658" t="s">
        <v>193</v>
      </c>
      <c r="B50" s="658"/>
      <c r="C50" s="658"/>
      <c r="D50" s="161">
        <f t="shared" ca="1" si="47"/>
        <v>6877663.6770214764</v>
      </c>
      <c r="E50" s="219">
        <f>SUM('PLAN DE CARGAS'!C25:F31)/E46</f>
        <v>0.17183770883054886</v>
      </c>
      <c r="F50" s="633">
        <f t="shared" ca="1" si="48"/>
        <v>6877663.6770214764</v>
      </c>
      <c r="G50" s="633"/>
      <c r="H50" s="633"/>
      <c r="I50" s="633"/>
      <c r="J50" s="633"/>
      <c r="K50" s="633"/>
      <c r="L50" s="633"/>
      <c r="M50" s="633"/>
      <c r="N50" s="633"/>
      <c r="O50" s="633"/>
      <c r="P50" s="633"/>
      <c r="Q50" s="633"/>
      <c r="R50" s="633"/>
      <c r="S50" s="633"/>
      <c r="T50" s="633"/>
      <c r="U50" s="633"/>
      <c r="V50" s="633"/>
      <c r="W50" s="633"/>
      <c r="X50" s="633"/>
      <c r="Y50" s="633"/>
      <c r="Z50" s="633"/>
      <c r="AA50" s="633"/>
      <c r="AB50" s="633"/>
      <c r="AC50" s="633"/>
      <c r="AD50" s="633"/>
      <c r="AE50" s="633"/>
      <c r="AF50" s="633"/>
      <c r="AG50" s="633"/>
      <c r="AH50" s="679"/>
      <c r="AI50" s="679"/>
      <c r="AJ50" s="679"/>
      <c r="AK50" s="679"/>
      <c r="AL50" s="632"/>
      <c r="AM50" s="632"/>
      <c r="AN50" s="632"/>
      <c r="AO50" s="632"/>
      <c r="AP50" s="632"/>
      <c r="AQ50" s="632"/>
      <c r="AR50" s="632"/>
      <c r="AS50" s="632"/>
      <c r="AT50" s="632"/>
      <c r="AU50" s="632"/>
      <c r="AV50" s="632"/>
      <c r="AW50" s="632"/>
      <c r="AX50" s="632"/>
      <c r="AY50" s="632"/>
      <c r="AZ50" s="632"/>
      <c r="BA50" s="632"/>
      <c r="BC50" s="169">
        <f t="shared" ca="1" si="49"/>
        <v>0.12979770387093909</v>
      </c>
      <c r="BD50" s="185">
        <f t="shared" ca="1" si="50"/>
        <v>3.5292158631929343E-3</v>
      </c>
    </row>
    <row r="51" spans="1:57" x14ac:dyDescent="0.35">
      <c r="A51" s="657" t="s">
        <v>646</v>
      </c>
      <c r="B51" s="657"/>
      <c r="C51" s="657"/>
      <c r="D51" s="174">
        <f t="shared" ca="1" si="47"/>
        <v>2101508.3457565629</v>
      </c>
      <c r="E51" s="219">
        <f>SUM('PLAN DE CARGAS'!C32:F38)/E46</f>
        <v>5.2505966587112166E-2</v>
      </c>
      <c r="F51" s="633">
        <f t="shared" ca="1" si="48"/>
        <v>2101508.3457565629</v>
      </c>
      <c r="G51" s="633"/>
      <c r="H51" s="633"/>
      <c r="I51" s="633"/>
      <c r="J51" s="633"/>
      <c r="K51" s="633"/>
      <c r="L51" s="633"/>
      <c r="M51" s="633"/>
      <c r="N51" s="633"/>
      <c r="O51" s="633"/>
      <c r="P51" s="633"/>
      <c r="Q51" s="633"/>
      <c r="R51" s="633"/>
      <c r="S51" s="633"/>
      <c r="T51" s="633"/>
      <c r="U51" s="633"/>
      <c r="V51" s="633"/>
      <c r="W51" s="633"/>
      <c r="X51" s="633"/>
      <c r="Y51" s="633"/>
      <c r="Z51" s="633"/>
      <c r="AA51" s="633"/>
      <c r="AB51" s="633"/>
      <c r="AC51" s="633"/>
      <c r="AD51" s="633"/>
      <c r="AE51" s="633"/>
      <c r="AF51" s="633"/>
      <c r="AG51" s="633"/>
      <c r="AH51" s="679"/>
      <c r="AI51" s="679"/>
      <c r="AJ51" s="679"/>
      <c r="AK51" s="679"/>
      <c r="AL51" s="632"/>
      <c r="AM51" s="632"/>
      <c r="AN51" s="632"/>
      <c r="AO51" s="632"/>
      <c r="AP51" s="632"/>
      <c r="AQ51" s="632"/>
      <c r="AR51" s="632"/>
      <c r="AS51" s="632"/>
      <c r="AT51" s="632"/>
      <c r="AU51" s="632"/>
      <c r="AV51" s="632"/>
      <c r="AW51" s="632"/>
      <c r="AX51" s="632"/>
      <c r="AY51" s="632"/>
      <c r="AZ51" s="632"/>
      <c r="BA51" s="632"/>
      <c r="BC51" s="169">
        <f t="shared" ca="1" si="49"/>
        <v>3.9660409516120286E-2</v>
      </c>
      <c r="BD51" s="185">
        <f t="shared" ca="1" si="50"/>
        <v>1.0783715137533969E-3</v>
      </c>
    </row>
    <row r="52" spans="1:57" x14ac:dyDescent="0.35">
      <c r="A52" s="658" t="s">
        <v>194</v>
      </c>
      <c r="B52" s="658"/>
      <c r="C52" s="658"/>
      <c r="D52" s="161">
        <f t="shared" ca="1" si="47"/>
        <v>3223904.848603819</v>
      </c>
      <c r="E52" s="219">
        <f>SUM('PLAN DE CARGAS'!C39:F45)/E46</f>
        <v>8.0548926014319816E-2</v>
      </c>
      <c r="F52" s="633">
        <f t="shared" ca="1" si="48"/>
        <v>3223904.848603819</v>
      </c>
      <c r="G52" s="633"/>
      <c r="H52" s="633"/>
      <c r="I52" s="633"/>
      <c r="J52" s="633"/>
      <c r="K52" s="633"/>
      <c r="L52" s="633"/>
      <c r="M52" s="633"/>
      <c r="N52" s="633"/>
      <c r="O52" s="633"/>
      <c r="P52" s="633"/>
      <c r="Q52" s="633"/>
      <c r="R52" s="633"/>
      <c r="S52" s="633"/>
      <c r="T52" s="633"/>
      <c r="U52" s="633"/>
      <c r="V52" s="633"/>
      <c r="W52" s="633"/>
      <c r="X52" s="633"/>
      <c r="Y52" s="633"/>
      <c r="Z52" s="633"/>
      <c r="AA52" s="633"/>
      <c r="AB52" s="633"/>
      <c r="AC52" s="633"/>
      <c r="AD52" s="633"/>
      <c r="AE52" s="633"/>
      <c r="AF52" s="633"/>
      <c r="AG52" s="633"/>
      <c r="AH52" s="679"/>
      <c r="AI52" s="679"/>
      <c r="AJ52" s="679"/>
      <c r="AK52" s="679"/>
      <c r="AL52" s="632"/>
      <c r="AM52" s="632"/>
      <c r="AN52" s="632"/>
      <c r="AO52" s="632"/>
      <c r="AP52" s="632"/>
      <c r="AQ52" s="632"/>
      <c r="AR52" s="632"/>
      <c r="AS52" s="632"/>
      <c r="AT52" s="632"/>
      <c r="AU52" s="632"/>
      <c r="AV52" s="632"/>
      <c r="AW52" s="632"/>
      <c r="AX52" s="632"/>
      <c r="AY52" s="632"/>
      <c r="AZ52" s="632"/>
      <c r="BA52" s="632"/>
      <c r="BC52" s="169">
        <f ca="1">D52/$D$56</f>
        <v>6.0842673689502733E-2</v>
      </c>
      <c r="BD52" s="185">
        <f t="shared" ca="1" si="50"/>
        <v>1.654319935871689E-3</v>
      </c>
    </row>
    <row r="53" spans="1:57" x14ac:dyDescent="0.35">
      <c r="A53" s="659" t="s">
        <v>195</v>
      </c>
      <c r="B53" s="659"/>
      <c r="C53" s="659"/>
      <c r="D53" s="161">
        <f t="shared" ca="1" si="47"/>
        <v>3080620.1886658696</v>
      </c>
      <c r="E53" s="219">
        <f>SUM('PLAN DE CARGAS'!C46:F52)/E46</f>
        <v>7.6968973747016667E-2</v>
      </c>
      <c r="F53" s="633">
        <f t="shared" ca="1" si="48"/>
        <v>3080620.1886658696</v>
      </c>
      <c r="G53" s="633"/>
      <c r="H53" s="633"/>
      <c r="I53" s="633"/>
      <c r="J53" s="633"/>
      <c r="K53" s="633"/>
      <c r="L53" s="633"/>
      <c r="M53" s="633"/>
      <c r="N53" s="633"/>
      <c r="O53" s="633"/>
      <c r="P53" s="633"/>
      <c r="Q53" s="633"/>
      <c r="R53" s="633"/>
      <c r="S53" s="633"/>
      <c r="T53" s="633"/>
      <c r="U53" s="633"/>
      <c r="V53" s="633"/>
      <c r="W53" s="633"/>
      <c r="X53" s="633"/>
      <c r="Y53" s="633"/>
      <c r="Z53" s="633"/>
      <c r="AA53" s="633"/>
      <c r="AB53" s="633"/>
      <c r="AC53" s="633"/>
      <c r="AD53" s="633"/>
      <c r="AE53" s="633"/>
      <c r="AF53" s="633"/>
      <c r="AG53" s="633"/>
      <c r="AH53" s="679"/>
      <c r="AI53" s="679"/>
      <c r="AJ53" s="679"/>
      <c r="AK53" s="679"/>
      <c r="AL53" s="632"/>
      <c r="AM53" s="632"/>
      <c r="AN53" s="632"/>
      <c r="AO53" s="632"/>
      <c r="AP53" s="632"/>
      <c r="AQ53" s="632"/>
      <c r="AR53" s="632"/>
      <c r="AS53" s="632"/>
      <c r="AT53" s="632"/>
      <c r="AU53" s="632"/>
      <c r="AV53" s="632"/>
      <c r="AW53" s="632"/>
      <c r="AX53" s="632"/>
      <c r="AY53" s="632"/>
      <c r="AZ53" s="632"/>
      <c r="BA53" s="632"/>
      <c r="BC53" s="169">
        <f t="shared" ca="1" si="49"/>
        <v>5.8138554858858132E-2</v>
      </c>
      <c r="BD53" s="185">
        <f t="shared" ca="1" si="50"/>
        <v>1.5807946053885019E-3</v>
      </c>
    </row>
    <row r="54" spans="1:57" x14ac:dyDescent="0.35">
      <c r="A54" s="658" t="s">
        <v>196</v>
      </c>
      <c r="B54" s="658"/>
      <c r="C54" s="658"/>
      <c r="D54" s="161">
        <f t="shared" ca="1" si="47"/>
        <v>11281725.482936798</v>
      </c>
      <c r="E54" s="219">
        <f>SUM('PLAN DE CARGAS'!C53:F59)/E46</f>
        <v>0.11992840095465394</v>
      </c>
      <c r="F54" s="633">
        <f t="shared" ca="1" si="48"/>
        <v>4800036.1079212409</v>
      </c>
      <c r="G54" s="633"/>
      <c r="H54" s="633"/>
      <c r="I54" s="633"/>
      <c r="J54" s="633">
        <f>J45/J57</f>
        <v>4148281.3750155568</v>
      </c>
      <c r="K54" s="633"/>
      <c r="L54" s="633"/>
      <c r="M54" s="633"/>
      <c r="N54" s="633">
        <f>N45/N57</f>
        <v>2333408</v>
      </c>
      <c r="O54" s="633"/>
      <c r="P54" s="633"/>
      <c r="Q54" s="633"/>
      <c r="R54" s="633"/>
      <c r="S54" s="633"/>
      <c r="T54" s="633"/>
      <c r="U54" s="633"/>
      <c r="V54" s="633"/>
      <c r="W54" s="633"/>
      <c r="X54" s="633"/>
      <c r="Y54" s="633"/>
      <c r="Z54" s="633"/>
      <c r="AA54" s="633"/>
      <c r="AB54" s="633"/>
      <c r="AC54" s="633"/>
      <c r="AD54" s="633"/>
      <c r="AE54" s="633"/>
      <c r="AF54" s="633"/>
      <c r="AG54" s="633"/>
      <c r="AH54" s="679"/>
      <c r="AI54" s="679"/>
      <c r="AJ54" s="679"/>
      <c r="AK54" s="679"/>
      <c r="AL54" s="632"/>
      <c r="AM54" s="632"/>
      <c r="AN54" s="632"/>
      <c r="AO54" s="632"/>
      <c r="AP54" s="632"/>
      <c r="AQ54" s="632"/>
      <c r="AR54" s="632"/>
      <c r="AS54" s="632"/>
      <c r="AT54" s="632"/>
      <c r="AU54" s="632"/>
      <c r="AV54" s="632"/>
      <c r="AW54" s="632"/>
      <c r="AX54" s="632"/>
      <c r="AY54" s="632"/>
      <c r="AZ54" s="632"/>
      <c r="BA54" s="632"/>
      <c r="BC54" s="169">
        <f t="shared" ca="1" si="49"/>
        <v>0.21291271747990204</v>
      </c>
      <c r="BD54" s="185">
        <f t="shared" ca="1" si="50"/>
        <v>5.7891235175680416E-3</v>
      </c>
    </row>
    <row r="55" spans="1:57" x14ac:dyDescent="0.35">
      <c r="A55" s="659" t="s">
        <v>197</v>
      </c>
      <c r="B55" s="659"/>
      <c r="C55" s="659"/>
      <c r="D55" s="161">
        <f t="shared" ca="1" si="47"/>
        <v>10029926.195656322</v>
      </c>
      <c r="E55" s="219">
        <f>SUM('PLAN DE CARGAS'!C60:F66)/E46</f>
        <v>0.25059665871121711</v>
      </c>
      <c r="F55" s="633">
        <f t="shared" ca="1" si="48"/>
        <v>10029926.195656322</v>
      </c>
      <c r="G55" s="633"/>
      <c r="H55" s="633"/>
      <c r="I55" s="633"/>
      <c r="J55" s="651"/>
      <c r="K55" s="651"/>
      <c r="L55" s="651"/>
      <c r="M55" s="651"/>
      <c r="N55" s="651"/>
      <c r="O55" s="651"/>
      <c r="P55" s="651"/>
      <c r="Q55" s="651"/>
      <c r="R55" s="651"/>
      <c r="S55" s="651"/>
      <c r="T55" s="651"/>
      <c r="U55" s="651"/>
      <c r="V55" s="651"/>
      <c r="W55" s="651"/>
      <c r="X55" s="651"/>
      <c r="Y55" s="651"/>
      <c r="Z55" s="651"/>
      <c r="AA55" s="651"/>
      <c r="AB55" s="651"/>
      <c r="AC55" s="651"/>
      <c r="AD55" s="651"/>
      <c r="AE55" s="651"/>
      <c r="AF55" s="651"/>
      <c r="AG55" s="651"/>
      <c r="AH55" s="687"/>
      <c r="AI55" s="687"/>
      <c r="AJ55" s="687"/>
      <c r="AK55" s="687"/>
      <c r="AL55" s="686"/>
      <c r="AM55" s="686"/>
      <c r="AN55" s="686"/>
      <c r="AO55" s="686"/>
      <c r="AP55" s="686"/>
      <c r="AQ55" s="686"/>
      <c r="AR55" s="686"/>
      <c r="AS55" s="686"/>
      <c r="AT55" s="686"/>
      <c r="AU55" s="686"/>
      <c r="AV55" s="686"/>
      <c r="AW55" s="686"/>
      <c r="AX55" s="686"/>
      <c r="AY55" s="686"/>
      <c r="AZ55" s="686"/>
      <c r="BA55" s="686"/>
      <c r="BC55" s="169">
        <f t="shared" ca="1" si="49"/>
        <v>0.18928831814511954</v>
      </c>
      <c r="BD55" s="185">
        <f t="shared" ca="1" si="50"/>
        <v>5.1467731338230302E-3</v>
      </c>
    </row>
    <row r="56" spans="1:57" x14ac:dyDescent="0.35">
      <c r="D56" s="161">
        <f ca="1">SUM(D47:D55)</f>
        <v>52987560.426031105</v>
      </c>
      <c r="E56" s="358">
        <f>SUM(E47:E55)</f>
        <v>0.99999999999999978</v>
      </c>
      <c r="F56" s="597">
        <f ca="1">SUM(F47:I55)</f>
        <v>40024181.675999992</v>
      </c>
      <c r="G56" s="597"/>
      <c r="H56" s="597"/>
      <c r="I56" s="597"/>
      <c r="J56" s="597">
        <f>SUM(J47:M55)</f>
        <v>8296562.7500311136</v>
      </c>
      <c r="K56" s="597"/>
      <c r="L56" s="597"/>
      <c r="M56" s="597"/>
      <c r="N56" s="597">
        <f>SUM(N47:Q55)</f>
        <v>4666816</v>
      </c>
      <c r="O56" s="597"/>
      <c r="P56" s="597"/>
      <c r="Q56" s="597"/>
      <c r="R56" s="597">
        <f>SUM(R47:U55)</f>
        <v>0</v>
      </c>
      <c r="S56" s="597"/>
      <c r="T56" s="597"/>
      <c r="U56" s="597"/>
      <c r="V56" s="597">
        <f t="shared" ref="V56" si="51">SUM(V47:Y55)</f>
        <v>0</v>
      </c>
      <c r="W56" s="597"/>
      <c r="X56" s="597"/>
      <c r="Y56" s="597"/>
      <c r="Z56" s="597">
        <f t="shared" ref="Z56" si="52">SUM(Z47:AC55)</f>
        <v>0</v>
      </c>
      <c r="AA56" s="597"/>
      <c r="AB56" s="597"/>
      <c r="AC56" s="597"/>
      <c r="AD56" s="597">
        <f>SUM(AD47:AG55)</f>
        <v>0</v>
      </c>
      <c r="AE56" s="597"/>
      <c r="AF56" s="597"/>
      <c r="AG56" s="597"/>
      <c r="AH56" s="597">
        <f>SUM(AH47:AK55)</f>
        <v>0</v>
      </c>
      <c r="AI56" s="597"/>
      <c r="AJ56" s="597"/>
      <c r="AK56" s="597"/>
      <c r="AL56" s="597">
        <f>SUM(AL47:AO55)</f>
        <v>0</v>
      </c>
      <c r="AM56" s="597"/>
      <c r="AN56" s="597"/>
      <c r="AO56" s="597"/>
      <c r="AP56" s="597">
        <f>SUM(AP47:AS55)</f>
        <v>0</v>
      </c>
      <c r="AQ56" s="597"/>
      <c r="AR56" s="597"/>
      <c r="AS56" s="597"/>
      <c r="AT56" s="597">
        <f>SUM(AT47:AW55)</f>
        <v>0</v>
      </c>
      <c r="AU56" s="597"/>
      <c r="AV56" s="597"/>
      <c r="AW56" s="597"/>
      <c r="AX56" s="597">
        <f>SUM(AX47:BA55)</f>
        <v>0</v>
      </c>
      <c r="AY56" s="597"/>
      <c r="AZ56" s="597"/>
      <c r="BA56" s="597"/>
      <c r="BB56" s="163">
        <f ca="1">SUM(BB47:BB56)</f>
        <v>0</v>
      </c>
      <c r="BC56" s="184">
        <f ca="1">SUM(BC47:BC55)</f>
        <v>0.99999999999999978</v>
      </c>
      <c r="BD56" s="223">
        <f ca="1">SUM(BD47:BD55)</f>
        <v>2.7190125541065938E-2</v>
      </c>
      <c r="BE56" s="222" t="str">
        <f ca="1">IF(ABS(BD56-E37)&lt;0.001,"OK"," ERROR")</f>
        <v>OK</v>
      </c>
    </row>
    <row r="57" spans="1:57" x14ac:dyDescent="0.35">
      <c r="F57" s="163"/>
      <c r="G57" s="163"/>
      <c r="H57" s="163"/>
      <c r="I57" s="163"/>
      <c r="J57" s="183">
        <v>2</v>
      </c>
      <c r="K57" s="183"/>
      <c r="L57" s="183"/>
      <c r="M57" s="183"/>
      <c r="N57" s="183">
        <v>2</v>
      </c>
      <c r="O57" s="183"/>
      <c r="P57" s="183"/>
      <c r="Q57" s="183"/>
      <c r="R57" s="183"/>
      <c r="S57" s="183"/>
      <c r="T57" s="183"/>
      <c r="U57" s="183"/>
      <c r="V57" s="183"/>
      <c r="W57" s="183"/>
      <c r="X57" s="183"/>
      <c r="Y57" s="183"/>
      <c r="Z57" s="183"/>
      <c r="AA57" s="183"/>
      <c r="AB57" s="183"/>
      <c r="AC57" s="183"/>
      <c r="AD57" s="183"/>
      <c r="AE57" s="183"/>
      <c r="AF57" s="183"/>
      <c r="AG57" s="183"/>
      <c r="AH57" s="183"/>
      <c r="AI57" s="183"/>
      <c r="AJ57" s="183"/>
      <c r="AK57" s="183"/>
      <c r="AL57" s="183"/>
      <c r="AM57" s="183"/>
      <c r="AN57" s="183"/>
      <c r="AO57" s="183"/>
      <c r="AP57" s="183"/>
      <c r="AQ57" s="183"/>
      <c r="AR57" s="183"/>
      <c r="AS57" s="183"/>
      <c r="AT57" s="183"/>
      <c r="AU57" s="183"/>
      <c r="AV57" s="183"/>
      <c r="AW57" s="183"/>
      <c r="AX57" s="183"/>
      <c r="AY57" s="183"/>
      <c r="AZ57" s="183"/>
      <c r="BA57" s="183"/>
      <c r="BB57" s="183"/>
      <c r="BE57" s="166" t="s">
        <v>143</v>
      </c>
    </row>
    <row r="58" spans="1:57" x14ac:dyDescent="0.35">
      <c r="F58" s="641"/>
      <c r="G58" s="641"/>
      <c r="H58" s="641"/>
      <c r="I58" s="641"/>
      <c r="J58" s="641"/>
      <c r="K58" s="641"/>
      <c r="L58" s="641"/>
      <c r="M58" s="641"/>
      <c r="N58" s="641"/>
      <c r="O58" s="641"/>
      <c r="P58" s="641"/>
      <c r="Q58" s="641"/>
      <c r="R58" s="641"/>
      <c r="S58" s="641"/>
      <c r="T58" s="641"/>
      <c r="U58" s="641"/>
      <c r="V58" s="641"/>
      <c r="W58" s="641"/>
      <c r="X58" s="641"/>
      <c r="Y58" s="641"/>
      <c r="Z58" s="641"/>
      <c r="AA58" s="641"/>
      <c r="AB58" s="641"/>
      <c r="AC58" s="641"/>
      <c r="AD58" s="641"/>
      <c r="AE58" s="641"/>
      <c r="AF58" s="641"/>
      <c r="AG58" s="641"/>
      <c r="AH58" s="641"/>
      <c r="AI58" s="641"/>
      <c r="AJ58" s="641"/>
      <c r="AK58" s="641"/>
      <c r="AL58" s="641"/>
      <c r="AM58" s="641"/>
      <c r="AN58" s="641"/>
      <c r="AO58" s="641"/>
      <c r="AP58" s="641"/>
      <c r="AQ58" s="641"/>
      <c r="AR58" s="641"/>
      <c r="AS58" s="641"/>
      <c r="AT58" s="641"/>
      <c r="AU58" s="641"/>
      <c r="AV58" s="641"/>
      <c r="AW58" s="641"/>
      <c r="AX58" s="641"/>
      <c r="AY58" s="641"/>
      <c r="AZ58" s="641"/>
      <c r="BA58" s="641"/>
      <c r="BB58" s="170"/>
    </row>
    <row r="59" spans="1:57" x14ac:dyDescent="0.35">
      <c r="A59" s="638" t="s">
        <v>219</v>
      </c>
      <c r="B59" s="638"/>
      <c r="C59" s="638"/>
      <c r="E59" s="167" t="s">
        <v>307</v>
      </c>
      <c r="F59" s="623">
        <f ca="1">SUM(J12:AG12)</f>
        <v>331718488.48800004</v>
      </c>
      <c r="G59" s="624"/>
      <c r="H59" s="624"/>
      <c r="I59" s="624"/>
      <c r="J59" s="623">
        <f>SUM(J17:AG17)*E34</f>
        <v>107262704.12540223</v>
      </c>
      <c r="K59" s="624"/>
      <c r="L59" s="624"/>
      <c r="M59" s="624"/>
      <c r="N59" s="623">
        <f>SUM(J18:AG18)*E34</f>
        <v>68668864</v>
      </c>
      <c r="O59" s="624"/>
      <c r="P59" s="624"/>
      <c r="Q59" s="624"/>
      <c r="R59" s="623">
        <f>J20*E34</f>
        <v>48376548</v>
      </c>
      <c r="S59" s="624"/>
      <c r="T59" s="624"/>
      <c r="U59" s="624"/>
      <c r="V59" s="645">
        <f>SUM(J21:AC23)*E34+SUM(J30:AC30)*E34</f>
        <v>512617278.22800004</v>
      </c>
      <c r="W59" s="645"/>
      <c r="X59" s="645"/>
      <c r="Y59" s="645"/>
      <c r="Z59" s="623"/>
      <c r="AA59" s="624"/>
      <c r="AB59" s="624"/>
      <c r="AC59" s="624"/>
      <c r="AD59" s="623">
        <f>SUM(J24:AC26)*E34+SUM(J29:AC29)*E34</f>
        <v>510024753.60320008</v>
      </c>
      <c r="AE59" s="624"/>
      <c r="AF59" s="624"/>
      <c r="AG59" s="624"/>
      <c r="AH59" s="690">
        <f>SUM(J27:M28)*E34</f>
        <v>79051863.953700006</v>
      </c>
      <c r="AI59" s="691"/>
      <c r="AJ59" s="691"/>
      <c r="AK59" s="691"/>
      <c r="AL59" s="691">
        <f>SUM(N31:AG31)*E34</f>
        <v>64585400.000000007</v>
      </c>
      <c r="AM59" s="691"/>
      <c r="AN59" s="691"/>
      <c r="AO59" s="691"/>
      <c r="AP59" s="691">
        <f>SUM(V32:AC32)*E34</f>
        <v>15625500.000000002</v>
      </c>
      <c r="AQ59" s="691"/>
      <c r="AR59" s="691"/>
      <c r="AS59" s="691"/>
      <c r="AT59" s="691">
        <f>AD19*E34</f>
        <v>4479310</v>
      </c>
      <c r="AU59" s="691"/>
      <c r="AV59" s="691"/>
      <c r="AW59" s="691"/>
      <c r="AX59" s="691"/>
      <c r="AY59" s="692"/>
      <c r="AZ59" s="692"/>
      <c r="BA59" s="692"/>
      <c r="BB59" s="172"/>
    </row>
    <row r="60" spans="1:57" x14ac:dyDescent="0.35">
      <c r="A60" s="660" t="s">
        <v>172</v>
      </c>
      <c r="B60" s="660"/>
      <c r="C60" s="660"/>
      <c r="E60" s="359">
        <f>SUM('PLAN DE CARGAS'!G67:AD185)</f>
        <v>102.44000000000027</v>
      </c>
      <c r="F60" s="627" t="s">
        <v>116</v>
      </c>
      <c r="G60" s="627"/>
      <c r="H60" s="627"/>
      <c r="I60" s="627"/>
      <c r="J60" s="626" t="s">
        <v>103</v>
      </c>
      <c r="K60" s="626"/>
      <c r="L60" s="626"/>
      <c r="M60" s="626"/>
      <c r="N60" s="627" t="s">
        <v>104</v>
      </c>
      <c r="O60" s="627"/>
      <c r="P60" s="627"/>
      <c r="Q60" s="627"/>
      <c r="R60" s="626" t="s">
        <v>285</v>
      </c>
      <c r="S60" s="626"/>
      <c r="T60" s="626"/>
      <c r="U60" s="626"/>
      <c r="V60" s="627" t="s">
        <v>286</v>
      </c>
      <c r="W60" s="627"/>
      <c r="X60" s="627"/>
      <c r="Y60" s="627"/>
      <c r="Z60" s="626" t="s">
        <v>505</v>
      </c>
      <c r="AA60" s="626"/>
      <c r="AB60" s="626"/>
      <c r="AC60" s="626"/>
      <c r="AD60" s="629" t="s">
        <v>287</v>
      </c>
      <c r="AE60" s="629"/>
      <c r="AF60" s="629"/>
      <c r="AG60" s="629"/>
      <c r="AH60" s="680" t="s">
        <v>288</v>
      </c>
      <c r="AI60" s="681"/>
      <c r="AJ60" s="681"/>
      <c r="AK60" s="682"/>
      <c r="AL60" s="683" t="s">
        <v>289</v>
      </c>
      <c r="AM60" s="684"/>
      <c r="AN60" s="684"/>
      <c r="AO60" s="685"/>
      <c r="AP60" s="680" t="s">
        <v>290</v>
      </c>
      <c r="AQ60" s="681"/>
      <c r="AR60" s="681"/>
      <c r="AS60" s="682"/>
      <c r="AT60" s="683" t="s">
        <v>291</v>
      </c>
      <c r="AU60" s="684"/>
      <c r="AV60" s="684"/>
      <c r="AW60" s="685"/>
      <c r="AX60" s="680"/>
      <c r="AY60" s="681"/>
      <c r="AZ60" s="681"/>
      <c r="BA60" s="682"/>
      <c r="BB60" s="316"/>
    </row>
    <row r="61" spans="1:57" x14ac:dyDescent="0.35">
      <c r="A61" s="613" t="s">
        <v>198</v>
      </c>
      <c r="B61" s="613"/>
      <c r="C61" s="613"/>
      <c r="D61" s="174">
        <f ca="1">SUM(F61:BB61)</f>
        <v>26878852.936793581</v>
      </c>
      <c r="E61" s="219">
        <f>SUM('PLAN DE CARGAS'!G67:AX73)/E60</f>
        <v>3.982819211245596E-2</v>
      </c>
      <c r="F61" s="622">
        <f ca="1">E61*$F$59</f>
        <v>13211747.686753577</v>
      </c>
      <c r="G61" s="622"/>
      <c r="H61" s="622"/>
      <c r="I61" s="622"/>
      <c r="J61" s="625">
        <f>'VIÁTICOS-TRANSP'!E19*'VIÁTICOS-TRANSP'!B33*E34</f>
        <v>10667009.250040002</v>
      </c>
      <c r="K61" s="625"/>
      <c r="L61" s="625"/>
      <c r="M61" s="625"/>
      <c r="N61" s="625">
        <f>'VIÁTICOS-TRANSP'!F19*'VIÁTICOS-TRANSP'!B34*E34</f>
        <v>3000096</v>
      </c>
      <c r="O61" s="625"/>
      <c r="P61" s="625"/>
      <c r="Q61" s="625"/>
      <c r="R61" s="625"/>
      <c r="S61" s="625"/>
      <c r="T61" s="625"/>
      <c r="U61" s="625"/>
      <c r="V61" s="625"/>
      <c r="W61" s="625"/>
      <c r="X61" s="625"/>
      <c r="Y61" s="625"/>
      <c r="Z61" s="625"/>
      <c r="AA61" s="625"/>
      <c r="AB61" s="625"/>
      <c r="AC61" s="625"/>
      <c r="AD61" s="622"/>
      <c r="AE61" s="622"/>
      <c r="AF61" s="622"/>
      <c r="AG61" s="622"/>
      <c r="AH61" s="625"/>
      <c r="AI61" s="625"/>
      <c r="AJ61" s="625"/>
      <c r="AK61" s="625"/>
      <c r="AL61" s="625"/>
      <c r="AM61" s="625"/>
      <c r="AN61" s="625"/>
      <c r="AO61" s="625"/>
      <c r="AP61" s="634"/>
      <c r="AQ61" s="634"/>
      <c r="AR61" s="634"/>
      <c r="AS61" s="634"/>
      <c r="AT61" s="634"/>
      <c r="AU61" s="634"/>
      <c r="AV61" s="634"/>
      <c r="AW61" s="634"/>
      <c r="AX61" s="634"/>
      <c r="AY61" s="634"/>
      <c r="AZ61" s="634"/>
      <c r="BA61" s="634"/>
      <c r="BB61" s="361"/>
      <c r="BC61" s="196">
        <f ca="1">D61/$D$80</f>
        <v>1.5426244097552227E-2</v>
      </c>
      <c r="BD61" s="197">
        <f ca="1">$E$38*BC61</f>
        <v>1.3792659633226451E-2</v>
      </c>
    </row>
    <row r="62" spans="1:57" x14ac:dyDescent="0.35">
      <c r="A62" s="608" t="s">
        <v>199</v>
      </c>
      <c r="B62" s="608"/>
      <c r="C62" s="608"/>
      <c r="D62" s="174">
        <f t="shared" ref="D62:D79" ca="1" si="53">SUM(F62:BB62)</f>
        <v>9649756.8888543304</v>
      </c>
      <c r="E62" s="219">
        <f>SUM('PLAN DE CARGAS'!G74:AX80)/E60</f>
        <v>2.9090199140960487E-2</v>
      </c>
      <c r="F62" s="622">
        <f t="shared" ref="F62:F79" ca="1" si="54">E62*$F$59</f>
        <v>9649756.8888543304</v>
      </c>
      <c r="G62" s="622"/>
      <c r="H62" s="622"/>
      <c r="I62" s="622"/>
      <c r="J62" s="625"/>
      <c r="K62" s="625"/>
      <c r="L62" s="625"/>
      <c r="M62" s="625"/>
      <c r="N62" s="625"/>
      <c r="O62" s="625"/>
      <c r="P62" s="625"/>
      <c r="Q62" s="625"/>
      <c r="R62" s="625"/>
      <c r="S62" s="625"/>
      <c r="T62" s="625"/>
      <c r="U62" s="625"/>
      <c r="V62" s="625"/>
      <c r="W62" s="625"/>
      <c r="X62" s="625"/>
      <c r="Y62" s="625"/>
      <c r="Z62" s="625"/>
      <c r="AA62" s="625"/>
      <c r="AB62" s="625"/>
      <c r="AC62" s="625"/>
      <c r="AD62" s="622"/>
      <c r="AE62" s="622"/>
      <c r="AF62" s="622"/>
      <c r="AG62" s="622"/>
      <c r="AH62" s="625"/>
      <c r="AI62" s="625"/>
      <c r="AJ62" s="625"/>
      <c r="AK62" s="625"/>
      <c r="AL62" s="625"/>
      <c r="AM62" s="625"/>
      <c r="AN62" s="625"/>
      <c r="AO62" s="625"/>
      <c r="AP62" s="634"/>
      <c r="AQ62" s="634"/>
      <c r="AR62" s="634"/>
      <c r="AS62" s="634"/>
      <c r="AT62" s="634"/>
      <c r="AU62" s="634"/>
      <c r="AV62" s="634"/>
      <c r="AW62" s="634"/>
      <c r="AX62" s="634"/>
      <c r="AY62" s="634"/>
      <c r="AZ62" s="634"/>
      <c r="BA62" s="634"/>
      <c r="BB62" s="361"/>
      <c r="BC62" s="196">
        <f t="shared" ref="BC62:BC79" ca="1" si="55">D62/$D$80</f>
        <v>5.5381643554340138E-3</v>
      </c>
      <c r="BD62" s="197">
        <f t="shared" ref="BD62:BD79" ca="1" si="56">$E$38*BC62</f>
        <v>4.9516924187326273E-3</v>
      </c>
    </row>
    <row r="63" spans="1:57" x14ac:dyDescent="0.35">
      <c r="A63" s="613" t="s">
        <v>200</v>
      </c>
      <c r="B63" s="613"/>
      <c r="C63" s="613"/>
      <c r="D63" s="174">
        <f t="shared" ca="1" si="53"/>
        <v>63322984.762656808</v>
      </c>
      <c r="E63" s="219">
        <f>SUM('PLAN DE CARGAS'!G81:AX87)/E60</f>
        <v>2.8309254197578997E-2</v>
      </c>
      <c r="F63" s="622">
        <f t="shared" ca="1" si="54"/>
        <v>9390703.0126434751</v>
      </c>
      <c r="G63" s="622"/>
      <c r="H63" s="622"/>
      <c r="I63" s="622"/>
      <c r="J63" s="625">
        <f>'VIÁTICOS-TRANSP'!E20*'VIÁTICOS-TRANSP'!B33*E34</f>
        <v>3555669.7500133342</v>
      </c>
      <c r="K63" s="625"/>
      <c r="L63" s="625"/>
      <c r="M63" s="625"/>
      <c r="N63" s="625">
        <f>'VIÁTICOS-TRANSP'!F20*'VIÁTICOS-TRANSP'!B34*E34</f>
        <v>2000064.0000000002</v>
      </c>
      <c r="O63" s="625"/>
      <c r="P63" s="625"/>
      <c r="Q63" s="625"/>
      <c r="R63" s="625">
        <f>'2.4 - (A,B,C y D) LABORATORIO'!C3*'2.4 - (A,B,C y D) LABORATORIO'!E3*E34</f>
        <v>48376548</v>
      </c>
      <c r="S63" s="625"/>
      <c r="T63" s="625"/>
      <c r="U63" s="625"/>
      <c r="V63" s="625"/>
      <c r="W63" s="625"/>
      <c r="X63" s="625"/>
      <c r="Y63" s="625"/>
      <c r="Z63" s="625"/>
      <c r="AA63" s="625"/>
      <c r="AB63" s="625"/>
      <c r="AC63" s="625"/>
      <c r="AD63" s="622"/>
      <c r="AE63" s="622"/>
      <c r="AF63" s="622"/>
      <c r="AG63" s="622"/>
      <c r="AH63" s="625"/>
      <c r="AI63" s="625"/>
      <c r="AJ63" s="625"/>
      <c r="AK63" s="625"/>
      <c r="AL63" s="625"/>
      <c r="AM63" s="625"/>
      <c r="AN63" s="625"/>
      <c r="AO63" s="625"/>
      <c r="AP63" s="634"/>
      <c r="AQ63" s="634"/>
      <c r="AR63" s="634"/>
      <c r="AS63" s="634"/>
      <c r="AT63" s="634"/>
      <c r="AU63" s="634"/>
      <c r="AV63" s="634"/>
      <c r="AW63" s="634"/>
      <c r="AX63" s="634"/>
      <c r="AY63" s="634"/>
      <c r="AZ63" s="634"/>
      <c r="BA63" s="634"/>
      <c r="BB63" s="361"/>
      <c r="BC63" s="196">
        <f t="shared" ca="1" si="55"/>
        <v>3.6342169148042988E-2</v>
      </c>
      <c r="BD63" s="197">
        <f t="shared" ca="1" si="56"/>
        <v>3.2493662502827717E-2</v>
      </c>
    </row>
    <row r="64" spans="1:57" x14ac:dyDescent="0.35">
      <c r="A64" s="655" t="s">
        <v>201</v>
      </c>
      <c r="B64" s="655"/>
      <c r="C64" s="655"/>
      <c r="D64" s="174"/>
      <c r="E64" s="219"/>
      <c r="F64" s="622"/>
      <c r="G64" s="622"/>
      <c r="H64" s="622"/>
      <c r="I64" s="622"/>
      <c r="J64" s="622"/>
      <c r="K64" s="622"/>
      <c r="L64" s="622"/>
      <c r="M64" s="622"/>
      <c r="N64" s="622"/>
      <c r="O64" s="622"/>
      <c r="P64" s="622"/>
      <c r="Q64" s="622"/>
      <c r="R64" s="625"/>
      <c r="S64" s="625"/>
      <c r="T64" s="625"/>
      <c r="U64" s="625"/>
      <c r="V64" s="622"/>
      <c r="W64" s="622"/>
      <c r="X64" s="622"/>
      <c r="Y64" s="622"/>
      <c r="Z64" s="622"/>
      <c r="AA64" s="622"/>
      <c r="AB64" s="622"/>
      <c r="AC64" s="622"/>
      <c r="AD64" s="622"/>
      <c r="AE64" s="622"/>
      <c r="AF64" s="622"/>
      <c r="AG64" s="622"/>
      <c r="AH64" s="625"/>
      <c r="AI64" s="625"/>
      <c r="AJ64" s="625"/>
      <c r="AK64" s="625"/>
      <c r="AL64" s="625"/>
      <c r="AM64" s="625"/>
      <c r="AN64" s="625"/>
      <c r="AO64" s="625"/>
      <c r="AP64" s="634"/>
      <c r="AQ64" s="634"/>
      <c r="AR64" s="634"/>
      <c r="AS64" s="634"/>
      <c r="AT64" s="634"/>
      <c r="AU64" s="634"/>
      <c r="AV64" s="634"/>
      <c r="AW64" s="634"/>
      <c r="AX64" s="634"/>
      <c r="AY64" s="634"/>
      <c r="AZ64" s="634"/>
      <c r="BA64" s="634"/>
      <c r="BB64" s="361"/>
      <c r="BC64" s="196"/>
      <c r="BD64" s="197"/>
    </row>
    <row r="65" spans="1:57" x14ac:dyDescent="0.35">
      <c r="A65" s="608" t="s">
        <v>202</v>
      </c>
      <c r="B65" s="608"/>
      <c r="C65" s="608"/>
      <c r="D65" s="174">
        <f t="shared" ca="1" si="53"/>
        <v>222895319.17409247</v>
      </c>
      <c r="E65" s="219">
        <f>SUM('PLAN DE CARGAS'!G88:AX94)/E60</f>
        <v>0.2733307301835215</v>
      </c>
      <c r="F65" s="622">
        <f t="shared" ca="1" si="54"/>
        <v>90668856.673799112</v>
      </c>
      <c r="G65" s="622"/>
      <c r="H65" s="622"/>
      <c r="I65" s="622"/>
      <c r="J65" s="622">
        <f>'VIÁTICOS-TRANSP'!E23*'VIÁTICOS-TRANSP'!B33*E34</f>
        <v>78224734.500293344</v>
      </c>
      <c r="K65" s="622"/>
      <c r="L65" s="622"/>
      <c r="M65" s="622"/>
      <c r="N65" s="622">
        <f>('VIÁTICOS-TRANSP'!F22+'VIÁTICOS-TRANSP'!F23)*'VIÁTICOS-TRANSP'!B34*E34</f>
        <v>54001728</v>
      </c>
      <c r="O65" s="622"/>
      <c r="P65" s="622"/>
      <c r="Q65" s="622"/>
      <c r="R65" s="622"/>
      <c r="S65" s="622"/>
      <c r="T65" s="622"/>
      <c r="U65" s="622"/>
      <c r="V65" s="622"/>
      <c r="W65" s="622"/>
      <c r="X65" s="622"/>
      <c r="Y65" s="622"/>
      <c r="Z65" s="622"/>
      <c r="AA65" s="622"/>
      <c r="AB65" s="622"/>
      <c r="AC65" s="622"/>
      <c r="AD65" s="622"/>
      <c r="AE65" s="622"/>
      <c r="AF65" s="622"/>
      <c r="AG65" s="622"/>
      <c r="AH65" s="625"/>
      <c r="AI65" s="625"/>
      <c r="AJ65" s="625"/>
      <c r="AK65" s="625"/>
      <c r="AL65" s="625"/>
      <c r="AM65" s="625"/>
      <c r="AN65" s="625"/>
      <c r="AO65" s="625"/>
      <c r="AP65" s="634"/>
      <c r="AQ65" s="634"/>
      <c r="AR65" s="634"/>
      <c r="AS65" s="634"/>
      <c r="AT65" s="634"/>
      <c r="AU65" s="634"/>
      <c r="AV65" s="634"/>
      <c r="AW65" s="634"/>
      <c r="AX65" s="634"/>
      <c r="AY65" s="634"/>
      <c r="AZ65" s="634"/>
      <c r="BA65" s="634"/>
      <c r="BB65" s="361"/>
      <c r="BC65" s="196">
        <f t="shared" ca="1" si="55"/>
        <v>0.12792352448472977</v>
      </c>
      <c r="BD65" s="197">
        <f t="shared" ca="1" si="56"/>
        <v>0.11437687755638175</v>
      </c>
    </row>
    <row r="66" spans="1:57" x14ac:dyDescent="0.35">
      <c r="A66" s="613" t="s">
        <v>203</v>
      </c>
      <c r="B66" s="613"/>
      <c r="C66" s="613"/>
      <c r="D66" s="174">
        <f ca="1">SUM(F66:BB66)</f>
        <v>1152258620.7020335</v>
      </c>
      <c r="E66" s="219">
        <f>SUM('PLAN DE CARGAS'!G95:AX101)/E60</f>
        <v>0.10777040218664548</v>
      </c>
      <c r="F66" s="622">
        <f t="shared" ca="1" si="54"/>
        <v>35749434.917097889</v>
      </c>
      <c r="G66" s="622"/>
      <c r="H66" s="622"/>
      <c r="I66" s="622"/>
      <c r="J66" s="622">
        <f>'VIÁTICOS-TRANSP'!E24*'VIÁTICOS-TRANSP'!B33*E34</f>
        <v>9481786.0000355579</v>
      </c>
      <c r="K66" s="622"/>
      <c r="L66" s="622"/>
      <c r="M66" s="622"/>
      <c r="N66" s="622">
        <f>'VIÁTICOS-TRANSP'!F24*'VIÁTICOS-TRANSP'!B34*E34</f>
        <v>5333504</v>
      </c>
      <c r="O66" s="622"/>
      <c r="P66" s="622"/>
      <c r="Q66" s="622"/>
      <c r="R66" s="622"/>
      <c r="S66" s="622"/>
      <c r="T66" s="622"/>
      <c r="U66" s="622"/>
      <c r="V66" s="622">
        <f>(('2.4 - (A,B,C y D) LABORATORIO'!C4*'2.4 - (A,B,C y D) LABORATORIO'!E4+'2.4 - (A,B,C y D) LABORATORIO'!C5*'2.4 - (A,B,C y D) LABORATORIO'!E5+'2.4 - (A,B,C y D) LABORATORIO'!C6*'2.4 - (A,B,C y D) LABORATORIO'!E6)+('2.7 - (A,B y C) logis_Monitoreo'!C6*'2.7 - (A,B y C) logis_Monitoreo'!D6+'2.7 - (A,B y C) logis_Monitoreo'!C7*'2.7 - (A,B y C) logis_Monitoreo'!D7))*E34</f>
        <v>512617278.22800004</v>
      </c>
      <c r="W66" s="622"/>
      <c r="X66" s="622"/>
      <c r="Y66" s="622"/>
      <c r="Z66" s="622"/>
      <c r="AA66" s="622"/>
      <c r="AB66" s="622"/>
      <c r="AC66" s="622"/>
      <c r="AD66" s="622">
        <f>('2.5 (A,B y C) - HIDROBIOLOGÍA'!C3*'2.5 (A,B y C) - HIDROBIOLOGÍA'!E3+'2.5 (A,B y C) - HIDROBIOLOGÍA'!C4*'2.5 (A,B y C) - HIDROBIOLOGÍA'!E4+'2.5 (A,B y C) - HIDROBIOLOGÍA'!C5*'2.5 (A,B y C) - HIDROBIOLOGÍA'!E5)*E34+('2.7 - (A,B y C) logis_Monitoreo'!C4*'2.7 - (A,B y C) logis_Monitoreo'!D4+'2.7 - (A,B y C) logis_Monitoreo'!C5*'2.7 - (A,B y C) logis_Monitoreo'!D5)*DISTRIBUCIÓN!E34</f>
        <v>510024753.60320008</v>
      </c>
      <c r="AE66" s="622"/>
      <c r="AF66" s="622"/>
      <c r="AG66" s="622"/>
      <c r="AH66" s="625">
        <f>('2.6 - LABORATORIO - VTOs'!C5*'2.6 - LABORATORIO - VTOs'!E5+'2.7 - (A,B y C) logis_Monitoreo'!C3*'2.7 - (A,B y C) logis_Monitoreo'!D3)*DISTRIBUCIÓN!E34</f>
        <v>79051863.953700006</v>
      </c>
      <c r="AI66" s="625"/>
      <c r="AJ66" s="625"/>
      <c r="AK66" s="625"/>
      <c r="AL66" s="625"/>
      <c r="AM66" s="625"/>
      <c r="AN66" s="625"/>
      <c r="AO66" s="625"/>
      <c r="AP66" s="634"/>
      <c r="AQ66" s="634"/>
      <c r="AR66" s="634"/>
      <c r="AS66" s="634"/>
      <c r="AT66" s="634"/>
      <c r="AU66" s="634"/>
      <c r="AV66" s="634"/>
      <c r="AW66" s="634"/>
      <c r="AX66" s="634"/>
      <c r="AY66" s="634"/>
      <c r="AZ66" s="634"/>
      <c r="BA66" s="634"/>
      <c r="BB66" s="361"/>
      <c r="BC66" s="196">
        <f t="shared" ca="1" si="55"/>
        <v>0.66130138768409907</v>
      </c>
      <c r="BD66" s="197">
        <f t="shared" ca="1" si="56"/>
        <v>0.59127191931018441</v>
      </c>
    </row>
    <row r="67" spans="1:57" x14ac:dyDescent="0.35">
      <c r="A67" s="655" t="s">
        <v>204</v>
      </c>
      <c r="B67" s="655"/>
      <c r="C67" s="655"/>
      <c r="D67" s="174"/>
      <c r="E67" s="219"/>
      <c r="F67" s="622"/>
      <c r="G67" s="622"/>
      <c r="H67" s="622"/>
      <c r="I67" s="622"/>
      <c r="J67" s="622"/>
      <c r="K67" s="622"/>
      <c r="L67" s="622"/>
      <c r="M67" s="622"/>
      <c r="N67" s="622"/>
      <c r="O67" s="622"/>
      <c r="P67" s="622"/>
      <c r="Q67" s="622"/>
      <c r="R67" s="622"/>
      <c r="S67" s="622"/>
      <c r="T67" s="622"/>
      <c r="U67" s="622"/>
      <c r="V67" s="622"/>
      <c r="W67" s="622"/>
      <c r="X67" s="622"/>
      <c r="Y67" s="622"/>
      <c r="Z67" s="622"/>
      <c r="AA67" s="622"/>
      <c r="AB67" s="622"/>
      <c r="AC67" s="622"/>
      <c r="AD67" s="622"/>
      <c r="AE67" s="622"/>
      <c r="AF67" s="622"/>
      <c r="AG67" s="622"/>
      <c r="AH67" s="625"/>
      <c r="AI67" s="625"/>
      <c r="AJ67" s="625"/>
      <c r="AK67" s="625"/>
      <c r="AL67" s="625"/>
      <c r="AM67" s="625"/>
      <c r="AN67" s="625"/>
      <c r="AO67" s="625"/>
      <c r="AP67" s="634"/>
      <c r="AQ67" s="634"/>
      <c r="AR67" s="634"/>
      <c r="AS67" s="634"/>
      <c r="AT67" s="634"/>
      <c r="AU67" s="634"/>
      <c r="AV67" s="634"/>
      <c r="AW67" s="634"/>
      <c r="AX67" s="634"/>
      <c r="AY67" s="634"/>
      <c r="AZ67" s="634"/>
      <c r="BA67" s="634"/>
      <c r="BB67" s="361"/>
      <c r="BC67" s="196"/>
      <c r="BD67" s="197"/>
    </row>
    <row r="68" spans="1:57" x14ac:dyDescent="0.35">
      <c r="A68" s="608" t="s">
        <v>205</v>
      </c>
      <c r="B68" s="608"/>
      <c r="C68" s="608"/>
      <c r="D68" s="174">
        <f t="shared" ca="1" si="53"/>
        <v>5569658.3385333745</v>
      </c>
      <c r="E68" s="219">
        <f>SUM('PLAN DE CARGAS'!G102:AX108)/E60</f>
        <v>1.6790316282702035E-2</v>
      </c>
      <c r="F68" s="622">
        <f t="shared" ca="1" si="54"/>
        <v>5569658.3385333745</v>
      </c>
      <c r="G68" s="622"/>
      <c r="H68" s="622"/>
      <c r="I68" s="622"/>
      <c r="J68" s="650"/>
      <c r="K68" s="650"/>
      <c r="L68" s="650"/>
      <c r="M68" s="650"/>
      <c r="N68" s="622"/>
      <c r="O68" s="622"/>
      <c r="P68" s="622"/>
      <c r="Q68" s="622"/>
      <c r="R68" s="625"/>
      <c r="S68" s="625"/>
      <c r="T68" s="625"/>
      <c r="U68" s="625"/>
      <c r="V68" s="625"/>
      <c r="W68" s="625"/>
      <c r="X68" s="625"/>
      <c r="Y68" s="625"/>
      <c r="Z68" s="625"/>
      <c r="AA68" s="625"/>
      <c r="AB68" s="625"/>
      <c r="AC68" s="625"/>
      <c r="AD68" s="625"/>
      <c r="AE68" s="625"/>
      <c r="AF68" s="625"/>
      <c r="AG68" s="625"/>
      <c r="AH68" s="625"/>
      <c r="AI68" s="625"/>
      <c r="AJ68" s="625"/>
      <c r="AK68" s="625"/>
      <c r="AL68" s="625"/>
      <c r="AM68" s="625"/>
      <c r="AN68" s="625"/>
      <c r="AO68" s="625"/>
      <c r="AP68" s="634"/>
      <c r="AQ68" s="634"/>
      <c r="AR68" s="634"/>
      <c r="AS68" s="634"/>
      <c r="AT68" s="634"/>
      <c r="AU68" s="634"/>
      <c r="AV68" s="634"/>
      <c r="AW68" s="634"/>
      <c r="AX68" s="634"/>
      <c r="AY68" s="634"/>
      <c r="AZ68" s="634"/>
      <c r="BA68" s="634"/>
      <c r="BB68" s="361"/>
      <c r="BC68" s="196">
        <f t="shared" ca="1" si="55"/>
        <v>3.1965243930692981E-3</v>
      </c>
      <c r="BD68" s="197">
        <f t="shared" ca="1" si="56"/>
        <v>2.858023812154404E-3</v>
      </c>
    </row>
    <row r="69" spans="1:57" ht="27" customHeight="1" x14ac:dyDescent="0.35">
      <c r="A69" s="613" t="s">
        <v>206</v>
      </c>
      <c r="B69" s="613"/>
      <c r="C69" s="613"/>
      <c r="D69" s="174">
        <f t="shared" ca="1" si="53"/>
        <v>42065448.858976901</v>
      </c>
      <c r="E69" s="219">
        <f>SUM('PLAN DE CARGAS'!G109:AX115)/E60</f>
        <v>7.0285044904334057E-2</v>
      </c>
      <c r="F69" s="622">
        <f t="shared" ca="1" si="54"/>
        <v>23314848.858976901</v>
      </c>
      <c r="G69" s="622"/>
      <c r="H69" s="622"/>
      <c r="I69" s="622"/>
      <c r="J69" s="625"/>
      <c r="K69" s="625"/>
      <c r="L69" s="625"/>
      <c r="M69" s="625"/>
      <c r="N69" s="625"/>
      <c r="O69" s="625"/>
      <c r="P69" s="625"/>
      <c r="Q69" s="625"/>
      <c r="R69" s="625"/>
      <c r="S69" s="625"/>
      <c r="T69" s="625"/>
      <c r="U69" s="625"/>
      <c r="V69" s="625"/>
      <c r="W69" s="625"/>
      <c r="X69" s="625"/>
      <c r="Y69" s="625"/>
      <c r="Z69" s="625"/>
      <c r="AA69" s="625"/>
      <c r="AB69" s="625"/>
      <c r="AC69" s="625"/>
      <c r="AD69" s="625"/>
      <c r="AE69" s="625"/>
      <c r="AF69" s="625"/>
      <c r="AG69" s="625"/>
      <c r="AH69" s="625"/>
      <c r="AI69" s="625"/>
      <c r="AJ69" s="625"/>
      <c r="AK69" s="625"/>
      <c r="AL69" s="625">
        <f>('2.8 - Ofer-Deman-Ind'!H3)*E34</f>
        <v>18750600</v>
      </c>
      <c r="AM69" s="625"/>
      <c r="AN69" s="625"/>
      <c r="AO69" s="625"/>
      <c r="AP69" s="634"/>
      <c r="AQ69" s="634"/>
      <c r="AR69" s="634"/>
      <c r="AS69" s="634"/>
      <c r="AT69" s="634"/>
      <c r="AU69" s="634"/>
      <c r="AV69" s="634"/>
      <c r="AW69" s="634"/>
      <c r="AX69" s="634"/>
      <c r="AY69" s="634"/>
      <c r="AZ69" s="634"/>
      <c r="BA69" s="634"/>
      <c r="BB69" s="361"/>
      <c r="BC69" s="196">
        <f t="shared" ca="1" si="55"/>
        <v>2.4142097272439902E-2</v>
      </c>
      <c r="BD69" s="197">
        <f t="shared" ca="1" si="56"/>
        <v>2.1585534910850055E-2</v>
      </c>
    </row>
    <row r="70" spans="1:57" ht="27" customHeight="1" x14ac:dyDescent="0.35">
      <c r="A70" s="608" t="s">
        <v>207</v>
      </c>
      <c r="B70" s="608"/>
      <c r="C70" s="608"/>
      <c r="D70" s="174">
        <f t="shared" ca="1" si="53"/>
        <v>24659194.02059564</v>
      </c>
      <c r="E70" s="219">
        <f>SUM('PLAN DE CARGAS'!G116:AX122)/E60</f>
        <v>1.327606403748533E-2</v>
      </c>
      <c r="F70" s="622">
        <f t="shared" ca="1" si="54"/>
        <v>4403915.8955845283</v>
      </c>
      <c r="G70" s="622"/>
      <c r="H70" s="622"/>
      <c r="I70" s="622"/>
      <c r="J70" s="625">
        <f>'VIÁTICOS-TRANSP'!E26*'VIÁTICOS-TRANSP'!B51*E34</f>
        <v>2963058.1250111116</v>
      </c>
      <c r="K70" s="625"/>
      <c r="L70" s="625"/>
      <c r="M70" s="625"/>
      <c r="N70" s="625">
        <f>'VIÁTICOS-TRANSP'!F26*'VIÁTICOS-TRANSP'!B34*E34</f>
        <v>1666720</v>
      </c>
      <c r="O70" s="625"/>
      <c r="P70" s="625"/>
      <c r="Q70" s="625"/>
      <c r="R70" s="625"/>
      <c r="S70" s="625"/>
      <c r="T70" s="625"/>
      <c r="U70" s="625"/>
      <c r="V70" s="625"/>
      <c r="W70" s="625"/>
      <c r="X70" s="625"/>
      <c r="Y70" s="625"/>
      <c r="Z70" s="625"/>
      <c r="AA70" s="625"/>
      <c r="AB70" s="625"/>
      <c r="AC70" s="625"/>
      <c r="AD70" s="625"/>
      <c r="AE70" s="625"/>
      <c r="AF70" s="625"/>
      <c r="AG70" s="625"/>
      <c r="AH70" s="625"/>
      <c r="AI70" s="625"/>
      <c r="AJ70" s="625"/>
      <c r="AK70" s="625"/>
      <c r="AL70" s="625"/>
      <c r="AM70" s="625"/>
      <c r="AN70" s="625"/>
      <c r="AO70" s="625"/>
      <c r="AP70" s="634">
        <f>'2.9 - Zonas de Recarga'!I4*E34</f>
        <v>15625500.000000002</v>
      </c>
      <c r="AQ70" s="634"/>
      <c r="AR70" s="634"/>
      <c r="AS70" s="634"/>
      <c r="AT70" s="634"/>
      <c r="AU70" s="634"/>
      <c r="AV70" s="634"/>
      <c r="AW70" s="634"/>
      <c r="AX70" s="634"/>
      <c r="AY70" s="634"/>
      <c r="AZ70" s="634"/>
      <c r="BA70" s="634"/>
      <c r="BB70" s="361"/>
      <c r="BC70" s="196">
        <f t="shared" ca="1" si="55"/>
        <v>1.4152343000094818E-2</v>
      </c>
      <c r="BD70" s="197">
        <f t="shared" ca="1" si="56"/>
        <v>1.2653660137787914E-2</v>
      </c>
    </row>
    <row r="71" spans="1:57" x14ac:dyDescent="0.35">
      <c r="A71" s="613" t="s">
        <v>208</v>
      </c>
      <c r="B71" s="613"/>
      <c r="C71" s="613"/>
      <c r="D71" s="174">
        <f t="shared" ca="1" si="53"/>
        <v>9844047.2960124724</v>
      </c>
      <c r="E71" s="219">
        <f>SUM('PLAN DE CARGAS'!G123:AX129)/E60</f>
        <v>2.9675907848496608E-2</v>
      </c>
      <c r="F71" s="622">
        <f t="shared" ca="1" si="54"/>
        <v>9844047.2960124724</v>
      </c>
      <c r="G71" s="622"/>
      <c r="H71" s="622"/>
      <c r="I71" s="622"/>
      <c r="J71" s="625"/>
      <c r="K71" s="625"/>
      <c r="L71" s="625"/>
      <c r="M71" s="625"/>
      <c r="N71" s="625"/>
      <c r="O71" s="625"/>
      <c r="P71" s="625"/>
      <c r="Q71" s="625"/>
      <c r="R71" s="625"/>
      <c r="S71" s="625"/>
      <c r="T71" s="625"/>
      <c r="U71" s="625"/>
      <c r="V71" s="625"/>
      <c r="W71" s="625"/>
      <c r="X71" s="625"/>
      <c r="Y71" s="625"/>
      <c r="Z71" s="625"/>
      <c r="AA71" s="625"/>
      <c r="AB71" s="625"/>
      <c r="AC71" s="625"/>
      <c r="AD71" s="625"/>
      <c r="AE71" s="625"/>
      <c r="AF71" s="625"/>
      <c r="AG71" s="625"/>
      <c r="AH71" s="625"/>
      <c r="AI71" s="625"/>
      <c r="AJ71" s="625"/>
      <c r="AK71" s="625"/>
      <c r="AL71" s="625"/>
      <c r="AM71" s="625"/>
      <c r="AN71" s="625"/>
      <c r="AO71" s="625"/>
      <c r="AP71" s="634"/>
      <c r="AQ71" s="634"/>
      <c r="AR71" s="634"/>
      <c r="AS71" s="634"/>
      <c r="AT71" s="634"/>
      <c r="AU71" s="634"/>
      <c r="AV71" s="634"/>
      <c r="AW71" s="634"/>
      <c r="AX71" s="634"/>
      <c r="AY71" s="634"/>
      <c r="AZ71" s="634"/>
      <c r="BA71" s="634"/>
      <c r="BB71" s="361"/>
      <c r="BC71" s="196">
        <f t="shared" ca="1" si="55"/>
        <v>5.6496710203085242E-3</v>
      </c>
      <c r="BD71" s="197">
        <f t="shared" ca="1" si="56"/>
        <v>5.0513909238077814E-3</v>
      </c>
    </row>
    <row r="72" spans="1:57" x14ac:dyDescent="0.35">
      <c r="A72" s="608" t="s">
        <v>209</v>
      </c>
      <c r="B72" s="608"/>
      <c r="C72" s="608"/>
      <c r="D72" s="174">
        <f t="shared" ca="1" si="53"/>
        <v>9455466.4816961884</v>
      </c>
      <c r="E72" s="219">
        <f>SUM('PLAN DE CARGAS'!G130:AX136)/E60</f>
        <v>2.850449043342437E-2</v>
      </c>
      <c r="F72" s="622">
        <f t="shared" ca="1" si="54"/>
        <v>9455466.4816961884</v>
      </c>
      <c r="G72" s="622"/>
      <c r="H72" s="622"/>
      <c r="I72" s="622"/>
      <c r="J72" s="625"/>
      <c r="K72" s="625"/>
      <c r="L72" s="625"/>
      <c r="M72" s="625"/>
      <c r="N72" s="625"/>
      <c r="O72" s="625"/>
      <c r="P72" s="625"/>
      <c r="Q72" s="625"/>
      <c r="R72" s="625"/>
      <c r="S72" s="625"/>
      <c r="T72" s="625"/>
      <c r="U72" s="625"/>
      <c r="V72" s="625"/>
      <c r="W72" s="625"/>
      <c r="X72" s="625"/>
      <c r="Y72" s="625"/>
      <c r="Z72" s="625"/>
      <c r="AA72" s="625"/>
      <c r="AB72" s="625"/>
      <c r="AC72" s="625"/>
      <c r="AD72" s="625"/>
      <c r="AE72" s="625"/>
      <c r="AF72" s="625"/>
      <c r="AG72" s="625"/>
      <c r="AH72" s="625"/>
      <c r="AI72" s="625"/>
      <c r="AJ72" s="625"/>
      <c r="AK72" s="625"/>
      <c r="AL72" s="625"/>
      <c r="AM72" s="625"/>
      <c r="AN72" s="625"/>
      <c r="AO72" s="625"/>
      <c r="AP72" s="634"/>
      <c r="AQ72" s="634"/>
      <c r="AR72" s="634"/>
      <c r="AS72" s="634"/>
      <c r="AT72" s="634"/>
      <c r="AU72" s="634"/>
      <c r="AV72" s="634"/>
      <c r="AW72" s="634"/>
      <c r="AX72" s="634"/>
      <c r="AY72" s="634"/>
      <c r="AZ72" s="634"/>
      <c r="BA72" s="634"/>
      <c r="BB72" s="361"/>
      <c r="BC72" s="196">
        <f t="shared" ca="1" si="55"/>
        <v>5.4266576905595025E-3</v>
      </c>
      <c r="BD72" s="197">
        <f t="shared" ca="1" si="56"/>
        <v>4.8519939136574732E-3</v>
      </c>
    </row>
    <row r="73" spans="1:57" x14ac:dyDescent="0.35">
      <c r="A73" s="613" t="s">
        <v>210</v>
      </c>
      <c r="B73" s="613"/>
      <c r="C73" s="613"/>
      <c r="D73" s="174">
        <f t="shared" ca="1" si="53"/>
        <v>7771616.2863256354</v>
      </c>
      <c r="E73" s="219">
        <f>SUM('PLAN DE CARGAS'!G137:AX143)/E60</f>
        <v>2.342834830144469E-2</v>
      </c>
      <c r="F73" s="622">
        <f t="shared" ca="1" si="54"/>
        <v>7771616.2863256354</v>
      </c>
      <c r="G73" s="622"/>
      <c r="H73" s="622"/>
      <c r="I73" s="622"/>
      <c r="J73" s="625"/>
      <c r="K73" s="625"/>
      <c r="L73" s="625"/>
      <c r="M73" s="625"/>
      <c r="N73" s="625"/>
      <c r="O73" s="625"/>
      <c r="P73" s="625"/>
      <c r="Q73" s="625"/>
      <c r="R73" s="625"/>
      <c r="S73" s="625"/>
      <c r="T73" s="625"/>
      <c r="U73" s="625"/>
      <c r="V73" s="625"/>
      <c r="W73" s="625"/>
      <c r="X73" s="625"/>
      <c r="Y73" s="625"/>
      <c r="Z73" s="625"/>
      <c r="AA73" s="625"/>
      <c r="AB73" s="625"/>
      <c r="AC73" s="625"/>
      <c r="AD73" s="625"/>
      <c r="AE73" s="625"/>
      <c r="AF73" s="625"/>
      <c r="AG73" s="625"/>
      <c r="AH73" s="625"/>
      <c r="AI73" s="625"/>
      <c r="AJ73" s="625"/>
      <c r="AK73" s="625"/>
      <c r="AL73" s="625"/>
      <c r="AM73" s="625"/>
      <c r="AN73" s="625"/>
      <c r="AO73" s="625"/>
      <c r="AP73" s="634"/>
      <c r="AQ73" s="634"/>
      <c r="AR73" s="634"/>
      <c r="AS73" s="634"/>
      <c r="AT73" s="634"/>
      <c r="AU73" s="634"/>
      <c r="AV73" s="634"/>
      <c r="AW73" s="634"/>
      <c r="AX73" s="634"/>
      <c r="AY73" s="634"/>
      <c r="AZ73" s="634"/>
      <c r="BA73" s="634"/>
      <c r="BB73" s="361"/>
      <c r="BC73" s="196">
        <f t="shared" ca="1" si="55"/>
        <v>4.460266594980414E-3</v>
      </c>
      <c r="BD73" s="197">
        <f t="shared" ca="1" si="56"/>
        <v>3.9879402030061429E-3</v>
      </c>
    </row>
    <row r="74" spans="1:57" x14ac:dyDescent="0.35">
      <c r="A74" s="608" t="s">
        <v>211</v>
      </c>
      <c r="B74" s="608"/>
      <c r="C74" s="608"/>
      <c r="D74" s="174">
        <f t="shared" ca="1" si="53"/>
        <v>28098477.524217092</v>
      </c>
      <c r="E74" s="219">
        <f>SUM('PLAN DE CARGAS'!G144:AX150)/E60</f>
        <v>1.5618898867629792E-2</v>
      </c>
      <c r="F74" s="622">
        <f t="shared" ca="1" si="54"/>
        <v>5181077.5242170896</v>
      </c>
      <c r="G74" s="622"/>
      <c r="H74" s="622"/>
      <c r="I74" s="622"/>
      <c r="J74" s="625"/>
      <c r="K74" s="625"/>
      <c r="L74" s="625"/>
      <c r="M74" s="625"/>
      <c r="N74" s="625"/>
      <c r="O74" s="625"/>
      <c r="P74" s="625"/>
      <c r="Q74" s="625"/>
      <c r="R74" s="625"/>
      <c r="S74" s="625"/>
      <c r="T74" s="625"/>
      <c r="U74" s="625"/>
      <c r="V74" s="625"/>
      <c r="W74" s="625"/>
      <c r="X74" s="625"/>
      <c r="Y74" s="625"/>
      <c r="Z74" s="625"/>
      <c r="AA74" s="625"/>
      <c r="AB74" s="625"/>
      <c r="AC74" s="625"/>
      <c r="AD74" s="625"/>
      <c r="AE74" s="625"/>
      <c r="AF74" s="625"/>
      <c r="AG74" s="625"/>
      <c r="AH74" s="625"/>
      <c r="AI74" s="625"/>
      <c r="AJ74" s="625"/>
      <c r="AK74" s="625"/>
      <c r="AL74" s="625">
        <f>('2.8 - Ofer-Deman-Ind'!H9)*DISTRIBUCIÓN!E34</f>
        <v>22917400</v>
      </c>
      <c r="AM74" s="625"/>
      <c r="AN74" s="625"/>
      <c r="AO74" s="625"/>
      <c r="AP74" s="634"/>
      <c r="AQ74" s="634"/>
      <c r="AR74" s="634"/>
      <c r="AS74" s="634"/>
      <c r="AT74" s="634"/>
      <c r="AU74" s="634"/>
      <c r="AV74" s="634"/>
      <c r="AW74" s="634"/>
      <c r="AX74" s="634"/>
      <c r="AY74" s="634"/>
      <c r="AZ74" s="634"/>
      <c r="BA74" s="634"/>
      <c r="BB74" s="361"/>
      <c r="BC74" s="196">
        <f t="shared" ca="1" si="55"/>
        <v>1.6126207992485309E-2</v>
      </c>
      <c r="BD74" s="197">
        <f t="shared" ca="1" si="56"/>
        <v>1.4418499837576088E-2</v>
      </c>
    </row>
    <row r="75" spans="1:57" x14ac:dyDescent="0.35">
      <c r="A75" s="613" t="s">
        <v>212</v>
      </c>
      <c r="B75" s="613"/>
      <c r="C75" s="613"/>
      <c r="D75" s="174">
        <f t="shared" ca="1" si="53"/>
        <v>11701300.39074111</v>
      </c>
      <c r="E75" s="219">
        <f>SUM('PLAN DE CARGAS'!G151:AX157)/E60</f>
        <v>1.0152284263959368E-2</v>
      </c>
      <c r="F75" s="622">
        <f t="shared" ca="1" si="54"/>
        <v>3367700.3907411094</v>
      </c>
      <c r="G75" s="622"/>
      <c r="H75" s="622"/>
      <c r="I75" s="622"/>
      <c r="J75" s="625"/>
      <c r="K75" s="625"/>
      <c r="L75" s="625"/>
      <c r="M75" s="625"/>
      <c r="N75" s="625"/>
      <c r="O75" s="625"/>
      <c r="P75" s="625"/>
      <c r="Q75" s="625"/>
      <c r="R75" s="625"/>
      <c r="S75" s="625"/>
      <c r="T75" s="625"/>
      <c r="U75" s="625"/>
      <c r="V75" s="625"/>
      <c r="W75" s="625"/>
      <c r="X75" s="625"/>
      <c r="Y75" s="625"/>
      <c r="Z75" s="625"/>
      <c r="AA75" s="625"/>
      <c r="AB75" s="625"/>
      <c r="AC75" s="625"/>
      <c r="AD75" s="625"/>
      <c r="AE75" s="625"/>
      <c r="AF75" s="625"/>
      <c r="AG75" s="625"/>
      <c r="AH75" s="625"/>
      <c r="AI75" s="625"/>
      <c r="AJ75" s="625"/>
      <c r="AK75" s="625"/>
      <c r="AL75" s="625">
        <f>'2.8 - Ofer-Deman-Ind'!H4*E34</f>
        <v>8333600.0000000009</v>
      </c>
      <c r="AM75" s="625"/>
      <c r="AN75" s="625"/>
      <c r="AO75" s="625"/>
      <c r="AP75" s="634"/>
      <c r="AQ75" s="634"/>
      <c r="AR75" s="634"/>
      <c r="AS75" s="634"/>
      <c r="AT75" s="634"/>
      <c r="AU75" s="634"/>
      <c r="AV75" s="634"/>
      <c r="AW75" s="634"/>
      <c r="AX75" s="634"/>
      <c r="AY75" s="634"/>
      <c r="AZ75" s="634"/>
      <c r="BA75" s="634"/>
      <c r="BB75" s="361"/>
      <c r="BC75" s="196">
        <f t="shared" ca="1" si="55"/>
        <v>6.7155810744909186E-3</v>
      </c>
      <c r="BD75" s="197">
        <f t="shared" ca="1" si="56"/>
        <v>6.0044248887833867E-3</v>
      </c>
    </row>
    <row r="76" spans="1:57" x14ac:dyDescent="0.35">
      <c r="A76" s="608" t="s">
        <v>213</v>
      </c>
      <c r="B76" s="608"/>
      <c r="C76" s="608"/>
      <c r="D76" s="174">
        <f t="shared" ca="1" si="53"/>
        <v>18599135.081268247</v>
      </c>
      <c r="E76" s="219">
        <f>SUM('PLAN DE CARGAS'!G158:AX164)/E60</f>
        <v>1.2104646622413092E-2</v>
      </c>
      <c r="F76" s="622">
        <f t="shared" ca="1" si="54"/>
        <v>4015335.0812682458</v>
      </c>
      <c r="G76" s="622"/>
      <c r="H76" s="622"/>
      <c r="I76" s="622"/>
      <c r="J76" s="625"/>
      <c r="K76" s="625"/>
      <c r="L76" s="625"/>
      <c r="M76" s="625"/>
      <c r="N76" s="625"/>
      <c r="O76" s="625"/>
      <c r="P76" s="625"/>
      <c r="Q76" s="625"/>
      <c r="R76" s="625"/>
      <c r="S76" s="625"/>
      <c r="T76" s="625"/>
      <c r="U76" s="625"/>
      <c r="V76" s="625"/>
      <c r="W76" s="625"/>
      <c r="X76" s="625"/>
      <c r="Y76" s="625"/>
      <c r="Z76" s="625"/>
      <c r="AA76" s="625"/>
      <c r="AB76" s="625"/>
      <c r="AC76" s="625"/>
      <c r="AD76" s="625"/>
      <c r="AE76" s="625"/>
      <c r="AF76" s="625"/>
      <c r="AG76" s="625"/>
      <c r="AH76" s="625"/>
      <c r="AI76" s="625"/>
      <c r="AJ76" s="625"/>
      <c r="AK76" s="625"/>
      <c r="AL76" s="625">
        <f>'2.8 - Ofer-Deman-Ind'!H5*E34</f>
        <v>14583800.000000002</v>
      </c>
      <c r="AM76" s="625"/>
      <c r="AN76" s="625"/>
      <c r="AO76" s="625"/>
      <c r="AP76" s="634"/>
      <c r="AQ76" s="634"/>
      <c r="AR76" s="634"/>
      <c r="AS76" s="634"/>
      <c r="AT76" s="634"/>
      <c r="AU76" s="634"/>
      <c r="AV76" s="634"/>
      <c r="AW76" s="634"/>
      <c r="AX76" s="634"/>
      <c r="AY76" s="634"/>
      <c r="AZ76" s="634"/>
      <c r="BA76" s="634"/>
      <c r="BB76" s="361"/>
      <c r="BC76" s="196">
        <f t="shared" ca="1" si="55"/>
        <v>1.0674369119905509E-2</v>
      </c>
      <c r="BD76" s="197">
        <f t="shared" ca="1" si="56"/>
        <v>9.5439913396444427E-3</v>
      </c>
    </row>
    <row r="77" spans="1:57" x14ac:dyDescent="0.35">
      <c r="A77" s="613" t="s">
        <v>214</v>
      </c>
      <c r="B77" s="613"/>
      <c r="C77" s="613"/>
      <c r="D77" s="174">
        <f t="shared" ca="1" si="53"/>
        <v>32640788.402567636</v>
      </c>
      <c r="E77" s="219">
        <f>SUM('PLAN DE CARGAS'!G165:AX171)/E60</f>
        <v>9.8399062866067602E-2</v>
      </c>
      <c r="F77" s="622">
        <f t="shared" ca="1" si="54"/>
        <v>32640788.402567636</v>
      </c>
      <c r="G77" s="622"/>
      <c r="H77" s="622"/>
      <c r="I77" s="622"/>
      <c r="J77" s="625"/>
      <c r="K77" s="625"/>
      <c r="L77" s="625"/>
      <c r="M77" s="625"/>
      <c r="N77" s="625"/>
      <c r="O77" s="625"/>
      <c r="P77" s="625"/>
      <c r="Q77" s="625"/>
      <c r="R77" s="625"/>
      <c r="S77" s="625"/>
      <c r="T77" s="625"/>
      <c r="U77" s="625"/>
      <c r="V77" s="625"/>
      <c r="W77" s="625"/>
      <c r="X77" s="625"/>
      <c r="Y77" s="625"/>
      <c r="Z77" s="625"/>
      <c r="AA77" s="625"/>
      <c r="AB77" s="625"/>
      <c r="AC77" s="625"/>
      <c r="AD77" s="625"/>
      <c r="AE77" s="625"/>
      <c r="AF77" s="625"/>
      <c r="AG77" s="625"/>
      <c r="AH77" s="625"/>
      <c r="AI77" s="625"/>
      <c r="AJ77" s="625"/>
      <c r="AK77" s="625"/>
      <c r="AL77" s="625"/>
      <c r="AM77" s="625"/>
      <c r="AN77" s="625"/>
      <c r="AO77" s="625"/>
      <c r="AP77" s="634"/>
      <c r="AQ77" s="634"/>
      <c r="AR77" s="634"/>
      <c r="AS77" s="634"/>
      <c r="AT77" s="634"/>
      <c r="AU77" s="634"/>
      <c r="AV77" s="634"/>
      <c r="AW77" s="634"/>
      <c r="AX77" s="634"/>
      <c r="AY77" s="634"/>
      <c r="AZ77" s="634"/>
      <c r="BA77" s="634"/>
      <c r="BB77" s="361"/>
      <c r="BC77" s="196">
        <f t="shared" ca="1" si="55"/>
        <v>1.8733119698917718E-2</v>
      </c>
      <c r="BD77" s="197">
        <f t="shared" ca="1" si="56"/>
        <v>1.6749348852625783E-2</v>
      </c>
    </row>
    <row r="78" spans="1:57" x14ac:dyDescent="0.35">
      <c r="A78" s="608" t="s">
        <v>215</v>
      </c>
      <c r="B78" s="608"/>
      <c r="C78" s="608"/>
      <c r="D78" s="174">
        <f t="shared" ca="1" si="53"/>
        <v>63079618.857342966</v>
      </c>
      <c r="E78" s="219">
        <f>SUM('PLAN DE CARGAS'!G172:AX178)/E60</f>
        <v>0.1901600937133924</v>
      </c>
      <c r="F78" s="622">
        <f t="shared" ca="1" si="54"/>
        <v>63079618.857342966</v>
      </c>
      <c r="G78" s="622"/>
      <c r="H78" s="622"/>
      <c r="I78" s="622"/>
      <c r="J78" s="622"/>
      <c r="K78" s="622"/>
      <c r="L78" s="622"/>
      <c r="M78" s="622"/>
      <c r="N78" s="625"/>
      <c r="O78" s="625"/>
      <c r="P78" s="625"/>
      <c r="Q78" s="625"/>
      <c r="R78" s="622"/>
      <c r="S78" s="622"/>
      <c r="T78" s="622"/>
      <c r="U78" s="622"/>
      <c r="V78" s="622"/>
      <c r="W78" s="622"/>
      <c r="X78" s="622"/>
      <c r="Y78" s="622"/>
      <c r="Z78" s="622"/>
      <c r="AA78" s="622"/>
      <c r="AB78" s="622"/>
      <c r="AC78" s="622"/>
      <c r="AD78" s="622"/>
      <c r="AE78" s="622"/>
      <c r="AF78" s="622"/>
      <c r="AG78" s="622"/>
      <c r="AH78" s="625"/>
      <c r="AI78" s="625"/>
      <c r="AJ78" s="625"/>
      <c r="AK78" s="625"/>
      <c r="AL78" s="625"/>
      <c r="AM78" s="625"/>
      <c r="AN78" s="625"/>
      <c r="AO78" s="625"/>
      <c r="AP78" s="634"/>
      <c r="AQ78" s="634"/>
      <c r="AR78" s="634"/>
      <c r="AS78" s="634"/>
      <c r="AT78" s="634"/>
      <c r="AU78" s="634"/>
      <c r="AV78" s="634"/>
      <c r="AW78" s="634"/>
      <c r="AX78" s="634"/>
      <c r="AY78" s="634"/>
      <c r="AZ78" s="634"/>
      <c r="BA78" s="634"/>
      <c r="BB78" s="361"/>
      <c r="BC78" s="196">
        <f t="shared" ca="1" si="55"/>
        <v>3.6202497195924298E-2</v>
      </c>
      <c r="BD78" s="197">
        <f t="shared" ca="1" si="56"/>
        <v>3.2368781314399804E-2</v>
      </c>
    </row>
    <row r="79" spans="1:57" x14ac:dyDescent="0.35">
      <c r="A79" s="613" t="s">
        <v>216</v>
      </c>
      <c r="B79" s="613"/>
      <c r="C79" s="613"/>
      <c r="D79" s="174">
        <f t="shared" ca="1" si="53"/>
        <v>13920424.395593416</v>
      </c>
      <c r="E79" s="219">
        <f>SUM('PLAN DE CARGAS'!G179:AX185)/E60</f>
        <v>1.3276064037485326E-2</v>
      </c>
      <c r="F79" s="622">
        <f t="shared" ca="1" si="54"/>
        <v>4403915.8955845274</v>
      </c>
      <c r="G79" s="622"/>
      <c r="H79" s="622"/>
      <c r="I79" s="622"/>
      <c r="J79" s="622">
        <f>'VIÁTICOS-TRANSP'!E27*'VIÁTICOS-TRANSP'!B33*E34</f>
        <v>2370446.5000088895</v>
      </c>
      <c r="K79" s="622"/>
      <c r="L79" s="622"/>
      <c r="M79" s="622"/>
      <c r="N79" s="622">
        <f>'VIÁTICOS-TRANSP'!F27*'VIÁTICOS-TRANSP'!B34*E34</f>
        <v>2666752</v>
      </c>
      <c r="O79" s="622"/>
      <c r="P79" s="622"/>
      <c r="Q79" s="622"/>
      <c r="R79" s="622"/>
      <c r="S79" s="622"/>
      <c r="T79" s="622"/>
      <c r="U79" s="622"/>
      <c r="V79" s="622"/>
      <c r="W79" s="622"/>
      <c r="X79" s="622"/>
      <c r="Y79" s="622"/>
      <c r="Z79" s="622"/>
      <c r="AA79" s="622"/>
      <c r="AB79" s="622"/>
      <c r="AC79" s="622"/>
      <c r="AD79" s="622"/>
      <c r="AE79" s="622"/>
      <c r="AF79" s="622"/>
      <c r="AG79" s="622"/>
      <c r="AH79" s="625"/>
      <c r="AI79" s="625"/>
      <c r="AJ79" s="625"/>
      <c r="AK79" s="625"/>
      <c r="AL79" s="625"/>
      <c r="AM79" s="625"/>
      <c r="AN79" s="625"/>
      <c r="AO79" s="625"/>
      <c r="AP79" s="634"/>
      <c r="AQ79" s="634"/>
      <c r="AR79" s="634"/>
      <c r="AS79" s="634"/>
      <c r="AT79" s="634">
        <f>'2.3 - Socialización'!J5*4*E34</f>
        <v>4479310</v>
      </c>
      <c r="AU79" s="634"/>
      <c r="AV79" s="634"/>
      <c r="AW79" s="634"/>
      <c r="AX79" s="634"/>
      <c r="AY79" s="634"/>
      <c r="AZ79" s="634"/>
      <c r="BA79" s="634"/>
      <c r="BC79" s="196">
        <f t="shared" ca="1" si="55"/>
        <v>7.9891751769657782E-3</v>
      </c>
      <c r="BD79" s="197">
        <f t="shared" ca="1" si="56"/>
        <v>7.1431498989177463E-3</v>
      </c>
    </row>
    <row r="80" spans="1:57" x14ac:dyDescent="0.35">
      <c r="A80" s="613"/>
      <c r="B80" s="613"/>
      <c r="C80" s="613"/>
      <c r="D80" s="174">
        <f ca="1">SUM(D61:D79)</f>
        <v>1742410710.3983014</v>
      </c>
      <c r="E80" s="359">
        <f>SUM(E61:E79)</f>
        <v>0.99999999999999722</v>
      </c>
      <c r="F80" s="597">
        <f ca="1">ROUND(SUM(F61:I79),4)</f>
        <v>331718488.48799998</v>
      </c>
      <c r="G80" s="597"/>
      <c r="H80" s="597"/>
      <c r="I80" s="597"/>
      <c r="J80" s="636">
        <f>SUM(J61:M79)</f>
        <v>107262704.12540224</v>
      </c>
      <c r="K80" s="636"/>
      <c r="L80" s="636"/>
      <c r="M80" s="636"/>
      <c r="N80" s="597">
        <f>SUM(N61:Q79)</f>
        <v>68668864</v>
      </c>
      <c r="O80" s="597"/>
      <c r="P80" s="597"/>
      <c r="Q80" s="597"/>
      <c r="R80" s="597">
        <f>SUM(R61:U79)</f>
        <v>48376548</v>
      </c>
      <c r="S80" s="597"/>
      <c r="T80" s="597"/>
      <c r="U80" s="597"/>
      <c r="V80" s="636">
        <f>SUM(V61:Y79)</f>
        <v>512617278.22800004</v>
      </c>
      <c r="W80" s="636"/>
      <c r="X80" s="636"/>
      <c r="Y80" s="636"/>
      <c r="Z80" s="636">
        <f>SUM(Z61:AC79)</f>
        <v>0</v>
      </c>
      <c r="AA80" s="636"/>
      <c r="AB80" s="636"/>
      <c r="AC80" s="636"/>
      <c r="AD80" s="597">
        <f>SUM(AD61:AG79)</f>
        <v>510024753.60320008</v>
      </c>
      <c r="AE80" s="597"/>
      <c r="AF80" s="597"/>
      <c r="AG80" s="597"/>
      <c r="AH80" s="597">
        <f>SUM(AH61:AK79)</f>
        <v>79051863.953700006</v>
      </c>
      <c r="AI80" s="597"/>
      <c r="AJ80" s="597"/>
      <c r="AK80" s="597"/>
      <c r="AL80" s="597">
        <f>SUM(AL61:AO79)</f>
        <v>64585400</v>
      </c>
      <c r="AM80" s="597"/>
      <c r="AN80" s="597"/>
      <c r="AO80" s="597"/>
      <c r="AP80" s="597">
        <f>SUM(AP61:AS79)</f>
        <v>15625500.000000002</v>
      </c>
      <c r="AQ80" s="597"/>
      <c r="AR80" s="597"/>
      <c r="AS80" s="597"/>
      <c r="AT80" s="597">
        <f>SUM(AT61:AW79)</f>
        <v>4479310</v>
      </c>
      <c r="AU80" s="597"/>
      <c r="AV80" s="597"/>
      <c r="AW80" s="597"/>
      <c r="AX80" s="597">
        <f t="shared" ref="AX80" si="57">SUM(AX61:BA79)</f>
        <v>0</v>
      </c>
      <c r="AY80" s="597"/>
      <c r="AZ80" s="597"/>
      <c r="BA80" s="597"/>
      <c r="BB80" s="163">
        <f>SUM(BB61:BB79)</f>
        <v>0</v>
      </c>
      <c r="BC80" s="184">
        <f ca="1">SUM(BC61:BC79)</f>
        <v>0.99999999999999989</v>
      </c>
      <c r="BD80" s="184">
        <f ca="1">SUM(BD61:BD79)</f>
        <v>0.89410355145456388</v>
      </c>
      <c r="BE80" s="222" t="str">
        <f ca="1">IF(ABS(BD80-E38)&lt;0.001,"OK"," ERROR")</f>
        <v>OK</v>
      </c>
    </row>
    <row r="81" spans="1:57" x14ac:dyDescent="0.35">
      <c r="A81" s="613"/>
      <c r="B81" s="613"/>
      <c r="C81" s="613"/>
      <c r="D81" s="174"/>
      <c r="F81" s="183"/>
      <c r="G81" s="183"/>
      <c r="H81" s="183"/>
      <c r="I81" s="183"/>
      <c r="J81" s="183"/>
      <c r="K81" s="183"/>
      <c r="L81" s="183"/>
      <c r="M81" s="183"/>
      <c r="N81" s="183"/>
      <c r="O81" s="183"/>
      <c r="P81" s="183"/>
      <c r="Q81" s="183"/>
      <c r="R81" s="183">
        <v>1</v>
      </c>
      <c r="S81" s="183"/>
      <c r="T81" s="183"/>
      <c r="U81" s="183"/>
      <c r="V81" s="183">
        <v>1</v>
      </c>
      <c r="W81" s="183"/>
      <c r="X81" s="183"/>
      <c r="Y81" s="183"/>
      <c r="Z81" s="183">
        <v>1</v>
      </c>
      <c r="AA81" s="183"/>
      <c r="AB81" s="183"/>
      <c r="AC81" s="183"/>
      <c r="AD81" s="183"/>
      <c r="AE81" s="183"/>
      <c r="AF81" s="183"/>
      <c r="AG81" s="183"/>
      <c r="AH81" s="183"/>
      <c r="AI81" s="183"/>
      <c r="AJ81" s="183"/>
      <c r="AK81" s="183"/>
      <c r="AL81" s="183"/>
      <c r="AM81" s="183"/>
      <c r="AN81" s="183"/>
      <c r="AO81" s="183"/>
      <c r="AP81" s="183"/>
      <c r="AQ81" s="183"/>
      <c r="AR81" s="183"/>
      <c r="AS81" s="183"/>
      <c r="AT81" s="183"/>
      <c r="AU81" s="183"/>
      <c r="AV81" s="183"/>
      <c r="AW81" s="183"/>
      <c r="AX81" s="183"/>
      <c r="AY81" s="183"/>
      <c r="AZ81" s="183"/>
      <c r="BA81" s="183"/>
      <c r="BB81" s="183"/>
      <c r="BE81" s="166" t="s">
        <v>144</v>
      </c>
    </row>
    <row r="82" spans="1:57" x14ac:dyDescent="0.35">
      <c r="D82" s="174">
        <f ca="1">D38-D80</f>
        <v>0</v>
      </c>
      <c r="F82" s="688"/>
      <c r="G82" s="688"/>
      <c r="H82" s="688"/>
      <c r="I82" s="688"/>
      <c r="J82" s="688"/>
      <c r="K82" s="688"/>
      <c r="L82" s="688"/>
      <c r="M82" s="688"/>
      <c r="N82" s="688"/>
      <c r="O82" s="688"/>
      <c r="P82" s="688"/>
      <c r="Q82" s="688"/>
      <c r="R82" s="688"/>
      <c r="S82" s="688"/>
      <c r="T82" s="688"/>
      <c r="U82" s="688"/>
      <c r="V82" s="688"/>
      <c r="W82" s="688"/>
      <c r="X82" s="688"/>
      <c r="Y82" s="688"/>
      <c r="Z82" s="688"/>
      <c r="AA82" s="688"/>
      <c r="AB82" s="688"/>
      <c r="AC82" s="688"/>
      <c r="AD82" s="688"/>
      <c r="AE82" s="688"/>
      <c r="AF82" s="688"/>
      <c r="AG82" s="688"/>
      <c r="AH82" s="688"/>
      <c r="AI82" s="688"/>
      <c r="AJ82" s="688"/>
      <c r="AK82" s="688"/>
      <c r="AL82" s="688"/>
      <c r="AM82" s="688"/>
      <c r="AN82" s="688"/>
      <c r="AO82" s="688"/>
      <c r="AP82" s="688"/>
      <c r="AQ82" s="688"/>
      <c r="AR82" s="688"/>
      <c r="AS82" s="688"/>
      <c r="AT82" s="688"/>
      <c r="AU82" s="688"/>
      <c r="AV82" s="688"/>
      <c r="AW82" s="688"/>
      <c r="AX82" s="688"/>
      <c r="AY82" s="688"/>
      <c r="AZ82" s="688"/>
      <c r="BA82" s="688"/>
      <c r="BB82" s="170"/>
      <c r="BE82" s="166"/>
    </row>
    <row r="83" spans="1:57" x14ac:dyDescent="0.35">
      <c r="D83" s="174"/>
      <c r="F83" s="688"/>
      <c r="G83" s="688"/>
      <c r="H83" s="688"/>
      <c r="I83" s="688"/>
      <c r="J83" s="688"/>
      <c r="K83" s="688"/>
      <c r="L83" s="688"/>
      <c r="M83" s="688"/>
      <c r="N83" s="688"/>
      <c r="O83" s="688"/>
      <c r="P83" s="688"/>
      <c r="Q83" s="688"/>
      <c r="R83" s="688"/>
      <c r="S83" s="688"/>
      <c r="T83" s="688"/>
      <c r="U83" s="688"/>
      <c r="V83" s="688"/>
      <c r="W83" s="688"/>
      <c r="X83" s="688"/>
      <c r="Y83" s="688"/>
      <c r="Z83" s="688"/>
      <c r="AA83" s="688"/>
      <c r="AB83" s="688"/>
      <c r="AC83" s="688"/>
      <c r="AD83" s="688"/>
      <c r="AE83" s="688"/>
      <c r="AF83" s="688"/>
      <c r="AG83" s="688"/>
      <c r="AH83" s="688"/>
      <c r="AI83" s="688"/>
      <c r="AJ83" s="688"/>
      <c r="AK83" s="688"/>
      <c r="AL83" s="688"/>
      <c r="AM83" s="688"/>
      <c r="AN83" s="688"/>
      <c r="AO83" s="688"/>
      <c r="AP83" s="688"/>
      <c r="AQ83" s="688"/>
      <c r="AR83" s="688"/>
      <c r="AS83" s="688"/>
      <c r="AT83" s="688"/>
      <c r="AU83" s="688"/>
      <c r="AV83" s="688"/>
      <c r="AW83" s="688"/>
      <c r="AX83" s="688"/>
      <c r="AY83" s="688"/>
      <c r="AZ83" s="688"/>
      <c r="BA83" s="688"/>
      <c r="BB83" s="170"/>
    </row>
    <row r="84" spans="1:57" x14ac:dyDescent="0.35">
      <c r="D84" s="174"/>
      <c r="E84" s="167" t="s">
        <v>307</v>
      </c>
      <c r="F84" s="644">
        <f ca="1">SUM(AH12:AO12)</f>
        <v>62231026.199999988</v>
      </c>
      <c r="G84" s="645"/>
      <c r="H84" s="645"/>
      <c r="I84" s="646"/>
      <c r="J84" s="644">
        <f>SUM(AH17:AO17)*E34</f>
        <v>2370446.5000088895</v>
      </c>
      <c r="K84" s="645"/>
      <c r="L84" s="645"/>
      <c r="M84" s="646"/>
      <c r="N84" s="644">
        <f>SUM(AH18:AO18)*E34</f>
        <v>2666752</v>
      </c>
      <c r="O84" s="645"/>
      <c r="P84" s="645"/>
      <c r="Q84" s="646"/>
      <c r="R84" s="644">
        <f>SUM(AH31:AO31)*E34</f>
        <v>5208500</v>
      </c>
      <c r="S84" s="645"/>
      <c r="T84" s="645"/>
      <c r="U84" s="646"/>
      <c r="V84" s="644">
        <f>AL19*E34</f>
        <v>4479310</v>
      </c>
      <c r="W84" s="645"/>
      <c r="X84" s="645"/>
      <c r="Y84" s="646"/>
      <c r="Z84" s="644"/>
      <c r="AA84" s="645"/>
      <c r="AB84" s="645"/>
      <c r="AC84" s="646"/>
      <c r="AD84" s="644"/>
      <c r="AE84" s="645"/>
      <c r="AF84" s="645"/>
      <c r="AG84" s="646"/>
      <c r="AH84" s="688"/>
      <c r="AI84" s="688"/>
      <c r="AJ84" s="688"/>
      <c r="AK84" s="688"/>
      <c r="AL84" s="688"/>
      <c r="AM84" s="688"/>
      <c r="AN84" s="688"/>
      <c r="AO84" s="688"/>
      <c r="AP84" s="688"/>
      <c r="AQ84" s="688"/>
      <c r="AR84" s="688"/>
      <c r="AS84" s="688"/>
      <c r="AT84" s="688"/>
      <c r="AU84" s="688"/>
      <c r="AV84" s="688"/>
      <c r="AW84" s="688"/>
      <c r="AX84" s="688"/>
      <c r="AY84" s="688"/>
      <c r="AZ84" s="688"/>
      <c r="BA84" s="688"/>
      <c r="BB84" s="172"/>
    </row>
    <row r="85" spans="1:57" ht="29.25" customHeight="1" x14ac:dyDescent="0.35">
      <c r="A85" s="638" t="s">
        <v>220</v>
      </c>
      <c r="B85" s="638"/>
      <c r="C85" s="638"/>
      <c r="E85" s="548">
        <f>SUM('PLAN DE CARGAS'!AE186:AL220)</f>
        <v>24.000000000000085</v>
      </c>
      <c r="F85" s="639" t="s">
        <v>116</v>
      </c>
      <c r="G85" s="639"/>
      <c r="H85" s="639"/>
      <c r="I85" s="639"/>
      <c r="J85" s="635" t="s">
        <v>103</v>
      </c>
      <c r="K85" s="635"/>
      <c r="L85" s="635"/>
      <c r="M85" s="635"/>
      <c r="N85" s="639" t="s">
        <v>104</v>
      </c>
      <c r="O85" s="639"/>
      <c r="P85" s="639"/>
      <c r="Q85" s="639"/>
      <c r="R85" s="635" t="s">
        <v>575</v>
      </c>
      <c r="S85" s="635"/>
      <c r="T85" s="635"/>
      <c r="U85" s="635"/>
      <c r="V85" s="639" t="s">
        <v>576</v>
      </c>
      <c r="W85" s="639"/>
      <c r="X85" s="639"/>
      <c r="Y85" s="639"/>
      <c r="Z85" s="635" t="s">
        <v>505</v>
      </c>
      <c r="AA85" s="635"/>
      <c r="AB85" s="635"/>
      <c r="AC85" s="635"/>
      <c r="AD85" s="639"/>
      <c r="AE85" s="639"/>
      <c r="AF85" s="639"/>
      <c r="AG85" s="639"/>
      <c r="AH85" s="626"/>
      <c r="AI85" s="626"/>
      <c r="AJ85" s="626"/>
      <c r="AK85" s="626"/>
      <c r="AL85" s="627"/>
      <c r="AM85" s="627"/>
      <c r="AN85" s="627"/>
      <c r="AO85" s="627"/>
      <c r="AP85" s="626"/>
      <c r="AQ85" s="626"/>
      <c r="AR85" s="626"/>
      <c r="AS85" s="626"/>
      <c r="AT85" s="627"/>
      <c r="AU85" s="627"/>
      <c r="AV85" s="627"/>
      <c r="AW85" s="627"/>
      <c r="AX85" s="626"/>
      <c r="AY85" s="626"/>
      <c r="AZ85" s="626"/>
      <c r="BA85" s="626"/>
      <c r="BB85" s="316"/>
    </row>
    <row r="86" spans="1:57" x14ac:dyDescent="0.35">
      <c r="A86" s="608" t="s">
        <v>221</v>
      </c>
      <c r="B86" s="608"/>
      <c r="C86" s="608"/>
      <c r="D86" s="174">
        <f ca="1">SUM(F86:BB86)</f>
        <v>21596003.565999936</v>
      </c>
      <c r="E86" s="219">
        <f>SUM('PLAN DE CARGAS'!AE186:AX192)/E85</f>
        <v>0.26333333333333236</v>
      </c>
      <c r="F86" s="631">
        <f ca="1">E86*F84</f>
        <v>16387503.565999936</v>
      </c>
      <c r="G86" s="632"/>
      <c r="H86" s="632"/>
      <c r="I86" s="632"/>
      <c r="J86" s="632"/>
      <c r="K86" s="632"/>
      <c r="L86" s="632"/>
      <c r="M86" s="632"/>
      <c r="N86" s="632"/>
      <c r="O86" s="632"/>
      <c r="P86" s="632"/>
      <c r="Q86" s="632"/>
      <c r="R86" s="631">
        <f>'2.8 - Ofer-Deman-Ind'!H10*E34</f>
        <v>5208500</v>
      </c>
      <c r="S86" s="632"/>
      <c r="T86" s="632"/>
      <c r="U86" s="632"/>
      <c r="V86" s="632"/>
      <c r="W86" s="632"/>
      <c r="X86" s="632"/>
      <c r="Y86" s="632"/>
      <c r="Z86" s="632"/>
      <c r="AA86" s="632"/>
      <c r="AB86" s="632"/>
      <c r="AC86" s="632"/>
      <c r="AD86" s="632"/>
      <c r="AE86" s="632"/>
      <c r="AF86" s="632"/>
      <c r="AG86" s="632"/>
      <c r="AH86" s="634"/>
      <c r="AI86" s="634"/>
      <c r="AJ86" s="634"/>
      <c r="AK86" s="634"/>
      <c r="AL86" s="634"/>
      <c r="AM86" s="634"/>
      <c r="AN86" s="634"/>
      <c r="AO86" s="634"/>
      <c r="AP86" s="634"/>
      <c r="AQ86" s="634"/>
      <c r="AR86" s="634"/>
      <c r="AS86" s="634"/>
      <c r="AT86" s="634"/>
      <c r="AU86" s="634"/>
      <c r="AV86" s="634"/>
      <c r="AW86" s="634"/>
      <c r="AX86" s="634"/>
      <c r="AY86" s="634"/>
      <c r="AZ86" s="634"/>
      <c r="BA86" s="634"/>
      <c r="BB86" s="215"/>
      <c r="BC86" s="196">
        <f ca="1">D86/$D$91</f>
        <v>0.28138629426422612</v>
      </c>
      <c r="BD86" s="197">
        <f ca="1">$E$39*BC86</f>
        <v>1.1114758623436931E-2</v>
      </c>
    </row>
    <row r="87" spans="1:57" x14ac:dyDescent="0.35">
      <c r="A87" s="608" t="s">
        <v>222</v>
      </c>
      <c r="B87" s="608"/>
      <c r="C87" s="608"/>
      <c r="D87" s="174">
        <f t="shared" ref="D87:D90" ca="1" si="58">SUM(F87:BB87)</f>
        <v>11409021.469999954</v>
      </c>
      <c r="E87" s="219">
        <f>SUM('PLAN DE CARGAS'!AE193:AX198)/E85</f>
        <v>0.18333333333333263</v>
      </c>
      <c r="F87" s="631">
        <f ca="1">E87*F84</f>
        <v>11409021.469999954</v>
      </c>
      <c r="G87" s="632"/>
      <c r="H87" s="632"/>
      <c r="I87" s="632"/>
      <c r="J87" s="634"/>
      <c r="K87" s="634"/>
      <c r="L87" s="634"/>
      <c r="M87" s="634"/>
      <c r="N87" s="634"/>
      <c r="O87" s="634"/>
      <c r="P87" s="634"/>
      <c r="Q87" s="634"/>
      <c r="R87" s="634"/>
      <c r="S87" s="634"/>
      <c r="T87" s="634"/>
      <c r="U87" s="634"/>
      <c r="V87" s="634"/>
      <c r="W87" s="634"/>
      <c r="X87" s="634"/>
      <c r="Y87" s="634"/>
      <c r="Z87" s="634"/>
      <c r="AA87" s="634"/>
      <c r="AB87" s="634"/>
      <c r="AC87" s="634"/>
      <c r="AD87" s="634"/>
      <c r="AE87" s="634"/>
      <c r="AF87" s="634"/>
      <c r="AG87" s="634"/>
      <c r="AH87" s="634"/>
      <c r="AI87" s="634"/>
      <c r="AJ87" s="634"/>
      <c r="AK87" s="634"/>
      <c r="AL87" s="634"/>
      <c r="AM87" s="634"/>
      <c r="AN87" s="634"/>
      <c r="AO87" s="634"/>
      <c r="AP87" s="634"/>
      <c r="AQ87" s="634"/>
      <c r="AR87" s="634"/>
      <c r="AS87" s="634"/>
      <c r="AT87" s="634"/>
      <c r="AU87" s="634"/>
      <c r="AV87" s="634"/>
      <c r="AW87" s="634"/>
      <c r="AX87" s="634"/>
      <c r="AY87" s="634"/>
      <c r="AZ87" s="634"/>
      <c r="BA87" s="634"/>
      <c r="BB87" s="215"/>
      <c r="BC87" s="196">
        <f t="shared" ref="BC87:BC90" ca="1" si="59">D87/$D$91</f>
        <v>0.1486544611281016</v>
      </c>
      <c r="BD87" s="197">
        <f t="shared" ref="BD87:BD90" ca="1" si="60">$E$39*BC87</f>
        <v>5.871851214560013E-3</v>
      </c>
    </row>
    <row r="88" spans="1:57" x14ac:dyDescent="0.35">
      <c r="A88" s="608" t="s">
        <v>223</v>
      </c>
      <c r="B88" s="608"/>
      <c r="C88" s="608"/>
      <c r="D88" s="174">
        <f t="shared" ca="1" si="58"/>
        <v>18046997.597999927</v>
      </c>
      <c r="E88" s="219">
        <f>SUM('PLAN DE CARGAS'!AE200:AX207)/E85</f>
        <v>0.28999999999999887</v>
      </c>
      <c r="F88" s="631">
        <f ca="1">E88*F84</f>
        <v>18046997.597999927</v>
      </c>
      <c r="G88" s="632"/>
      <c r="H88" s="632"/>
      <c r="I88" s="632"/>
      <c r="J88" s="634"/>
      <c r="K88" s="634"/>
      <c r="L88" s="634"/>
      <c r="M88" s="634"/>
      <c r="N88" s="634"/>
      <c r="O88" s="634"/>
      <c r="P88" s="634"/>
      <c r="Q88" s="634"/>
      <c r="R88" s="634"/>
      <c r="S88" s="634"/>
      <c r="T88" s="634"/>
      <c r="U88" s="634"/>
      <c r="V88" s="634"/>
      <c r="W88" s="634"/>
      <c r="X88" s="634"/>
      <c r="Y88" s="634"/>
      <c r="Z88" s="634"/>
      <c r="AA88" s="634"/>
      <c r="AB88" s="634"/>
      <c r="AC88" s="634"/>
      <c r="AD88" s="634"/>
      <c r="AE88" s="634"/>
      <c r="AF88" s="634"/>
      <c r="AG88" s="634"/>
      <c r="AH88" s="634"/>
      <c r="AI88" s="634"/>
      <c r="AJ88" s="634"/>
      <c r="AK88" s="634"/>
      <c r="AL88" s="634"/>
      <c r="AM88" s="634"/>
      <c r="AN88" s="634"/>
      <c r="AO88" s="634"/>
      <c r="AP88" s="634"/>
      <c r="AQ88" s="634"/>
      <c r="AR88" s="634"/>
      <c r="AS88" s="634"/>
      <c r="AT88" s="634"/>
      <c r="AU88" s="634"/>
      <c r="AV88" s="634"/>
      <c r="AW88" s="634"/>
      <c r="AX88" s="634"/>
      <c r="AY88" s="634"/>
      <c r="AZ88" s="634"/>
      <c r="BA88" s="634"/>
      <c r="BB88" s="215"/>
      <c r="BC88" s="196">
        <f t="shared" ca="1" si="59"/>
        <v>0.23514432942081523</v>
      </c>
      <c r="BD88" s="197">
        <f t="shared" ca="1" si="60"/>
        <v>9.2882010121222019E-3</v>
      </c>
    </row>
    <row r="89" spans="1:57" ht="25.5" customHeight="1" x14ac:dyDescent="0.35">
      <c r="A89" s="608" t="s">
        <v>224</v>
      </c>
      <c r="B89" s="608"/>
      <c r="C89" s="608"/>
      <c r="D89" s="174">
        <f t="shared" ca="1" si="58"/>
        <v>14520572.77999994</v>
      </c>
      <c r="E89" s="219">
        <f>SUM('PLAN DE CARGAS'!AE207:AL213)/E85</f>
        <v>0.23333333333333242</v>
      </c>
      <c r="F89" s="631">
        <f ca="1">E89*F84</f>
        <v>14520572.77999994</v>
      </c>
      <c r="G89" s="632"/>
      <c r="H89" s="632"/>
      <c r="I89" s="632"/>
      <c r="J89" s="634"/>
      <c r="K89" s="634"/>
      <c r="L89" s="634"/>
      <c r="M89" s="634"/>
      <c r="N89" s="634"/>
      <c r="O89" s="634"/>
      <c r="P89" s="634"/>
      <c r="Q89" s="634"/>
      <c r="R89" s="634"/>
      <c r="S89" s="634"/>
      <c r="T89" s="634"/>
      <c r="U89" s="634"/>
      <c r="V89" s="634"/>
      <c r="W89" s="634"/>
      <c r="X89" s="634"/>
      <c r="Y89" s="634"/>
      <c r="Z89" s="634"/>
      <c r="AA89" s="634"/>
      <c r="AB89" s="634"/>
      <c r="AC89" s="634"/>
      <c r="AD89" s="634"/>
      <c r="AE89" s="634"/>
      <c r="AF89" s="634"/>
      <c r="AG89" s="634"/>
      <c r="AH89" s="634"/>
      <c r="AI89" s="634"/>
      <c r="AJ89" s="634"/>
      <c r="AK89" s="634"/>
      <c r="AL89" s="634"/>
      <c r="AM89" s="634"/>
      <c r="AN89" s="634"/>
      <c r="AO89" s="634"/>
      <c r="AP89" s="634"/>
      <c r="AQ89" s="634"/>
      <c r="AR89" s="634"/>
      <c r="AS89" s="634"/>
      <c r="AT89" s="634"/>
      <c r="AU89" s="634"/>
      <c r="AV89" s="634"/>
      <c r="AW89" s="634"/>
      <c r="AX89" s="634"/>
      <c r="AY89" s="634"/>
      <c r="AZ89" s="634"/>
      <c r="BA89" s="634"/>
      <c r="BB89" s="215"/>
      <c r="BC89" s="196">
        <f t="shared" ca="1" si="59"/>
        <v>0.1891965868903111</v>
      </c>
      <c r="BD89" s="197">
        <f t="shared" ca="1" si="60"/>
        <v>7.4732651821672888E-3</v>
      </c>
    </row>
    <row r="90" spans="1:57" x14ac:dyDescent="0.35">
      <c r="A90" s="608" t="s">
        <v>225</v>
      </c>
      <c r="B90" s="608"/>
      <c r="C90" s="608"/>
      <c r="D90" s="174">
        <f t="shared" ca="1" si="58"/>
        <v>11176002.532008883</v>
      </c>
      <c r="E90" s="219">
        <f>SUM('PLAN DE CARGAS'!AE214:AL220)/E85</f>
        <v>2.6666666666666571E-2</v>
      </c>
      <c r="F90" s="631">
        <f ca="1">E90*F84</f>
        <v>1659494.0319999938</v>
      </c>
      <c r="G90" s="632"/>
      <c r="H90" s="632"/>
      <c r="I90" s="632"/>
      <c r="J90" s="634">
        <f>'VIÁTICOS-TRANSP'!E43*'VIÁTICOS-TRANSP'!B51*E34</f>
        <v>2370446.5000088895</v>
      </c>
      <c r="K90" s="634"/>
      <c r="L90" s="634"/>
      <c r="M90" s="634"/>
      <c r="N90" s="634">
        <f>'VIÁTICOS-TRANSP'!F43*'VIÁTICOS-TRANSP'!B52*E34</f>
        <v>2666752</v>
      </c>
      <c r="O90" s="634"/>
      <c r="P90" s="634"/>
      <c r="Q90" s="634"/>
      <c r="R90" s="634"/>
      <c r="S90" s="634"/>
      <c r="T90" s="634"/>
      <c r="U90" s="634"/>
      <c r="V90" s="634">
        <f>'2.3 - Socialización'!J5*4*E34</f>
        <v>4479310</v>
      </c>
      <c r="W90" s="634"/>
      <c r="X90" s="634"/>
      <c r="Y90" s="634"/>
      <c r="Z90" s="634"/>
      <c r="AA90" s="634"/>
      <c r="AB90" s="634"/>
      <c r="AC90" s="634"/>
      <c r="AD90" s="636"/>
      <c r="AE90" s="636"/>
      <c r="AF90" s="636"/>
      <c r="AG90" s="636"/>
      <c r="AH90" s="634"/>
      <c r="AI90" s="634"/>
      <c r="AJ90" s="634"/>
      <c r="AK90" s="634"/>
      <c r="AL90" s="634"/>
      <c r="AM90" s="634"/>
      <c r="AN90" s="634"/>
      <c r="AO90" s="634"/>
      <c r="AP90" s="634"/>
      <c r="AQ90" s="634"/>
      <c r="AR90" s="634"/>
      <c r="AS90" s="634"/>
      <c r="AT90" s="634"/>
      <c r="AU90" s="634"/>
      <c r="AV90" s="634"/>
      <c r="AW90" s="634"/>
      <c r="AX90" s="634"/>
      <c r="AY90" s="634"/>
      <c r="AZ90" s="634"/>
      <c r="BA90" s="634"/>
      <c r="BB90" s="215"/>
      <c r="BC90" s="196">
        <f t="shared" ca="1" si="59"/>
        <v>0.14561832829665858</v>
      </c>
      <c r="BD90" s="197">
        <f t="shared" ca="1" si="60"/>
        <v>5.7519239677180142E-3</v>
      </c>
    </row>
    <row r="91" spans="1:57" x14ac:dyDescent="0.35">
      <c r="A91" s="224"/>
      <c r="B91" s="224"/>
      <c r="C91" s="228"/>
      <c r="D91" s="174">
        <f ca="1">ROUND(SUM(D86:D90),4)</f>
        <v>76748597.945999995</v>
      </c>
      <c r="E91" s="359">
        <f>SUM(E86:E90)</f>
        <v>0.99666666666666293</v>
      </c>
      <c r="F91" s="631">
        <f ca="1">ROUND(SUM(F86:I90),4)</f>
        <v>62023589.446000002</v>
      </c>
      <c r="G91" s="632"/>
      <c r="H91" s="632"/>
      <c r="I91" s="632"/>
      <c r="J91" s="636">
        <f>SUM(J86:M90)</f>
        <v>2370446.5000088895</v>
      </c>
      <c r="K91" s="636"/>
      <c r="L91" s="636"/>
      <c r="M91" s="636"/>
      <c r="N91" s="636">
        <f>SUM(N86:Q90)</f>
        <v>2666752</v>
      </c>
      <c r="O91" s="636"/>
      <c r="P91" s="636"/>
      <c r="Q91" s="636"/>
      <c r="R91" s="634">
        <f>SUM(R86:U90)</f>
        <v>5208500</v>
      </c>
      <c r="S91" s="634"/>
      <c r="T91" s="634"/>
      <c r="U91" s="634"/>
      <c r="V91" s="636">
        <f>SUM(V86:Y90)</f>
        <v>4479310</v>
      </c>
      <c r="W91" s="636"/>
      <c r="X91" s="636"/>
      <c r="Y91" s="636"/>
      <c r="Z91" s="636">
        <f>SUM(Z86:AC90)</f>
        <v>0</v>
      </c>
      <c r="AA91" s="636"/>
      <c r="AB91" s="636"/>
      <c r="AC91" s="636"/>
      <c r="AD91" s="636"/>
      <c r="AE91" s="636"/>
      <c r="AF91" s="636"/>
      <c r="AG91" s="636"/>
      <c r="AH91" s="636"/>
      <c r="AI91" s="636"/>
      <c r="AJ91" s="636"/>
      <c r="AK91" s="636"/>
      <c r="AL91" s="636"/>
      <c r="AM91" s="636"/>
      <c r="AN91" s="636"/>
      <c r="AO91" s="636"/>
      <c r="AP91" s="636"/>
      <c r="AQ91" s="636"/>
      <c r="AR91" s="636"/>
      <c r="AS91" s="636"/>
      <c r="AT91" s="636"/>
      <c r="AU91" s="636"/>
      <c r="AV91" s="636"/>
      <c r="AW91" s="636"/>
      <c r="AX91" s="636"/>
      <c r="AY91" s="636"/>
      <c r="AZ91" s="636"/>
      <c r="BA91" s="636"/>
      <c r="BB91" s="215"/>
      <c r="BC91" s="184">
        <f ca="1">SUM(BC86:BC90)</f>
        <v>1.0000000000001126</v>
      </c>
      <c r="BD91" s="223">
        <f ca="1">ROUND(SUM(BD86:BD90),4)</f>
        <v>3.95E-2</v>
      </c>
      <c r="BE91" s="222" t="str">
        <f ca="1">IF(ABS(BD91-E39)&lt;0.001,"OK"," ERROR")</f>
        <v>OK</v>
      </c>
    </row>
    <row r="92" spans="1:57" x14ac:dyDescent="0.35">
      <c r="D92" s="174"/>
      <c r="F92" s="597"/>
      <c r="G92" s="597"/>
      <c r="H92" s="597"/>
      <c r="I92" s="597"/>
      <c r="J92" s="597"/>
      <c r="K92" s="597"/>
      <c r="L92" s="597"/>
      <c r="M92" s="597"/>
      <c r="N92" s="597"/>
      <c r="O92" s="597"/>
      <c r="P92" s="597"/>
      <c r="Q92" s="597"/>
      <c r="R92" s="597"/>
      <c r="S92" s="597"/>
      <c r="T92" s="597"/>
      <c r="U92" s="597"/>
      <c r="V92" s="597"/>
      <c r="W92" s="597"/>
      <c r="X92" s="597"/>
      <c r="Y92" s="597"/>
      <c r="Z92" s="597"/>
      <c r="AA92" s="597"/>
      <c r="AB92" s="597"/>
      <c r="AC92" s="597"/>
      <c r="AD92" s="597"/>
      <c r="AE92" s="597"/>
      <c r="AF92" s="597"/>
      <c r="AG92" s="597"/>
      <c r="AH92" s="597"/>
      <c r="AI92" s="597"/>
      <c r="AJ92" s="597"/>
      <c r="AK92" s="597"/>
      <c r="AL92" s="597"/>
      <c r="AM92" s="597"/>
      <c r="AN92" s="597"/>
      <c r="AO92" s="597"/>
      <c r="AP92" s="597"/>
      <c r="AQ92" s="597"/>
      <c r="AR92" s="597"/>
      <c r="AS92" s="597"/>
      <c r="AT92" s="597"/>
      <c r="AU92" s="597"/>
      <c r="AV92" s="597"/>
      <c r="AW92" s="597"/>
      <c r="AX92" s="597"/>
      <c r="AY92" s="597"/>
      <c r="AZ92" s="597"/>
      <c r="BA92" s="597"/>
      <c r="BB92" s="163"/>
      <c r="BE92" s="166" t="s">
        <v>144</v>
      </c>
    </row>
    <row r="93" spans="1:57" x14ac:dyDescent="0.35">
      <c r="D93" s="174"/>
      <c r="F93" s="597"/>
      <c r="G93" s="597"/>
      <c r="H93" s="597"/>
      <c r="I93" s="597"/>
      <c r="J93" s="597"/>
      <c r="K93" s="597"/>
      <c r="L93" s="597"/>
      <c r="M93" s="597"/>
      <c r="N93" s="597"/>
      <c r="O93" s="597"/>
      <c r="P93" s="597"/>
      <c r="Q93" s="597"/>
      <c r="R93" s="597"/>
      <c r="S93" s="597"/>
      <c r="T93" s="597"/>
      <c r="U93" s="597"/>
      <c r="V93" s="597"/>
      <c r="W93" s="597"/>
      <c r="X93" s="597"/>
      <c r="Y93" s="597"/>
      <c r="Z93" s="597"/>
      <c r="AA93" s="597"/>
      <c r="AB93" s="597"/>
      <c r="AC93" s="597"/>
      <c r="AD93" s="597"/>
      <c r="AE93" s="597"/>
      <c r="AF93" s="597"/>
      <c r="AG93" s="597"/>
      <c r="AH93" s="597"/>
      <c r="AI93" s="597"/>
      <c r="AJ93" s="597"/>
      <c r="AK93" s="597"/>
      <c r="AL93" s="597"/>
      <c r="AM93" s="597"/>
      <c r="AN93" s="597"/>
      <c r="AO93" s="597"/>
      <c r="AP93" s="597"/>
      <c r="AQ93" s="597"/>
      <c r="AR93" s="597"/>
      <c r="AS93" s="597"/>
      <c r="AT93" s="597"/>
      <c r="AU93" s="597"/>
      <c r="AV93" s="597"/>
      <c r="AW93" s="597"/>
      <c r="AX93" s="597"/>
      <c r="AY93" s="597"/>
      <c r="AZ93" s="597"/>
      <c r="BA93" s="597"/>
      <c r="BB93" s="170"/>
      <c r="BE93" s="185"/>
    </row>
    <row r="94" spans="1:57" x14ac:dyDescent="0.35">
      <c r="F94" s="597"/>
      <c r="G94" s="597"/>
      <c r="H94" s="597"/>
      <c r="I94" s="597"/>
      <c r="J94" s="597"/>
      <c r="K94" s="597"/>
      <c r="L94" s="597"/>
      <c r="M94" s="597"/>
      <c r="N94" s="597"/>
      <c r="O94" s="597"/>
      <c r="P94" s="597"/>
      <c r="Q94" s="597"/>
      <c r="R94" s="597"/>
      <c r="S94" s="597"/>
      <c r="T94" s="597"/>
      <c r="U94" s="597"/>
      <c r="V94" s="597"/>
      <c r="W94" s="597"/>
      <c r="X94" s="597"/>
      <c r="Y94" s="597"/>
      <c r="Z94" s="597"/>
      <c r="AA94" s="597"/>
      <c r="AB94" s="597"/>
      <c r="AC94" s="597"/>
      <c r="AD94" s="597"/>
      <c r="AE94" s="597"/>
      <c r="AF94" s="597"/>
      <c r="AG94" s="597"/>
      <c r="AH94" s="597"/>
      <c r="AI94" s="597"/>
      <c r="AJ94" s="597"/>
      <c r="AK94" s="597"/>
      <c r="AL94" s="597"/>
      <c r="AM94" s="597"/>
      <c r="AN94" s="597"/>
      <c r="AO94" s="597"/>
      <c r="AP94" s="597"/>
      <c r="AQ94" s="597"/>
      <c r="AR94" s="597"/>
      <c r="AS94" s="597"/>
      <c r="AT94" s="597"/>
      <c r="AU94" s="597"/>
      <c r="AV94" s="597"/>
      <c r="AW94" s="597"/>
      <c r="AX94" s="597"/>
      <c r="AY94" s="597"/>
      <c r="AZ94" s="597"/>
      <c r="BA94" s="597"/>
      <c r="BB94" s="170"/>
    </row>
    <row r="95" spans="1:57" x14ac:dyDescent="0.35">
      <c r="A95" s="637" t="s">
        <v>234</v>
      </c>
      <c r="B95" s="637"/>
      <c r="C95" s="637"/>
      <c r="E95" s="167" t="s">
        <v>307</v>
      </c>
      <c r="F95" s="623">
        <f ca="1">SUM(AP12:BA12)</f>
        <v>60899041.655999988</v>
      </c>
      <c r="G95" s="624"/>
      <c r="H95" s="624"/>
      <c r="I95" s="624"/>
      <c r="J95" s="623">
        <f>SUM(AP17:BA17)*E34</f>
        <v>2370446.5000088895</v>
      </c>
      <c r="K95" s="624"/>
      <c r="L95" s="624"/>
      <c r="M95" s="624"/>
      <c r="N95" s="623">
        <f>SUM(AP18:BA18)*E34</f>
        <v>2000064.0000000002</v>
      </c>
      <c r="O95" s="624"/>
      <c r="P95" s="624"/>
      <c r="Q95" s="624"/>
      <c r="R95" s="623">
        <f>AX19*E34</f>
        <v>4479310</v>
      </c>
      <c r="S95" s="624"/>
      <c r="T95" s="624"/>
      <c r="U95" s="624"/>
      <c r="V95" s="640">
        <f>AX33*E34</f>
        <v>6676375.4427333344</v>
      </c>
      <c r="W95" s="640"/>
      <c r="X95" s="640"/>
      <c r="Y95" s="640"/>
      <c r="Z95" s="623"/>
      <c r="AA95" s="624"/>
      <c r="AB95" s="624"/>
      <c r="AC95" s="624"/>
      <c r="AD95" s="623"/>
      <c r="AE95" s="624"/>
      <c r="AF95" s="624"/>
      <c r="AG95" s="624"/>
      <c r="AH95" s="623"/>
      <c r="AI95" s="624"/>
      <c r="AJ95" s="624"/>
      <c r="AK95" s="624"/>
      <c r="AL95" s="623"/>
      <c r="AM95" s="624"/>
      <c r="AN95" s="624"/>
      <c r="AO95" s="624"/>
      <c r="AP95" s="623"/>
      <c r="AQ95" s="624"/>
      <c r="AR95" s="624"/>
      <c r="AS95" s="624"/>
      <c r="AT95" s="623"/>
      <c r="AU95" s="624"/>
      <c r="AV95" s="624"/>
      <c r="AW95" s="624"/>
      <c r="AX95" s="623"/>
      <c r="AY95" s="624"/>
      <c r="AZ95" s="624"/>
      <c r="BA95" s="624"/>
      <c r="BB95" s="172"/>
      <c r="BC95" s="172"/>
    </row>
    <row r="96" spans="1:57" x14ac:dyDescent="0.35">
      <c r="A96" s="161"/>
      <c r="B96" s="161"/>
      <c r="C96" s="161"/>
      <c r="E96" s="359">
        <f>SUM('PLAN DE CARGAS'!AM221:AX290)</f>
        <v>24.799999999999986</v>
      </c>
      <c r="F96" s="627" t="s">
        <v>116</v>
      </c>
      <c r="G96" s="627"/>
      <c r="H96" s="627"/>
      <c r="I96" s="627"/>
      <c r="J96" s="626" t="s">
        <v>103</v>
      </c>
      <c r="K96" s="626"/>
      <c r="L96" s="626"/>
      <c r="M96" s="626"/>
      <c r="N96" s="627" t="s">
        <v>104</v>
      </c>
      <c r="O96" s="627"/>
      <c r="P96" s="627"/>
      <c r="Q96" s="627"/>
      <c r="R96" s="627" t="s">
        <v>139</v>
      </c>
      <c r="S96" s="627"/>
      <c r="T96" s="627"/>
      <c r="U96" s="627"/>
      <c r="V96" s="627" t="s">
        <v>145</v>
      </c>
      <c r="W96" s="627"/>
      <c r="X96" s="627"/>
      <c r="Y96" s="627"/>
      <c r="Z96" s="626"/>
      <c r="AA96" s="626"/>
      <c r="AB96" s="626"/>
      <c r="AC96" s="626"/>
      <c r="AD96" s="627"/>
      <c r="AE96" s="627"/>
      <c r="AF96" s="627"/>
      <c r="AG96" s="627"/>
      <c r="AH96" s="626"/>
      <c r="AI96" s="626"/>
      <c r="AJ96" s="626"/>
      <c r="AK96" s="626"/>
      <c r="AL96" s="627"/>
      <c r="AM96" s="627"/>
      <c r="AN96" s="627"/>
      <c r="AO96" s="627"/>
      <c r="AP96" s="626"/>
      <c r="AQ96" s="626"/>
      <c r="AR96" s="626"/>
      <c r="AS96" s="626"/>
      <c r="AT96" s="627"/>
      <c r="AU96" s="627"/>
      <c r="AV96" s="627"/>
      <c r="AW96" s="627"/>
      <c r="AX96" s="626"/>
      <c r="AY96" s="626"/>
      <c r="AZ96" s="626"/>
      <c r="BA96" s="626"/>
      <c r="BB96" s="182"/>
      <c r="BC96" s="198"/>
    </row>
    <row r="97" spans="1:58" x14ac:dyDescent="0.35">
      <c r="A97" s="661" t="s">
        <v>275</v>
      </c>
      <c r="B97" s="661"/>
      <c r="C97" s="661"/>
      <c r="D97" s="360">
        <f ca="1">SUM(F97:BB97)</f>
        <v>4125418.9508903255</v>
      </c>
      <c r="E97" s="219">
        <f>SUM('PLAN DE CARGAS'!AM221:AX227)/E96</f>
        <v>6.774193548387103E-2</v>
      </c>
      <c r="F97" s="596">
        <f ca="1">E97*F95</f>
        <v>4125418.9508903255</v>
      </c>
      <c r="G97" s="596"/>
      <c r="H97" s="596"/>
      <c r="I97" s="596"/>
      <c r="J97" s="596"/>
      <c r="K97" s="596"/>
      <c r="L97" s="596"/>
      <c r="M97" s="596"/>
      <c r="N97" s="596"/>
      <c r="O97" s="596"/>
      <c r="P97" s="596"/>
      <c r="Q97" s="596"/>
      <c r="R97" s="596"/>
      <c r="S97" s="596"/>
      <c r="T97" s="596"/>
      <c r="U97" s="596"/>
      <c r="V97" s="596"/>
      <c r="W97" s="596"/>
      <c r="X97" s="596"/>
      <c r="Y97" s="596"/>
      <c r="Z97" s="596"/>
      <c r="AA97" s="596"/>
      <c r="AB97" s="596"/>
      <c r="AC97" s="596"/>
      <c r="AD97" s="596"/>
      <c r="AE97" s="596"/>
      <c r="AF97" s="596"/>
      <c r="AG97" s="596"/>
      <c r="AH97" s="596"/>
      <c r="AI97" s="596"/>
      <c r="AJ97" s="596"/>
      <c r="AK97" s="596"/>
      <c r="AL97" s="596"/>
      <c r="AM97" s="596"/>
      <c r="AN97" s="596"/>
      <c r="AO97" s="596"/>
      <c r="AP97" s="596"/>
      <c r="AQ97" s="596"/>
      <c r="AR97" s="596"/>
      <c r="AS97" s="596"/>
      <c r="AT97" s="596"/>
      <c r="AU97" s="596"/>
      <c r="AV97" s="596"/>
      <c r="AW97" s="596"/>
      <c r="AX97" s="596"/>
      <c r="AY97" s="596"/>
      <c r="AZ97" s="596"/>
      <c r="BA97" s="596"/>
      <c r="BB97" s="172"/>
      <c r="BC97" s="196">
        <f ca="1">D97/$D$107</f>
        <v>5.3979798827089275E-2</v>
      </c>
      <c r="BD97" s="197">
        <f ca="1">$E$40*BC97</f>
        <v>2.1160081140218995E-3</v>
      </c>
    </row>
    <row r="98" spans="1:58" x14ac:dyDescent="0.35">
      <c r="A98" s="661" t="s">
        <v>276</v>
      </c>
      <c r="B98" s="661"/>
      <c r="C98" s="661"/>
      <c r="D98" s="360">
        <f ca="1">SUM(F98:BB98)</f>
        <v>4125418.9508903255</v>
      </c>
      <c r="E98" s="219">
        <f>SUM('PLAN DE CARGAS'!AM228:AX234)/E96</f>
        <v>6.774193548387103E-2</v>
      </c>
      <c r="F98" s="596">
        <f ca="1">E98*F95</f>
        <v>4125418.9508903255</v>
      </c>
      <c r="G98" s="596"/>
      <c r="H98" s="596"/>
      <c r="I98" s="596"/>
      <c r="J98" s="631"/>
      <c r="K98" s="631"/>
      <c r="L98" s="631"/>
      <c r="M98" s="631"/>
      <c r="N98" s="631"/>
      <c r="O98" s="631"/>
      <c r="P98" s="631"/>
      <c r="Q98" s="631"/>
      <c r="R98" s="631"/>
      <c r="S98" s="631"/>
      <c r="T98" s="631"/>
      <c r="U98" s="631"/>
      <c r="V98" s="631"/>
      <c r="W98" s="631"/>
      <c r="X98" s="631"/>
      <c r="Y98" s="631"/>
      <c r="Z98" s="631"/>
      <c r="AA98" s="631"/>
      <c r="AB98" s="631"/>
      <c r="AC98" s="631"/>
      <c r="AD98" s="631"/>
      <c r="AE98" s="631"/>
      <c r="AF98" s="631"/>
      <c r="AG98" s="631"/>
      <c r="AH98" s="631"/>
      <c r="AI98" s="631"/>
      <c r="AJ98" s="631"/>
      <c r="AK98" s="631"/>
      <c r="AL98" s="631"/>
      <c r="AM98" s="631"/>
      <c r="AN98" s="631"/>
      <c r="AO98" s="631"/>
      <c r="AP98" s="631"/>
      <c r="AQ98" s="631"/>
      <c r="AR98" s="631"/>
      <c r="AS98" s="631"/>
      <c r="AT98" s="631"/>
      <c r="AU98" s="631"/>
      <c r="AV98" s="631"/>
      <c r="AW98" s="631"/>
      <c r="AX98" s="631"/>
      <c r="AY98" s="631"/>
      <c r="AZ98" s="631"/>
      <c r="BA98" s="631"/>
      <c r="BB98" s="172"/>
      <c r="BC98" s="196">
        <f t="shared" ref="BC98:BC106" ca="1" si="61">D98/$D$107</f>
        <v>5.3979798827089275E-2</v>
      </c>
      <c r="BD98" s="197">
        <f t="shared" ref="BD98:BD106" ca="1" si="62">$E$40*BC98</f>
        <v>2.1160081140218995E-3</v>
      </c>
    </row>
    <row r="99" spans="1:58" ht="27" customHeight="1" x14ac:dyDescent="0.35">
      <c r="A99" s="661" t="s">
        <v>277</v>
      </c>
      <c r="B99" s="661"/>
      <c r="C99" s="661"/>
      <c r="D99" s="360">
        <f t="shared" ref="D99:D106" ca="1" si="63">SUM(F99:BB99)</f>
        <v>4125418.9508903255</v>
      </c>
      <c r="E99" s="219">
        <f>SUM('PLAN DE CARGAS'!AM235:AX241)/E96</f>
        <v>6.774193548387103E-2</v>
      </c>
      <c r="F99" s="596">
        <f ca="1">E99*F95</f>
        <v>4125418.9508903255</v>
      </c>
      <c r="G99" s="596"/>
      <c r="H99" s="596"/>
      <c r="I99" s="596"/>
      <c r="J99" s="631"/>
      <c r="K99" s="631"/>
      <c r="L99" s="631"/>
      <c r="M99" s="631"/>
      <c r="N99" s="631"/>
      <c r="O99" s="631"/>
      <c r="P99" s="631"/>
      <c r="Q99" s="631"/>
      <c r="R99" s="631"/>
      <c r="S99" s="631"/>
      <c r="T99" s="631"/>
      <c r="U99" s="631"/>
      <c r="V99" s="631"/>
      <c r="W99" s="631"/>
      <c r="X99" s="631"/>
      <c r="Y99" s="631"/>
      <c r="Z99" s="631"/>
      <c r="AA99" s="631"/>
      <c r="AB99" s="631"/>
      <c r="AC99" s="631"/>
      <c r="AD99" s="631"/>
      <c r="AE99" s="631"/>
      <c r="AF99" s="631"/>
      <c r="AG99" s="631"/>
      <c r="AH99" s="631"/>
      <c r="AI99" s="631"/>
      <c r="AJ99" s="631"/>
      <c r="AK99" s="631"/>
      <c r="AL99" s="631"/>
      <c r="AM99" s="631"/>
      <c r="AN99" s="631"/>
      <c r="AO99" s="631"/>
      <c r="AP99" s="631"/>
      <c r="AQ99" s="631"/>
      <c r="AR99" s="631"/>
      <c r="AS99" s="631"/>
      <c r="AT99" s="631"/>
      <c r="AU99" s="631"/>
      <c r="AV99" s="631"/>
      <c r="AW99" s="631"/>
      <c r="AX99" s="631"/>
      <c r="AY99" s="631"/>
      <c r="AZ99" s="631"/>
      <c r="BA99" s="631"/>
      <c r="BB99" s="172"/>
      <c r="BC99" s="196">
        <f t="shared" ca="1" si="61"/>
        <v>5.3979798827089275E-2</v>
      </c>
      <c r="BD99" s="197">
        <f t="shared" ca="1" si="62"/>
        <v>2.1160081140218995E-3</v>
      </c>
    </row>
    <row r="100" spans="1:58" x14ac:dyDescent="0.35">
      <c r="A100" s="661" t="s">
        <v>278</v>
      </c>
      <c r="B100" s="661"/>
      <c r="C100" s="661"/>
      <c r="D100" s="360">
        <f t="shared" ca="1" si="63"/>
        <v>4125418.9508903255</v>
      </c>
      <c r="E100" s="219">
        <f>SUM('PLAN DE CARGAS'!AM242:AX248)/E96</f>
        <v>6.774193548387103E-2</v>
      </c>
      <c r="F100" s="596">
        <f ca="1">E100*F95</f>
        <v>4125418.9508903255</v>
      </c>
      <c r="G100" s="596"/>
      <c r="H100" s="596"/>
      <c r="I100" s="596"/>
      <c r="J100" s="631"/>
      <c r="K100" s="631"/>
      <c r="L100" s="631"/>
      <c r="M100" s="631"/>
      <c r="N100" s="631"/>
      <c r="O100" s="631"/>
      <c r="P100" s="631"/>
      <c r="Q100" s="631"/>
      <c r="R100" s="631"/>
      <c r="S100" s="631"/>
      <c r="T100" s="631"/>
      <c r="U100" s="631"/>
      <c r="V100" s="631"/>
      <c r="W100" s="631"/>
      <c r="X100" s="631"/>
      <c r="Y100" s="631"/>
      <c r="Z100" s="631"/>
      <c r="AA100" s="631"/>
      <c r="AB100" s="631"/>
      <c r="AC100" s="631"/>
      <c r="AD100" s="631"/>
      <c r="AE100" s="631"/>
      <c r="AF100" s="631"/>
      <c r="AG100" s="631"/>
      <c r="AH100" s="631"/>
      <c r="AI100" s="631"/>
      <c r="AJ100" s="631"/>
      <c r="AK100" s="631"/>
      <c r="AL100" s="631"/>
      <c r="AM100" s="631"/>
      <c r="AN100" s="631"/>
      <c r="AO100" s="631"/>
      <c r="AP100" s="631"/>
      <c r="AQ100" s="631"/>
      <c r="AR100" s="631"/>
      <c r="AS100" s="631"/>
      <c r="AT100" s="631"/>
      <c r="AU100" s="631"/>
      <c r="AV100" s="631"/>
      <c r="AW100" s="631"/>
      <c r="AX100" s="631"/>
      <c r="AY100" s="631"/>
      <c r="AZ100" s="631"/>
      <c r="BA100" s="631"/>
      <c r="BB100" s="172"/>
      <c r="BC100" s="196">
        <f t="shared" ca="1" si="61"/>
        <v>5.3979798827089275E-2</v>
      </c>
      <c r="BD100" s="197">
        <f t="shared" ca="1" si="62"/>
        <v>2.1160081140218995E-3</v>
      </c>
    </row>
    <row r="101" spans="1:58" x14ac:dyDescent="0.35">
      <c r="A101" s="661" t="s">
        <v>279</v>
      </c>
      <c r="B101" s="661"/>
      <c r="C101" s="661"/>
      <c r="D101" s="360">
        <f t="shared" ca="1" si="63"/>
        <v>4125418.9508903255</v>
      </c>
      <c r="E101" s="219">
        <f>SUM('PLAN DE CARGAS'!AM249:AP255)/E96</f>
        <v>6.774193548387103E-2</v>
      </c>
      <c r="F101" s="596">
        <f ca="1">E101*F95</f>
        <v>4125418.9508903255</v>
      </c>
      <c r="G101" s="596"/>
      <c r="H101" s="596"/>
      <c r="I101" s="596"/>
      <c r="J101" s="631"/>
      <c r="K101" s="631"/>
      <c r="L101" s="631"/>
      <c r="M101" s="631"/>
      <c r="N101" s="631"/>
      <c r="O101" s="631"/>
      <c r="P101" s="631"/>
      <c r="Q101" s="631"/>
      <c r="R101" s="631"/>
      <c r="S101" s="631"/>
      <c r="T101" s="631"/>
      <c r="U101" s="631"/>
      <c r="V101" s="631"/>
      <c r="W101" s="631"/>
      <c r="X101" s="631"/>
      <c r="Y101" s="631"/>
      <c r="Z101" s="631"/>
      <c r="AA101" s="631"/>
      <c r="AB101" s="631"/>
      <c r="AC101" s="631"/>
      <c r="AD101" s="631"/>
      <c r="AE101" s="631"/>
      <c r="AF101" s="631"/>
      <c r="AG101" s="631"/>
      <c r="AH101" s="631"/>
      <c r="AI101" s="631"/>
      <c r="AJ101" s="631"/>
      <c r="AK101" s="631"/>
      <c r="AL101" s="631"/>
      <c r="AM101" s="631"/>
      <c r="AN101" s="631"/>
      <c r="AO101" s="631"/>
      <c r="AP101" s="631"/>
      <c r="AQ101" s="631"/>
      <c r="AR101" s="631"/>
      <c r="AS101" s="631"/>
      <c r="AT101" s="631"/>
      <c r="AU101" s="631"/>
      <c r="AV101" s="631"/>
      <c r="AW101" s="631"/>
      <c r="AX101" s="631"/>
      <c r="AY101" s="631"/>
      <c r="AZ101" s="631"/>
      <c r="BA101" s="631"/>
      <c r="BB101" s="172"/>
      <c r="BC101" s="196">
        <f t="shared" ca="1" si="61"/>
        <v>5.3979798827089275E-2</v>
      </c>
      <c r="BD101" s="197">
        <f t="shared" ca="1" si="62"/>
        <v>2.1160081140218995E-3</v>
      </c>
    </row>
    <row r="102" spans="1:58" x14ac:dyDescent="0.35">
      <c r="A102" s="661" t="s">
        <v>280</v>
      </c>
      <c r="B102" s="661"/>
      <c r="C102" s="661"/>
      <c r="D102" s="360">
        <f t="shared" ca="1" si="63"/>
        <v>6581025.4692774201</v>
      </c>
      <c r="E102" s="219">
        <f>SUM('PLAN DE CARGAS'!AM256:AX262)/E96</f>
        <v>0.10806451612903228</v>
      </c>
      <c r="F102" s="596">
        <f ca="1">E102*F95</f>
        <v>6581025.4692774201</v>
      </c>
      <c r="G102" s="596"/>
      <c r="H102" s="596"/>
      <c r="I102" s="596"/>
      <c r="J102" s="631"/>
      <c r="K102" s="631"/>
      <c r="L102" s="631"/>
      <c r="M102" s="631"/>
      <c r="N102" s="631"/>
      <c r="O102" s="631"/>
      <c r="P102" s="631"/>
      <c r="Q102" s="631"/>
      <c r="R102" s="631"/>
      <c r="S102" s="631"/>
      <c r="T102" s="631"/>
      <c r="U102" s="631"/>
      <c r="V102" s="631"/>
      <c r="W102" s="631"/>
      <c r="X102" s="631"/>
      <c r="Y102" s="631"/>
      <c r="Z102" s="631"/>
      <c r="AA102" s="631"/>
      <c r="AB102" s="631"/>
      <c r="AC102" s="631"/>
      <c r="AD102" s="631"/>
      <c r="AE102" s="631"/>
      <c r="AF102" s="631"/>
      <c r="AG102" s="631"/>
      <c r="AH102" s="631"/>
      <c r="AI102" s="631"/>
      <c r="AJ102" s="631"/>
      <c r="AK102" s="631"/>
      <c r="AL102" s="631"/>
      <c r="AM102" s="631"/>
      <c r="AN102" s="631"/>
      <c r="AO102" s="631"/>
      <c r="AP102" s="631"/>
      <c r="AQ102" s="631"/>
      <c r="AR102" s="631"/>
      <c r="AS102" s="631"/>
      <c r="AT102" s="631"/>
      <c r="AU102" s="631"/>
      <c r="AV102" s="631"/>
      <c r="AW102" s="631"/>
      <c r="AX102" s="631"/>
      <c r="AY102" s="631"/>
      <c r="AZ102" s="631"/>
      <c r="BA102" s="631"/>
      <c r="BB102" s="172"/>
      <c r="BC102" s="196">
        <f t="shared" ca="1" si="61"/>
        <v>8.6110631462261417E-2</v>
      </c>
      <c r="BD102" s="197">
        <f t="shared" ca="1" si="62"/>
        <v>3.3755367533206473E-3</v>
      </c>
    </row>
    <row r="103" spans="1:58" x14ac:dyDescent="0.35">
      <c r="A103" s="661" t="s">
        <v>281</v>
      </c>
      <c r="B103" s="661"/>
      <c r="C103" s="661"/>
      <c r="D103" s="360">
        <f t="shared" ca="1" si="63"/>
        <v>6482801.2085419353</v>
      </c>
      <c r="E103" s="219">
        <f>SUM('PLAN DE CARGAS'!AM263:AX269)/E96</f>
        <v>0.10645161290322583</v>
      </c>
      <c r="F103" s="596">
        <f ca="1">E103*F95</f>
        <v>6482801.2085419353</v>
      </c>
      <c r="G103" s="596"/>
      <c r="H103" s="596"/>
      <c r="I103" s="596"/>
      <c r="J103" s="631"/>
      <c r="K103" s="631"/>
      <c r="L103" s="631"/>
      <c r="M103" s="631"/>
      <c r="N103" s="631"/>
      <c r="O103" s="631"/>
      <c r="P103" s="631"/>
      <c r="Q103" s="631"/>
      <c r="R103" s="631"/>
      <c r="S103" s="631"/>
      <c r="T103" s="631"/>
      <c r="U103" s="631"/>
      <c r="V103" s="631"/>
      <c r="W103" s="631"/>
      <c r="X103" s="631"/>
      <c r="Y103" s="631"/>
      <c r="Z103" s="631"/>
      <c r="AA103" s="631"/>
      <c r="AB103" s="631"/>
      <c r="AC103" s="631"/>
      <c r="AD103" s="631"/>
      <c r="AE103" s="631"/>
      <c r="AF103" s="631"/>
      <c r="AG103" s="631"/>
      <c r="AH103" s="631"/>
      <c r="AI103" s="631"/>
      <c r="AJ103" s="631"/>
      <c r="AK103" s="631"/>
      <c r="AL103" s="631"/>
      <c r="AM103" s="631"/>
      <c r="AN103" s="631"/>
      <c r="AO103" s="631"/>
      <c r="AP103" s="631"/>
      <c r="AQ103" s="631"/>
      <c r="AR103" s="631"/>
      <c r="AS103" s="631"/>
      <c r="AT103" s="631"/>
      <c r="AU103" s="631"/>
      <c r="AV103" s="631"/>
      <c r="AW103" s="631"/>
      <c r="AX103" s="631"/>
      <c r="AY103" s="631"/>
      <c r="AZ103" s="631"/>
      <c r="BA103" s="631"/>
      <c r="BB103" s="172"/>
      <c r="BC103" s="196">
        <f t="shared" ca="1" si="61"/>
        <v>8.4825398156854512E-2</v>
      </c>
      <c r="BD103" s="197">
        <f t="shared" ca="1" si="62"/>
        <v>3.3251556077486966E-3</v>
      </c>
    </row>
    <row r="104" spans="1:58" x14ac:dyDescent="0.35">
      <c r="A104" s="661" t="s">
        <v>282</v>
      </c>
      <c r="B104" s="661"/>
      <c r="C104" s="661"/>
      <c r="D104" s="360">
        <f t="shared" ca="1" si="63"/>
        <v>6777473.9907483906</v>
      </c>
      <c r="E104" s="219">
        <f>SUM('PLAN DE CARGAS'!AM270:AX276)/E96</f>
        <v>0.11129032258064524</v>
      </c>
      <c r="F104" s="596">
        <f ca="1">E104*F95</f>
        <v>6777473.9907483906</v>
      </c>
      <c r="G104" s="596"/>
      <c r="H104" s="596"/>
      <c r="I104" s="596"/>
      <c r="J104" s="631"/>
      <c r="K104" s="631"/>
      <c r="L104" s="631"/>
      <c r="M104" s="631"/>
      <c r="N104" s="631"/>
      <c r="O104" s="631"/>
      <c r="P104" s="631"/>
      <c r="Q104" s="631"/>
      <c r="R104" s="631"/>
      <c r="S104" s="631"/>
      <c r="T104" s="631"/>
      <c r="U104" s="631"/>
      <c r="V104" s="631"/>
      <c r="W104" s="631"/>
      <c r="X104" s="631"/>
      <c r="Y104" s="631"/>
      <c r="Z104" s="631"/>
      <c r="AA104" s="631"/>
      <c r="AB104" s="631"/>
      <c r="AC104" s="631"/>
      <c r="AD104" s="631"/>
      <c r="AE104" s="631"/>
      <c r="AF104" s="631"/>
      <c r="AG104" s="631"/>
      <c r="AH104" s="631"/>
      <c r="AI104" s="631"/>
      <c r="AJ104" s="631"/>
      <c r="AK104" s="631"/>
      <c r="AL104" s="631"/>
      <c r="AM104" s="631"/>
      <c r="AN104" s="631"/>
      <c r="AO104" s="631"/>
      <c r="AP104" s="631"/>
      <c r="AQ104" s="631"/>
      <c r="AR104" s="631"/>
      <c r="AS104" s="631"/>
      <c r="AT104" s="631"/>
      <c r="AU104" s="631"/>
      <c r="AV104" s="631"/>
      <c r="AW104" s="631"/>
      <c r="AX104" s="631"/>
      <c r="AY104" s="631"/>
      <c r="AZ104" s="631"/>
      <c r="BA104" s="631"/>
      <c r="BB104" s="172"/>
      <c r="BC104" s="196">
        <f t="shared" ca="1" si="61"/>
        <v>8.8681098073075226E-2</v>
      </c>
      <c r="BD104" s="197">
        <f t="shared" ca="1" si="62"/>
        <v>3.4762990444645488E-3</v>
      </c>
    </row>
    <row r="105" spans="1:58" x14ac:dyDescent="0.35">
      <c r="A105" s="661" t="s">
        <v>283</v>
      </c>
      <c r="B105" s="661"/>
      <c r="C105" s="661"/>
      <c r="D105" s="360">
        <f t="shared" ca="1" si="63"/>
        <v>11158559.730012907</v>
      </c>
      <c r="E105" s="219">
        <f>SUM('PLAN DE CARGAS'!AM277:AX283)/E96</f>
        <v>0.10967741935483878</v>
      </c>
      <c r="F105" s="596">
        <f ca="1">E105*F95</f>
        <v>6679249.7300129067</v>
      </c>
      <c r="G105" s="596"/>
      <c r="H105" s="596"/>
      <c r="I105" s="596"/>
      <c r="J105" s="631"/>
      <c r="K105" s="631"/>
      <c r="L105" s="631"/>
      <c r="M105" s="631"/>
      <c r="N105" s="631"/>
      <c r="O105" s="631"/>
      <c r="P105" s="631"/>
      <c r="Q105" s="631"/>
      <c r="R105" s="631">
        <f>'2.3 - Socialización'!J5*4*E34</f>
        <v>4479310</v>
      </c>
      <c r="S105" s="631"/>
      <c r="T105" s="631"/>
      <c r="U105" s="631"/>
      <c r="V105" s="631"/>
      <c r="W105" s="631"/>
      <c r="X105" s="631"/>
      <c r="Y105" s="631"/>
      <c r="Z105" s="631"/>
      <c r="AA105" s="631"/>
      <c r="AB105" s="631"/>
      <c r="AC105" s="631"/>
      <c r="AD105" s="631"/>
      <c r="AE105" s="631"/>
      <c r="AF105" s="631"/>
      <c r="AG105" s="631"/>
      <c r="AH105" s="631"/>
      <c r="AI105" s="631"/>
      <c r="AJ105" s="631"/>
      <c r="AK105" s="631"/>
      <c r="AL105" s="631"/>
      <c r="AM105" s="631"/>
      <c r="AN105" s="631"/>
      <c r="AO105" s="631"/>
      <c r="AP105" s="631"/>
      <c r="AQ105" s="631"/>
      <c r="AR105" s="631"/>
      <c r="AS105" s="631"/>
      <c r="AT105" s="631"/>
      <c r="AU105" s="631"/>
      <c r="AV105" s="631"/>
      <c r="AW105" s="631"/>
      <c r="AX105" s="631"/>
      <c r="AY105" s="631"/>
      <c r="AZ105" s="631"/>
      <c r="BA105" s="631"/>
      <c r="BB105" s="172"/>
      <c r="BC105" s="196">
        <f t="shared" ca="1" si="61"/>
        <v>0.14600621575565392</v>
      </c>
      <c r="BD105" s="197">
        <f t="shared" ca="1" si="62"/>
        <v>5.7234436576216333E-3</v>
      </c>
    </row>
    <row r="106" spans="1:58" x14ac:dyDescent="0.35">
      <c r="A106" s="662" t="s">
        <v>284</v>
      </c>
      <c r="B106" s="662"/>
      <c r="C106" s="662"/>
      <c r="D106" s="360">
        <f t="shared" ca="1" si="63"/>
        <v>24798282.445709974</v>
      </c>
      <c r="E106" s="219">
        <f>SUM('PLAN DE CARGAS'!AM284:AX290)/E96</f>
        <v>0.22580645161290336</v>
      </c>
      <c r="F106" s="596">
        <f ca="1">E106*F95</f>
        <v>13751396.502967747</v>
      </c>
      <c r="G106" s="596"/>
      <c r="H106" s="596"/>
      <c r="I106" s="596"/>
      <c r="J106" s="631">
        <f>'VIÁTICOS-TRANSP'!E57*'VIÁTICOS-TRANSP'!B64*E34</f>
        <v>2370446.5000088895</v>
      </c>
      <c r="K106" s="631"/>
      <c r="L106" s="631"/>
      <c r="M106" s="631"/>
      <c r="N106" s="631">
        <f>'VIÁTICOS-TRANSP'!F57*'VIÁTICOS-TRANSP'!B65*E34</f>
        <v>2000064.0000000002</v>
      </c>
      <c r="O106" s="631"/>
      <c r="P106" s="631"/>
      <c r="Q106" s="631"/>
      <c r="R106" s="631"/>
      <c r="S106" s="631"/>
      <c r="T106" s="631"/>
      <c r="U106" s="631"/>
      <c r="V106" s="631">
        <f>'2.10 - Impresiones'!I8*E34</f>
        <v>6676375.4427333344</v>
      </c>
      <c r="W106" s="631"/>
      <c r="X106" s="631"/>
      <c r="Y106" s="631"/>
      <c r="Z106" s="631"/>
      <c r="AA106" s="631"/>
      <c r="AB106" s="631"/>
      <c r="AC106" s="631"/>
      <c r="AD106" s="631"/>
      <c r="AE106" s="631"/>
      <c r="AF106" s="631"/>
      <c r="AG106" s="631"/>
      <c r="AH106" s="631"/>
      <c r="AI106" s="631"/>
      <c r="AJ106" s="631"/>
      <c r="AK106" s="631"/>
      <c r="AL106" s="631"/>
      <c r="AM106" s="631"/>
      <c r="AN106" s="631"/>
      <c r="AO106" s="631"/>
      <c r="AP106" s="631"/>
      <c r="AQ106" s="631"/>
      <c r="AR106" s="631"/>
      <c r="AS106" s="631"/>
      <c r="AT106" s="631"/>
      <c r="AU106" s="631"/>
      <c r="AV106" s="631"/>
      <c r="AW106" s="631"/>
      <c r="AX106" s="631"/>
      <c r="AY106" s="631"/>
      <c r="AZ106" s="631"/>
      <c r="BA106" s="631"/>
      <c r="BB106" s="172"/>
      <c r="BC106" s="196">
        <f t="shared" ca="1" si="61"/>
        <v>0.32447766241726139</v>
      </c>
      <c r="BD106" s="197">
        <f t="shared" ca="1" si="62"/>
        <v>1.2719524366756645E-2</v>
      </c>
    </row>
    <row r="107" spans="1:58" x14ac:dyDescent="0.35">
      <c r="A107" s="663"/>
      <c r="B107" s="663"/>
      <c r="C107" s="663"/>
      <c r="D107" s="174">
        <f ca="1">ROUND(SUM(D97:D106),4)</f>
        <v>76425237.598700002</v>
      </c>
      <c r="E107" s="359">
        <f>SUM(E97:E106)</f>
        <v>1.0000000000000004</v>
      </c>
      <c r="F107" s="631">
        <f ca="1">ROUND(SUM(F97:I106),4)</f>
        <v>60899041.656000003</v>
      </c>
      <c r="G107" s="631"/>
      <c r="H107" s="631"/>
      <c r="I107" s="631"/>
      <c r="J107" s="596">
        <f>SUM(J97:M106)</f>
        <v>2370446.5000088895</v>
      </c>
      <c r="K107" s="596"/>
      <c r="L107" s="596"/>
      <c r="M107" s="596"/>
      <c r="N107" s="596">
        <f t="shared" ref="N107" si="64">SUM(N97:Q106)</f>
        <v>2000064.0000000002</v>
      </c>
      <c r="O107" s="596"/>
      <c r="P107" s="596"/>
      <c r="Q107" s="596"/>
      <c r="R107" s="596">
        <f>SUM(R97:U105)</f>
        <v>4479310</v>
      </c>
      <c r="S107" s="596"/>
      <c r="T107" s="596"/>
      <c r="U107" s="596"/>
      <c r="V107" s="596">
        <f t="shared" ref="V107" si="65">SUM(V97:Y106)</f>
        <v>6676375.4427333344</v>
      </c>
      <c r="W107" s="596"/>
      <c r="X107" s="596"/>
      <c r="Y107" s="596"/>
      <c r="Z107" s="631"/>
      <c r="AA107" s="631"/>
      <c r="AB107" s="631"/>
      <c r="AC107" s="631"/>
      <c r="AD107" s="631"/>
      <c r="AE107" s="631"/>
      <c r="AF107" s="631"/>
      <c r="AG107" s="631"/>
      <c r="AH107" s="631"/>
      <c r="AI107" s="631"/>
      <c r="AJ107" s="631"/>
      <c r="AK107" s="631"/>
      <c r="AL107" s="631"/>
      <c r="AM107" s="631"/>
      <c r="AN107" s="631"/>
      <c r="AO107" s="631"/>
      <c r="AP107" s="631"/>
      <c r="AQ107" s="631"/>
      <c r="AR107" s="631"/>
      <c r="AS107" s="631"/>
      <c r="AT107" s="631"/>
      <c r="AU107" s="631"/>
      <c r="AV107" s="631"/>
      <c r="AW107" s="631"/>
      <c r="AX107" s="631"/>
      <c r="AY107" s="631"/>
      <c r="AZ107" s="631"/>
      <c r="BA107" s="631"/>
      <c r="BB107" s="172"/>
      <c r="BC107" s="184">
        <f ca="1">SUM(BC97:BC106)</f>
        <v>1.0000000000005529</v>
      </c>
      <c r="BD107" s="223">
        <f ca="1">ROUND(SUM(BD97:BD106),4)</f>
        <v>3.9199999999999999E-2</v>
      </c>
      <c r="BE107" s="222" t="str">
        <f ca="1">IF(ABS(BD107-E40)&lt;0.001,"OK"," ERROR")</f>
        <v>OK</v>
      </c>
    </row>
    <row r="108" spans="1:58" x14ac:dyDescent="0.35">
      <c r="F108" s="589"/>
      <c r="G108" s="589"/>
      <c r="H108" s="589"/>
      <c r="I108" s="589"/>
      <c r="J108" s="589"/>
      <c r="K108" s="589"/>
      <c r="L108" s="589"/>
      <c r="M108" s="589"/>
      <c r="N108" s="589"/>
      <c r="O108" s="589"/>
      <c r="P108" s="589"/>
      <c r="Q108" s="589"/>
      <c r="R108" s="589"/>
      <c r="S108" s="589"/>
      <c r="T108" s="589"/>
      <c r="U108" s="589"/>
      <c r="V108" s="589"/>
      <c r="W108" s="589"/>
      <c r="X108" s="589"/>
      <c r="Y108" s="589"/>
      <c r="Z108" s="589"/>
      <c r="AA108" s="589"/>
      <c r="AB108" s="589"/>
      <c r="AC108" s="589"/>
      <c r="AD108" s="589"/>
      <c r="AE108" s="589"/>
      <c r="AF108" s="589"/>
      <c r="AG108" s="589"/>
      <c r="AH108" s="589"/>
      <c r="AI108" s="589"/>
      <c r="AJ108" s="589"/>
      <c r="AK108" s="589"/>
      <c r="AL108" s="589"/>
      <c r="AM108" s="589"/>
      <c r="AN108" s="589"/>
      <c r="AO108" s="589"/>
      <c r="AP108" s="589"/>
      <c r="AQ108" s="589"/>
      <c r="AR108" s="589"/>
      <c r="AS108" s="589"/>
      <c r="AT108" s="589"/>
      <c r="AU108" s="589"/>
      <c r="AV108" s="589"/>
      <c r="AW108" s="589"/>
      <c r="AX108" s="589"/>
      <c r="AY108" s="589"/>
      <c r="AZ108" s="589"/>
      <c r="BA108" s="589"/>
      <c r="BB108" s="170"/>
      <c r="BE108" s="166" t="s">
        <v>144</v>
      </c>
    </row>
    <row r="109" spans="1:58" ht="13.9" thickBot="1" x14ac:dyDescent="0.4">
      <c r="D109" s="364"/>
      <c r="F109" s="589"/>
      <c r="G109" s="589"/>
      <c r="H109" s="589"/>
      <c r="I109" s="589"/>
      <c r="J109" s="589"/>
      <c r="K109" s="589"/>
      <c r="L109" s="589"/>
      <c r="M109" s="589"/>
      <c r="N109" s="589"/>
      <c r="O109" s="589"/>
      <c r="P109" s="589"/>
      <c r="Q109" s="589"/>
      <c r="R109" s="589"/>
      <c r="S109" s="589"/>
      <c r="T109" s="589"/>
      <c r="U109" s="589"/>
      <c r="V109" s="589"/>
      <c r="W109" s="589"/>
      <c r="X109" s="589"/>
      <c r="Y109" s="589"/>
      <c r="Z109" s="589"/>
      <c r="AA109" s="589"/>
      <c r="AB109" s="589"/>
      <c r="AC109" s="589"/>
      <c r="AD109" s="589"/>
      <c r="AE109" s="589"/>
      <c r="AF109" s="589"/>
      <c r="AG109" s="589"/>
      <c r="AH109" s="589"/>
      <c r="AI109" s="589"/>
      <c r="AJ109" s="589"/>
      <c r="AK109" s="589"/>
      <c r="AL109" s="589"/>
      <c r="AM109" s="589"/>
      <c r="AN109" s="589"/>
      <c r="AO109" s="589"/>
      <c r="AP109" s="589"/>
      <c r="AQ109" s="589"/>
      <c r="AR109" s="589"/>
      <c r="AS109" s="589"/>
      <c r="AT109" s="589"/>
      <c r="AU109" s="589"/>
      <c r="AV109" s="589"/>
      <c r="AW109" s="589"/>
      <c r="AX109" s="589"/>
      <c r="AY109" s="589"/>
      <c r="AZ109" s="589"/>
      <c r="BA109" s="589"/>
      <c r="BB109" s="170"/>
    </row>
    <row r="110" spans="1:58" ht="13.9" thickBot="1" x14ac:dyDescent="0.4">
      <c r="A110" s="647" t="s">
        <v>101</v>
      </c>
      <c r="B110" s="648"/>
      <c r="C110" s="648"/>
      <c r="D110" s="648"/>
      <c r="E110" s="648"/>
      <c r="F110" s="648"/>
      <c r="G110" s="648"/>
      <c r="H110" s="648"/>
      <c r="I110" s="648"/>
      <c r="J110" s="648"/>
      <c r="K110" s="648"/>
      <c r="L110" s="648"/>
      <c r="M110" s="648"/>
      <c r="N110" s="648"/>
      <c r="O110" s="648"/>
      <c r="P110" s="648"/>
      <c r="Q110" s="648"/>
      <c r="R110" s="648"/>
      <c r="S110" s="648"/>
      <c r="T110" s="648"/>
      <c r="U110" s="648"/>
      <c r="V110" s="648"/>
      <c r="W110" s="648"/>
      <c r="X110" s="648"/>
      <c r="Y110" s="648"/>
      <c r="Z110" s="648"/>
      <c r="AA110" s="648"/>
      <c r="AB110" s="648"/>
      <c r="AC110" s="648"/>
      <c r="AD110" s="648"/>
      <c r="AE110" s="648"/>
      <c r="AF110" s="648"/>
      <c r="AG110" s="648"/>
      <c r="AH110" s="648"/>
      <c r="AI110" s="648"/>
      <c r="AJ110" s="648"/>
      <c r="AK110" s="648"/>
      <c r="AL110" s="648"/>
      <c r="AM110" s="648"/>
      <c r="AN110" s="648"/>
      <c r="AO110" s="648"/>
      <c r="AP110" s="648"/>
      <c r="AQ110" s="648"/>
      <c r="AR110" s="648"/>
      <c r="AS110" s="648"/>
      <c r="AT110" s="648"/>
      <c r="AU110" s="648"/>
      <c r="AV110" s="648"/>
      <c r="AW110" s="648"/>
      <c r="AX110" s="648"/>
      <c r="AY110" s="648"/>
      <c r="AZ110" s="648"/>
      <c r="BA110" s="648"/>
      <c r="BB110" s="648"/>
      <c r="BC110" s="648"/>
      <c r="BD110" s="648"/>
      <c r="BE110" s="648"/>
      <c r="BF110" s="649"/>
    </row>
    <row r="111" spans="1:58" x14ac:dyDescent="0.35">
      <c r="A111" s="165"/>
      <c r="B111" s="165"/>
      <c r="C111" s="165"/>
      <c r="D111" s="165"/>
      <c r="E111" s="165"/>
      <c r="F111" s="595"/>
      <c r="G111" s="595"/>
      <c r="H111" s="595"/>
      <c r="I111" s="595"/>
      <c r="J111" s="595"/>
      <c r="K111" s="595"/>
      <c r="L111" s="595"/>
      <c r="M111" s="595"/>
      <c r="N111" s="595"/>
      <c r="O111" s="595"/>
      <c r="P111" s="595"/>
      <c r="Q111" s="595"/>
      <c r="R111" s="595"/>
      <c r="S111" s="595"/>
      <c r="T111" s="595"/>
      <c r="U111" s="595"/>
      <c r="V111" s="595"/>
      <c r="W111" s="595"/>
      <c r="X111" s="595"/>
      <c r="Y111" s="595"/>
      <c r="Z111" s="595"/>
      <c r="AA111" s="595"/>
      <c r="AB111" s="595"/>
      <c r="AC111" s="595"/>
      <c r="AD111" s="595"/>
      <c r="AE111" s="595"/>
      <c r="AF111" s="595"/>
      <c r="AG111" s="595"/>
      <c r="AH111" s="595"/>
      <c r="AI111" s="595"/>
      <c r="AJ111" s="595"/>
      <c r="AK111" s="595"/>
      <c r="AL111" s="595"/>
      <c r="AM111" s="595"/>
      <c r="AN111" s="595"/>
      <c r="AO111" s="595"/>
      <c r="AP111" s="595"/>
      <c r="AQ111" s="595"/>
      <c r="AR111" s="595"/>
      <c r="AS111" s="595"/>
      <c r="AT111" s="595"/>
      <c r="AU111" s="595"/>
      <c r="AV111" s="595"/>
      <c r="AW111" s="595"/>
      <c r="AX111" s="595"/>
      <c r="AY111" s="595"/>
      <c r="AZ111" s="595"/>
      <c r="BA111" s="595"/>
      <c r="BB111" s="165"/>
      <c r="BC111" s="165"/>
    </row>
    <row r="112" spans="1:58" x14ac:dyDescent="0.35">
      <c r="A112" s="165"/>
      <c r="B112" s="165"/>
      <c r="C112" s="165"/>
      <c r="D112" s="165"/>
      <c r="E112" s="165"/>
      <c r="F112" s="653" t="s">
        <v>88</v>
      </c>
      <c r="G112" s="653"/>
      <c r="H112" s="653"/>
      <c r="I112" s="653"/>
      <c r="J112" s="672" t="s">
        <v>89</v>
      </c>
      <c r="K112" s="673"/>
      <c r="L112" s="673"/>
      <c r="M112" s="673"/>
      <c r="N112" s="673"/>
      <c r="O112" s="673"/>
      <c r="P112" s="673"/>
      <c r="Q112" s="673"/>
      <c r="R112" s="673"/>
      <c r="S112" s="673"/>
      <c r="T112" s="673"/>
      <c r="U112" s="673"/>
      <c r="V112" s="673"/>
      <c r="W112" s="673"/>
      <c r="X112" s="673"/>
      <c r="Y112" s="673"/>
      <c r="Z112" s="673"/>
      <c r="AA112" s="673"/>
      <c r="AB112" s="673"/>
      <c r="AC112" s="673"/>
      <c r="AD112" s="673"/>
      <c r="AE112" s="673"/>
      <c r="AF112" s="673"/>
      <c r="AG112" s="674"/>
      <c r="AH112" s="616" t="s">
        <v>126</v>
      </c>
      <c r="AI112" s="617"/>
      <c r="AJ112" s="617"/>
      <c r="AK112" s="617"/>
      <c r="AL112" s="617"/>
      <c r="AM112" s="617"/>
      <c r="AN112" s="617"/>
      <c r="AO112" s="617"/>
      <c r="AP112" s="620" t="s">
        <v>171</v>
      </c>
      <c r="AQ112" s="620"/>
      <c r="AR112" s="620"/>
      <c r="AS112" s="620"/>
      <c r="AT112" s="620"/>
      <c r="AU112" s="620"/>
      <c r="AV112" s="620"/>
      <c r="AW112" s="620"/>
      <c r="AX112" s="620"/>
      <c r="AY112" s="620"/>
      <c r="AZ112" s="620"/>
      <c r="BA112" s="620"/>
      <c r="BB112" s="165"/>
      <c r="BC112" s="165"/>
    </row>
    <row r="113" spans="1:59" x14ac:dyDescent="0.35">
      <c r="A113" s="165"/>
      <c r="B113" s="165"/>
      <c r="C113" s="165"/>
      <c r="D113" s="165"/>
      <c r="E113" s="165"/>
      <c r="F113" s="610" t="s">
        <v>46</v>
      </c>
      <c r="G113" s="610"/>
      <c r="H113" s="610"/>
      <c r="I113" s="610"/>
      <c r="J113" s="610" t="s">
        <v>47</v>
      </c>
      <c r="K113" s="610"/>
      <c r="L113" s="610"/>
      <c r="M113" s="610"/>
      <c r="N113" s="610" t="s">
        <v>48</v>
      </c>
      <c r="O113" s="610"/>
      <c r="P113" s="610"/>
      <c r="Q113" s="610"/>
      <c r="R113" s="610" t="s">
        <v>49</v>
      </c>
      <c r="S113" s="610"/>
      <c r="T113" s="610"/>
      <c r="U113" s="610"/>
      <c r="V113" s="610" t="s">
        <v>50</v>
      </c>
      <c r="W113" s="610"/>
      <c r="X113" s="610"/>
      <c r="Y113" s="610"/>
      <c r="Z113" s="610" t="s">
        <v>51</v>
      </c>
      <c r="AA113" s="610"/>
      <c r="AB113" s="610"/>
      <c r="AC113" s="610"/>
      <c r="AD113" s="610" t="s">
        <v>52</v>
      </c>
      <c r="AE113" s="610"/>
      <c r="AF113" s="610"/>
      <c r="AG113" s="610"/>
      <c r="AH113" s="610" t="s">
        <v>166</v>
      </c>
      <c r="AI113" s="610"/>
      <c r="AJ113" s="610"/>
      <c r="AK113" s="610"/>
      <c r="AL113" s="610" t="s">
        <v>167</v>
      </c>
      <c r="AM113" s="610"/>
      <c r="AN113" s="610"/>
      <c r="AO113" s="610"/>
      <c r="AP113" s="610" t="s">
        <v>168</v>
      </c>
      <c r="AQ113" s="610"/>
      <c r="AR113" s="610"/>
      <c r="AS113" s="610"/>
      <c r="AT113" s="610" t="s">
        <v>169</v>
      </c>
      <c r="AU113" s="610"/>
      <c r="AV113" s="610"/>
      <c r="AW113" s="610"/>
      <c r="AX113" s="610" t="s">
        <v>170</v>
      </c>
      <c r="AY113" s="610"/>
      <c r="AZ113" s="610"/>
      <c r="BA113" s="610"/>
      <c r="BB113" s="384"/>
      <c r="BC113" s="165"/>
    </row>
    <row r="114" spans="1:59" x14ac:dyDescent="0.35">
      <c r="A114" s="165"/>
      <c r="B114" s="172" t="s">
        <v>120</v>
      </c>
      <c r="C114" s="172" t="s">
        <v>125</v>
      </c>
      <c r="D114" s="172" t="s">
        <v>115</v>
      </c>
      <c r="E114" s="172" t="s">
        <v>114</v>
      </c>
      <c r="F114" s="162">
        <v>1</v>
      </c>
      <c r="G114" s="162">
        <v>2</v>
      </c>
      <c r="H114" s="162">
        <v>3</v>
      </c>
      <c r="I114" s="162">
        <v>4</v>
      </c>
      <c r="J114" s="162">
        <v>5</v>
      </c>
      <c r="K114" s="162">
        <v>6</v>
      </c>
      <c r="L114" s="162">
        <v>7</v>
      </c>
      <c r="M114" s="162">
        <v>8</v>
      </c>
      <c r="N114" s="162">
        <v>9</v>
      </c>
      <c r="O114" s="162">
        <v>10</v>
      </c>
      <c r="P114" s="162">
        <v>11</v>
      </c>
      <c r="Q114" s="162">
        <v>12</v>
      </c>
      <c r="R114" s="162">
        <v>13</v>
      </c>
      <c r="S114" s="162">
        <v>14</v>
      </c>
      <c r="T114" s="162">
        <v>15</v>
      </c>
      <c r="U114" s="162">
        <v>16</v>
      </c>
      <c r="V114" s="162">
        <v>17</v>
      </c>
      <c r="W114" s="162">
        <v>18</v>
      </c>
      <c r="X114" s="162">
        <v>19</v>
      </c>
      <c r="Y114" s="162">
        <v>20</v>
      </c>
      <c r="Z114" s="162">
        <v>21</v>
      </c>
      <c r="AA114" s="162">
        <v>22</v>
      </c>
      <c r="AB114" s="162">
        <v>23</v>
      </c>
      <c r="AC114" s="162">
        <v>24</v>
      </c>
      <c r="AD114" s="162">
        <v>25</v>
      </c>
      <c r="AE114" s="162">
        <v>26</v>
      </c>
      <c r="AF114" s="162">
        <v>27</v>
      </c>
      <c r="AG114" s="162">
        <v>28</v>
      </c>
      <c r="AH114" s="162">
        <v>29</v>
      </c>
      <c r="AI114" s="162">
        <v>30</v>
      </c>
      <c r="AJ114" s="162">
        <v>31</v>
      </c>
      <c r="AK114" s="162">
        <v>32</v>
      </c>
      <c r="AL114" s="162">
        <v>33</v>
      </c>
      <c r="AM114" s="162">
        <v>34</v>
      </c>
      <c r="AN114" s="162">
        <v>35</v>
      </c>
      <c r="AO114" s="162">
        <v>36</v>
      </c>
      <c r="AP114" s="162">
        <v>37</v>
      </c>
      <c r="AQ114" s="162">
        <v>38</v>
      </c>
      <c r="AR114" s="162">
        <v>39</v>
      </c>
      <c r="AS114" s="162">
        <v>40</v>
      </c>
      <c r="AT114" s="162">
        <v>41</v>
      </c>
      <c r="AU114" s="162">
        <v>42</v>
      </c>
      <c r="AV114" s="162">
        <v>43</v>
      </c>
      <c r="AW114" s="162">
        <v>44</v>
      </c>
      <c r="AX114" s="162">
        <v>45</v>
      </c>
      <c r="AY114" s="162">
        <v>46</v>
      </c>
      <c r="AZ114" s="162">
        <v>47</v>
      </c>
      <c r="BA114" s="162">
        <v>48</v>
      </c>
      <c r="BB114" s="383"/>
      <c r="BC114" s="165"/>
    </row>
    <row r="115" spans="1:59" x14ac:dyDescent="0.35">
      <c r="A115" s="177" t="str">
        <f>INTERVENTORÍA!A5</f>
        <v>Director Profesional en Recurso Hídrico</v>
      </c>
      <c r="B115" s="214">
        <f>INTERVENTORÍA!B5</f>
        <v>1</v>
      </c>
      <c r="C115" s="214">
        <f>INTERVENTORÍA!G5</f>
        <v>12</v>
      </c>
      <c r="D115" s="161">
        <f>INTERVENTORÍA!C5</f>
        <v>6521487</v>
      </c>
      <c r="E115" s="169">
        <f>INTERVENTORÍA!D5</f>
        <v>0.5</v>
      </c>
      <c r="F115" s="609">
        <f>$D$115*$E$115*$B$115</f>
        <v>3260743.5</v>
      </c>
      <c r="G115" s="609"/>
      <c r="H115" s="609"/>
      <c r="I115" s="609"/>
      <c r="J115" s="609">
        <f t="shared" ref="J115" si="66">$D$115*$E$115*$B$115</f>
        <v>3260743.5</v>
      </c>
      <c r="K115" s="609"/>
      <c r="L115" s="609"/>
      <c r="M115" s="609"/>
      <c r="N115" s="609">
        <f t="shared" ref="N115" si="67">$D$115*$E$115*$B$115</f>
        <v>3260743.5</v>
      </c>
      <c r="O115" s="609"/>
      <c r="P115" s="609"/>
      <c r="Q115" s="609"/>
      <c r="R115" s="609">
        <f t="shared" ref="R115" si="68">$D$115*$E$115*$B$115</f>
        <v>3260743.5</v>
      </c>
      <c r="S115" s="609"/>
      <c r="T115" s="609"/>
      <c r="U115" s="609"/>
      <c r="V115" s="609">
        <f t="shared" ref="V115" si="69">$D$115*$E$115*$B$115</f>
        <v>3260743.5</v>
      </c>
      <c r="W115" s="609"/>
      <c r="X115" s="609"/>
      <c r="Y115" s="609"/>
      <c r="Z115" s="609">
        <f t="shared" ref="Z115" si="70">$D$115*$E$115*$B$115</f>
        <v>3260743.5</v>
      </c>
      <c r="AA115" s="609"/>
      <c r="AB115" s="609"/>
      <c r="AC115" s="609"/>
      <c r="AD115" s="609">
        <f t="shared" ref="AD115" si="71">$D$115*$E$115*$B$115</f>
        <v>3260743.5</v>
      </c>
      <c r="AE115" s="609"/>
      <c r="AF115" s="609"/>
      <c r="AG115" s="609"/>
      <c r="AH115" s="609">
        <f>$D$115*$E$115*$B$115</f>
        <v>3260743.5</v>
      </c>
      <c r="AI115" s="609"/>
      <c r="AJ115" s="609"/>
      <c r="AK115" s="609"/>
      <c r="AL115" s="609">
        <f t="shared" ref="AL115" si="72">$D$115*$E$115*$B$115</f>
        <v>3260743.5</v>
      </c>
      <c r="AM115" s="609"/>
      <c r="AN115" s="609"/>
      <c r="AO115" s="609"/>
      <c r="AP115" s="609">
        <f t="shared" ref="AP115" si="73">$D$115*$E$115*$B$115</f>
        <v>3260743.5</v>
      </c>
      <c r="AQ115" s="609"/>
      <c r="AR115" s="609"/>
      <c r="AS115" s="609"/>
      <c r="AT115" s="609">
        <f t="shared" ref="AT115" si="74">$D$115*$E$115*$B$115</f>
        <v>3260743.5</v>
      </c>
      <c r="AU115" s="609"/>
      <c r="AV115" s="609"/>
      <c r="AW115" s="609"/>
      <c r="AX115" s="609">
        <f t="shared" ref="AX115" si="75">$D$115*$E$115*$B$115</f>
        <v>3260743.5</v>
      </c>
      <c r="AY115" s="609"/>
      <c r="AZ115" s="609"/>
      <c r="BA115" s="609"/>
      <c r="BB115" s="161">
        <f>SUM(F115:BA115)*$E$12</f>
        <v>79823000.879999995</v>
      </c>
      <c r="BC115" s="161">
        <f>INTERVENTORÍA!H5</f>
        <v>79823000.879999995</v>
      </c>
      <c r="BD115" s="161">
        <f>BB115-BC115</f>
        <v>0</v>
      </c>
      <c r="BE115" s="166"/>
    </row>
    <row r="116" spans="1:59" x14ac:dyDescent="0.35">
      <c r="A116" s="177" t="str">
        <f>INTERVENTORÍA!A6</f>
        <v>Profesional experto en modelamiento de calidad de agua</v>
      </c>
      <c r="B116" s="214">
        <f>INTERVENTORÍA!B6</f>
        <v>1</v>
      </c>
      <c r="C116" s="214">
        <f>INTERVENTORÍA!G6</f>
        <v>12</v>
      </c>
      <c r="D116" s="161">
        <f>INTERVENTORÍA!C6</f>
        <v>5837456</v>
      </c>
      <c r="E116" s="169">
        <f>INTERVENTORÍA!D6</f>
        <v>0.5</v>
      </c>
      <c r="F116" s="609">
        <f>$D$116*$E$116*$B$116</f>
        <v>2918728</v>
      </c>
      <c r="G116" s="609"/>
      <c r="H116" s="609"/>
      <c r="I116" s="609"/>
      <c r="J116" s="609">
        <f t="shared" ref="J116" si="76">$D$116*$E$116*$B$116</f>
        <v>2918728</v>
      </c>
      <c r="K116" s="609"/>
      <c r="L116" s="609"/>
      <c r="M116" s="609"/>
      <c r="N116" s="609">
        <f t="shared" ref="N116" si="77">$D$116*$E$116*$B$116</f>
        <v>2918728</v>
      </c>
      <c r="O116" s="609"/>
      <c r="P116" s="609"/>
      <c r="Q116" s="609"/>
      <c r="R116" s="609">
        <f t="shared" ref="R116" si="78">$D$116*$E$116*$B$116</f>
        <v>2918728</v>
      </c>
      <c r="S116" s="609"/>
      <c r="T116" s="609"/>
      <c r="U116" s="609"/>
      <c r="V116" s="609">
        <f t="shared" ref="V116" si="79">$D$116*$E$116*$B$116</f>
        <v>2918728</v>
      </c>
      <c r="W116" s="609"/>
      <c r="X116" s="609"/>
      <c r="Y116" s="609"/>
      <c r="Z116" s="609">
        <f t="shared" ref="Z116" si="80">$D$116*$E$116*$B$116</f>
        <v>2918728</v>
      </c>
      <c r="AA116" s="609"/>
      <c r="AB116" s="609"/>
      <c r="AC116" s="609"/>
      <c r="AD116" s="609">
        <f t="shared" ref="AD116" si="81">$D$116*$E$116*$B$116</f>
        <v>2918728</v>
      </c>
      <c r="AE116" s="609"/>
      <c r="AF116" s="609"/>
      <c r="AG116" s="609"/>
      <c r="AH116" s="609">
        <f t="shared" ref="AH116" si="82">$D$116*$E$116*$B$116</f>
        <v>2918728</v>
      </c>
      <c r="AI116" s="609"/>
      <c r="AJ116" s="609"/>
      <c r="AK116" s="609"/>
      <c r="AL116" s="609">
        <f t="shared" ref="AL116" si="83">$D$116*$E$116*$B$116</f>
        <v>2918728</v>
      </c>
      <c r="AM116" s="609"/>
      <c r="AN116" s="609"/>
      <c r="AO116" s="609"/>
      <c r="AP116" s="609">
        <f t="shared" ref="AP116" si="84">$D$116*$E$116*$B$116</f>
        <v>2918728</v>
      </c>
      <c r="AQ116" s="609"/>
      <c r="AR116" s="609"/>
      <c r="AS116" s="609"/>
      <c r="AT116" s="609">
        <f t="shared" ref="AT116" si="85">$D$116*$E$116*$B$116</f>
        <v>2918728</v>
      </c>
      <c r="AU116" s="609"/>
      <c r="AV116" s="609"/>
      <c r="AW116" s="609"/>
      <c r="AX116" s="609">
        <f t="shared" ref="AX116" si="86">$D$116*$E$116*$B$116</f>
        <v>2918728</v>
      </c>
      <c r="AY116" s="609"/>
      <c r="AZ116" s="609"/>
      <c r="BA116" s="609"/>
      <c r="BB116" s="161">
        <f t="shared" ref="BB116:BB120" si="87">SUM(F116:BA116)*$E$12</f>
        <v>71450461.439999998</v>
      </c>
      <c r="BC116" s="161">
        <f>INTERVENTORÍA!H6</f>
        <v>71450461.439999998</v>
      </c>
      <c r="BD116" s="161">
        <f t="shared" ref="BD116:BD120" si="88">BB116-BC116</f>
        <v>0</v>
      </c>
      <c r="BE116" s="166"/>
    </row>
    <row r="117" spans="1:59" x14ac:dyDescent="0.35">
      <c r="A117" s="177" t="str">
        <f>INTERVENTORÍA!A7</f>
        <v xml:space="preserve">Profesional en Geología </v>
      </c>
      <c r="B117" s="214">
        <f>INTERVENTORÍA!B7</f>
        <v>1</v>
      </c>
      <c r="C117" s="214">
        <f>INTERVENTORÍA!G7</f>
        <v>2</v>
      </c>
      <c r="D117" s="161">
        <f>INTERVENTORÍA!C7</f>
        <v>4272096</v>
      </c>
      <c r="E117" s="169">
        <f>INTERVENTORÍA!D7</f>
        <v>0.5</v>
      </c>
      <c r="F117" s="609"/>
      <c r="G117" s="609"/>
      <c r="H117" s="609"/>
      <c r="I117" s="609"/>
      <c r="J117" s="609"/>
      <c r="K117" s="609"/>
      <c r="L117" s="609"/>
      <c r="M117" s="609"/>
      <c r="N117" s="609"/>
      <c r="O117" s="609"/>
      <c r="P117" s="609"/>
      <c r="Q117" s="609"/>
      <c r="R117" s="609">
        <f>$D$117*$E$117*$B$117</f>
        <v>2136048</v>
      </c>
      <c r="S117" s="609"/>
      <c r="T117" s="609"/>
      <c r="U117" s="609"/>
      <c r="V117" s="609">
        <f>$D$117*$E$117*$B$117</f>
        <v>2136048</v>
      </c>
      <c r="W117" s="609"/>
      <c r="X117" s="609"/>
      <c r="Y117" s="609"/>
      <c r="Z117" s="609"/>
      <c r="AA117" s="609"/>
      <c r="AB117" s="609"/>
      <c r="AC117" s="609"/>
      <c r="AD117" s="609"/>
      <c r="AE117" s="609"/>
      <c r="AF117" s="609"/>
      <c r="AG117" s="609"/>
      <c r="AH117" s="609"/>
      <c r="AI117" s="609"/>
      <c r="AJ117" s="609"/>
      <c r="AK117" s="609"/>
      <c r="AL117" s="609"/>
      <c r="AM117" s="609"/>
      <c r="AN117" s="609"/>
      <c r="AO117" s="609"/>
      <c r="AP117" s="609"/>
      <c r="AQ117" s="609"/>
      <c r="AR117" s="609"/>
      <c r="AS117" s="609"/>
      <c r="AT117" s="609"/>
      <c r="AU117" s="609"/>
      <c r="AV117" s="609"/>
      <c r="AW117" s="609"/>
      <c r="AX117" s="609"/>
      <c r="AY117" s="609"/>
      <c r="AZ117" s="609"/>
      <c r="BA117" s="609"/>
      <c r="BB117" s="161">
        <f t="shared" si="87"/>
        <v>8715075.8399999999</v>
      </c>
      <c r="BC117" s="161">
        <f>INTERVENTORÍA!H7</f>
        <v>8715075.8399999999</v>
      </c>
      <c r="BD117" s="161">
        <f t="shared" si="88"/>
        <v>0</v>
      </c>
      <c r="BE117" s="166"/>
    </row>
    <row r="118" spans="1:59" x14ac:dyDescent="0.35">
      <c r="A118" s="177" t="str">
        <f>INTERVENTORÍA!A8</f>
        <v>Profesional Jurídico</v>
      </c>
      <c r="B118" s="214">
        <f>INTERVENTORÍA!B8</f>
        <v>1</v>
      </c>
      <c r="C118" s="214">
        <f>INTERVENTORÍA!G8</f>
        <v>1</v>
      </c>
      <c r="D118" s="161">
        <f>INTERVENTORÍA!C8</f>
        <v>3401086</v>
      </c>
      <c r="E118" s="169">
        <f>INTERVENTORÍA!D8</f>
        <v>0.6</v>
      </c>
      <c r="F118" s="609"/>
      <c r="G118" s="609"/>
      <c r="H118" s="609"/>
      <c r="I118" s="609"/>
      <c r="J118" s="609"/>
      <c r="K118" s="609"/>
      <c r="L118" s="609"/>
      <c r="M118" s="609"/>
      <c r="N118" s="609"/>
      <c r="O118" s="609"/>
      <c r="P118" s="609"/>
      <c r="Q118" s="609"/>
      <c r="R118" s="609"/>
      <c r="S118" s="609"/>
      <c r="T118" s="609"/>
      <c r="U118" s="609"/>
      <c r="V118" s="609"/>
      <c r="W118" s="609"/>
      <c r="X118" s="609"/>
      <c r="Y118" s="609"/>
      <c r="Z118" s="609"/>
      <c r="AA118" s="609"/>
      <c r="AB118" s="609"/>
      <c r="AC118" s="609"/>
      <c r="AD118" s="609"/>
      <c r="AE118" s="609"/>
      <c r="AF118" s="609"/>
      <c r="AG118" s="609"/>
      <c r="AH118" s="609"/>
      <c r="AI118" s="609"/>
      <c r="AJ118" s="609"/>
      <c r="AK118" s="609"/>
      <c r="AL118" s="609"/>
      <c r="AM118" s="609"/>
      <c r="AN118" s="609"/>
      <c r="AO118" s="609"/>
      <c r="AP118" s="609"/>
      <c r="AQ118" s="609"/>
      <c r="AR118" s="609"/>
      <c r="AS118" s="609"/>
      <c r="AT118" s="609"/>
      <c r="AU118" s="609"/>
      <c r="AV118" s="609"/>
      <c r="AW118" s="609"/>
      <c r="AX118" s="609">
        <f>$D$118*$E$118*$B$118</f>
        <v>2040651.5999999999</v>
      </c>
      <c r="AY118" s="609"/>
      <c r="AZ118" s="609"/>
      <c r="BA118" s="609"/>
      <c r="BB118" s="161">
        <f t="shared" si="87"/>
        <v>4162929.264</v>
      </c>
      <c r="BC118" s="161">
        <f>INTERVENTORÍA!H8</f>
        <v>4162929.264</v>
      </c>
      <c r="BD118" s="161">
        <f t="shared" si="88"/>
        <v>0</v>
      </c>
      <c r="BE118" s="166"/>
    </row>
    <row r="119" spans="1:59" x14ac:dyDescent="0.35">
      <c r="A119" s="177" t="str">
        <f>INTERVENTORÍA!A9</f>
        <v>Profesional Social</v>
      </c>
      <c r="B119" s="214">
        <f>INTERVENTORÍA!B9</f>
        <v>1</v>
      </c>
      <c r="C119" s="214">
        <f>INTERVENTORÍA!G9</f>
        <v>5</v>
      </c>
      <c r="D119" s="161">
        <f>INTERVENTORÍA!C9</f>
        <v>3401086</v>
      </c>
      <c r="E119" s="169">
        <f>INTERVENTORÍA!D9</f>
        <v>0.6</v>
      </c>
      <c r="F119" s="609">
        <f t="shared" ref="F119" si="89">$D$119*$E$119*$B$119</f>
        <v>2040651.5999999999</v>
      </c>
      <c r="G119" s="609"/>
      <c r="H119" s="609"/>
      <c r="I119" s="609"/>
      <c r="J119" s="609">
        <f t="shared" ref="J119" si="90">$D$119*$E$119*$B$119</f>
        <v>2040651.5999999999</v>
      </c>
      <c r="K119" s="609"/>
      <c r="L119" s="609"/>
      <c r="M119" s="609"/>
      <c r="N119" s="609">
        <f t="shared" ref="N119" si="91">$D$119*$E$119*$B$119</f>
        <v>2040651.5999999999</v>
      </c>
      <c r="O119" s="609"/>
      <c r="P119" s="609"/>
      <c r="Q119" s="609"/>
      <c r="R119" s="609">
        <f>$D$119*$E$119*$B$119</f>
        <v>2040651.5999999999</v>
      </c>
      <c r="S119" s="609"/>
      <c r="T119" s="609"/>
      <c r="U119" s="609"/>
      <c r="V119" s="609">
        <f t="shared" ref="V119" si="92">$D$119*$E$119*$B$119</f>
        <v>2040651.5999999999</v>
      </c>
      <c r="W119" s="609"/>
      <c r="X119" s="609"/>
      <c r="Y119" s="609"/>
      <c r="Z119" s="609"/>
      <c r="AA119" s="609"/>
      <c r="AB119" s="609"/>
      <c r="AC119" s="609"/>
      <c r="AD119" s="609"/>
      <c r="AE119" s="609"/>
      <c r="AF119" s="609"/>
      <c r="AG119" s="609"/>
      <c r="AH119" s="609"/>
      <c r="AI119" s="609"/>
      <c r="AJ119" s="609"/>
      <c r="AK119" s="609"/>
      <c r="AL119" s="609"/>
      <c r="AM119" s="609"/>
      <c r="AN119" s="609"/>
      <c r="AO119" s="609"/>
      <c r="AP119" s="609"/>
      <c r="AQ119" s="609"/>
      <c r="AR119" s="609"/>
      <c r="AS119" s="609"/>
      <c r="AT119" s="609"/>
      <c r="AU119" s="609"/>
      <c r="AV119" s="609"/>
      <c r="AW119" s="609"/>
      <c r="AX119" s="609"/>
      <c r="AY119" s="609"/>
      <c r="AZ119" s="609"/>
      <c r="BA119" s="609"/>
      <c r="BB119" s="161">
        <f t="shared" si="87"/>
        <v>20814646.32</v>
      </c>
      <c r="BC119" s="161">
        <f>INTERVENTORÍA!H9</f>
        <v>20814646.32</v>
      </c>
      <c r="BD119" s="161">
        <f t="shared" si="88"/>
        <v>0</v>
      </c>
      <c r="BE119" s="166"/>
    </row>
    <row r="120" spans="1:59" x14ac:dyDescent="0.35">
      <c r="A120" s="177" t="str">
        <f>INTERVENTORÍA!A10</f>
        <v>Profesional SIG</v>
      </c>
      <c r="B120" s="214">
        <f>INTERVENTORÍA!B10</f>
        <v>1</v>
      </c>
      <c r="C120" s="214">
        <f>INTERVENTORÍA!G10</f>
        <v>6</v>
      </c>
      <c r="D120" s="161">
        <f>INTERVENTORÍA!C10</f>
        <v>3401086</v>
      </c>
      <c r="E120" s="169">
        <f>INTERVENTORÍA!D10</f>
        <v>0.6</v>
      </c>
      <c r="F120" s="609">
        <f t="shared" ref="F120" si="93">$D$120*$E$120*$B$120</f>
        <v>2040651.5999999999</v>
      </c>
      <c r="G120" s="609"/>
      <c r="H120" s="609"/>
      <c r="I120" s="609"/>
      <c r="J120" s="609">
        <f t="shared" ref="J120" si="94">$D$120*$E$120*$B$120</f>
        <v>2040651.5999999999</v>
      </c>
      <c r="K120" s="609"/>
      <c r="L120" s="609"/>
      <c r="M120" s="609"/>
      <c r="N120" s="609"/>
      <c r="O120" s="609"/>
      <c r="P120" s="609"/>
      <c r="Q120" s="609"/>
      <c r="R120" s="609"/>
      <c r="S120" s="609"/>
      <c r="T120" s="609"/>
      <c r="U120" s="609"/>
      <c r="V120" s="609"/>
      <c r="W120" s="609"/>
      <c r="X120" s="609"/>
      <c r="Y120" s="609"/>
      <c r="Z120" s="609">
        <f t="shared" ref="Z120" si="95">$D$120*$E$120*$B$120</f>
        <v>2040651.5999999999</v>
      </c>
      <c r="AA120" s="609"/>
      <c r="AB120" s="609"/>
      <c r="AC120" s="609"/>
      <c r="AD120" s="609">
        <f t="shared" ref="AD120" si="96">$D$120*$E$120*$B$120</f>
        <v>2040651.5999999999</v>
      </c>
      <c r="AE120" s="609"/>
      <c r="AF120" s="609"/>
      <c r="AG120" s="609"/>
      <c r="AH120" s="609"/>
      <c r="AI120" s="609"/>
      <c r="AJ120" s="609"/>
      <c r="AK120" s="609"/>
      <c r="AL120" s="609">
        <f t="shared" ref="AL120:AT120" si="97">$D$120*$E$120*$B$120</f>
        <v>2040651.5999999999</v>
      </c>
      <c r="AM120" s="609"/>
      <c r="AN120" s="609"/>
      <c r="AO120" s="609"/>
      <c r="AP120" s="609"/>
      <c r="AQ120" s="609"/>
      <c r="AR120" s="609"/>
      <c r="AS120" s="609"/>
      <c r="AT120" s="609">
        <f t="shared" si="97"/>
        <v>2040651.5999999999</v>
      </c>
      <c r="AU120" s="609"/>
      <c r="AV120" s="609"/>
      <c r="AW120" s="609"/>
      <c r="AX120" s="609"/>
      <c r="AY120" s="609"/>
      <c r="AZ120" s="609"/>
      <c r="BA120" s="609"/>
      <c r="BB120" s="161">
        <f t="shared" si="87"/>
        <v>24977575.583999999</v>
      </c>
      <c r="BC120" s="161">
        <f>INTERVENTORÍA!H10</f>
        <v>24977575.583999999</v>
      </c>
      <c r="BD120" s="161">
        <f t="shared" si="88"/>
        <v>0</v>
      </c>
      <c r="BE120" s="166"/>
    </row>
    <row r="121" spans="1:59" x14ac:dyDescent="0.35">
      <c r="A121" s="212"/>
      <c r="B121" s="214"/>
      <c r="C121" s="214"/>
      <c r="E121" s="169"/>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161"/>
      <c r="BC121" s="161"/>
      <c r="BD121" s="161"/>
      <c r="BE121" s="166" t="s">
        <v>101</v>
      </c>
    </row>
    <row r="122" spans="1:59" x14ac:dyDescent="0.35">
      <c r="D122" s="181" t="s">
        <v>599</v>
      </c>
      <c r="E122" s="178">
        <f>FM!D37</f>
        <v>2.04</v>
      </c>
      <c r="F122" s="594">
        <f>SUM(F115:I120)*$E$122</f>
        <v>20931980.388</v>
      </c>
      <c r="G122" s="594"/>
      <c r="H122" s="594"/>
      <c r="I122" s="594"/>
      <c r="J122" s="594">
        <f t="shared" ref="J122" si="98">SUM(J115:M120)*$E$122</f>
        <v>20931980.388</v>
      </c>
      <c r="K122" s="594"/>
      <c r="L122" s="594"/>
      <c r="M122" s="594"/>
      <c r="N122" s="594">
        <f t="shared" ref="N122" si="99">SUM(N115:Q120)*$E$122</f>
        <v>16769051.124</v>
      </c>
      <c r="O122" s="594"/>
      <c r="P122" s="594"/>
      <c r="Q122" s="594"/>
      <c r="R122" s="594">
        <f t="shared" ref="R122" si="100">SUM(R115:U120)*$E$122</f>
        <v>21126589.044</v>
      </c>
      <c r="S122" s="594"/>
      <c r="T122" s="594"/>
      <c r="U122" s="594"/>
      <c r="V122" s="594">
        <f t="shared" ref="V122" si="101">SUM(V115:Y120)*$E$122</f>
        <v>21126589.044</v>
      </c>
      <c r="W122" s="594"/>
      <c r="X122" s="594"/>
      <c r="Y122" s="594"/>
      <c r="Z122" s="594">
        <f t="shared" ref="Z122" si="102">SUM(Z115:AC120)*$E$122</f>
        <v>16769051.124</v>
      </c>
      <c r="AA122" s="594"/>
      <c r="AB122" s="594"/>
      <c r="AC122" s="594"/>
      <c r="AD122" s="594">
        <f t="shared" ref="AD122" si="103">SUM(AD115:AG120)*$E$122</f>
        <v>16769051.124</v>
      </c>
      <c r="AE122" s="594"/>
      <c r="AF122" s="594"/>
      <c r="AG122" s="594"/>
      <c r="AH122" s="594">
        <f t="shared" ref="AH122" si="104">SUM(AH115:AK120)*$E$122</f>
        <v>12606121.859999999</v>
      </c>
      <c r="AI122" s="594"/>
      <c r="AJ122" s="594"/>
      <c r="AK122" s="594"/>
      <c r="AL122" s="594">
        <f t="shared" ref="AL122" si="105">SUM(AL115:AO120)*$E$122</f>
        <v>16769051.124</v>
      </c>
      <c r="AM122" s="594"/>
      <c r="AN122" s="594"/>
      <c r="AO122" s="594"/>
      <c r="AP122" s="594">
        <f t="shared" ref="AP122" si="106">SUM(AP115:AS120)*$E$122</f>
        <v>12606121.859999999</v>
      </c>
      <c r="AQ122" s="594"/>
      <c r="AR122" s="594"/>
      <c r="AS122" s="594"/>
      <c r="AT122" s="594">
        <f t="shared" ref="AT122" si="107">SUM(AT115:AW120)*$E$122</f>
        <v>16769051.124</v>
      </c>
      <c r="AU122" s="594"/>
      <c r="AV122" s="594"/>
      <c r="AW122" s="594"/>
      <c r="AX122" s="594">
        <f t="shared" ref="AX122" si="108">SUM(AX115:BA120)*$E$122</f>
        <v>16769051.124</v>
      </c>
      <c r="AY122" s="594"/>
      <c r="AZ122" s="594"/>
      <c r="BA122" s="594"/>
      <c r="BB122" s="161"/>
      <c r="BC122" s="161">
        <f>SUM(F122:BA122)</f>
        <v>209943689.32800007</v>
      </c>
      <c r="BD122" s="222" t="str">
        <f>IF(ABS(BC122-BE122)&lt;0.001,"OK"," ERROR")</f>
        <v>OK</v>
      </c>
      <c r="BE122" s="163">
        <f>INTERVENTORÍA!H11</f>
        <v>209943689.32799998</v>
      </c>
      <c r="BG122" s="166"/>
    </row>
    <row r="123" spans="1:59" x14ac:dyDescent="0.35">
      <c r="F123" s="596"/>
      <c r="G123" s="596"/>
      <c r="H123" s="596"/>
      <c r="I123" s="596"/>
      <c r="J123" s="596"/>
      <c r="K123" s="596"/>
      <c r="L123" s="596"/>
      <c r="M123" s="596"/>
      <c r="N123" s="596"/>
      <c r="O123" s="596"/>
      <c r="P123" s="596"/>
      <c r="Q123" s="596"/>
      <c r="R123" s="596"/>
      <c r="S123" s="596"/>
      <c r="T123" s="596"/>
      <c r="U123" s="596"/>
      <c r="V123" s="596"/>
      <c r="W123" s="596"/>
      <c r="X123" s="596"/>
      <c r="Y123" s="596"/>
      <c r="Z123" s="596"/>
      <c r="AA123" s="596"/>
      <c r="AB123" s="596"/>
      <c r="AC123" s="596"/>
      <c r="AD123" s="596"/>
      <c r="AE123" s="596"/>
      <c r="AF123" s="596"/>
      <c r="AG123" s="596"/>
      <c r="AH123" s="596"/>
      <c r="AI123" s="596"/>
      <c r="AJ123" s="596"/>
      <c r="AK123" s="596"/>
      <c r="AL123" s="596"/>
      <c r="AM123" s="596"/>
      <c r="AN123" s="596"/>
      <c r="AO123" s="596"/>
      <c r="AP123" s="596"/>
      <c r="AQ123" s="596"/>
      <c r="AR123" s="596"/>
      <c r="AS123" s="596"/>
      <c r="AT123" s="596"/>
      <c r="AU123" s="596"/>
      <c r="AV123" s="596"/>
      <c r="AW123" s="596"/>
      <c r="AX123" s="596"/>
      <c r="AY123" s="596"/>
      <c r="AZ123" s="596"/>
      <c r="BA123" s="596"/>
      <c r="BD123" s="166" t="s">
        <v>130</v>
      </c>
      <c r="BF123" s="222"/>
      <c r="BG123" s="163"/>
    </row>
    <row r="124" spans="1:59" x14ac:dyDescent="0.35">
      <c r="F124" s="596"/>
      <c r="G124" s="596"/>
      <c r="H124" s="596"/>
      <c r="I124" s="596"/>
      <c r="J124" s="596"/>
      <c r="K124" s="596"/>
      <c r="L124" s="596"/>
      <c r="M124" s="596"/>
      <c r="N124" s="596"/>
      <c r="O124" s="596"/>
      <c r="P124" s="596"/>
      <c r="Q124" s="596"/>
      <c r="R124" s="596"/>
      <c r="S124" s="596"/>
      <c r="T124" s="596"/>
      <c r="U124" s="596"/>
      <c r="V124" s="596"/>
      <c r="W124" s="596"/>
      <c r="X124" s="596"/>
      <c r="Y124" s="596"/>
      <c r="Z124" s="596"/>
      <c r="AA124" s="596"/>
      <c r="AB124" s="596"/>
      <c r="AC124" s="596"/>
      <c r="AD124" s="596"/>
      <c r="AE124" s="596"/>
      <c r="AF124" s="596"/>
      <c r="AG124" s="596"/>
      <c r="AH124" s="596"/>
      <c r="AI124" s="596"/>
      <c r="AJ124" s="596"/>
      <c r="AK124" s="596"/>
      <c r="AL124" s="596"/>
      <c r="AM124" s="596"/>
      <c r="AN124" s="596"/>
      <c r="AO124" s="596"/>
      <c r="AP124" s="596"/>
      <c r="AQ124" s="596"/>
      <c r="AR124" s="596"/>
      <c r="AS124" s="596"/>
      <c r="AT124" s="596"/>
      <c r="AU124" s="596"/>
      <c r="AV124" s="596"/>
      <c r="AW124" s="596"/>
      <c r="AX124" s="596"/>
      <c r="AY124" s="596"/>
      <c r="AZ124" s="596"/>
      <c r="BA124" s="596"/>
    </row>
    <row r="125" spans="1:59" x14ac:dyDescent="0.35">
      <c r="A125" s="177" t="str">
        <f>INTERVENTORÍA!A16</f>
        <v>2.1. Transporte</v>
      </c>
      <c r="B125" s="212"/>
      <c r="C125" s="212"/>
      <c r="D125" s="164">
        <f>INTERVENTORÍA!H16/FM!D48</f>
        <v>34133337.333333336</v>
      </c>
      <c r="E125" s="168">
        <f>INTERVENTORÍA!C16</f>
        <v>8</v>
      </c>
      <c r="F125" s="609">
        <f>$D$125/$E$125</f>
        <v>4266667.166666667</v>
      </c>
      <c r="G125" s="609"/>
      <c r="H125" s="609"/>
      <c r="I125" s="609"/>
      <c r="J125" s="609">
        <f t="shared" ref="J125" si="109">$D$125/$E$125</f>
        <v>4266667.166666667</v>
      </c>
      <c r="K125" s="609"/>
      <c r="L125" s="609"/>
      <c r="M125" s="609"/>
      <c r="N125" s="609">
        <f t="shared" ref="N125" si="110">$D$125/$E$125</f>
        <v>4266667.166666667</v>
      </c>
      <c r="O125" s="609"/>
      <c r="P125" s="609"/>
      <c r="Q125" s="609"/>
      <c r="R125" s="609">
        <f t="shared" ref="R125" si="111">$D$125/$E$125</f>
        <v>4266667.166666667</v>
      </c>
      <c r="S125" s="609"/>
      <c r="T125" s="609"/>
      <c r="U125" s="609"/>
      <c r="V125" s="609">
        <f t="shared" ref="V125" si="112">$D$125/$E$125</f>
        <v>4266667.166666667</v>
      </c>
      <c r="W125" s="609"/>
      <c r="X125" s="609"/>
      <c r="Y125" s="609"/>
      <c r="Z125" s="609"/>
      <c r="AA125" s="609"/>
      <c r="AB125" s="609"/>
      <c r="AC125" s="609"/>
      <c r="AD125" s="609">
        <f>$D$125/$E$125</f>
        <v>4266667.166666667</v>
      </c>
      <c r="AE125" s="609"/>
      <c r="AF125" s="609"/>
      <c r="AG125" s="609"/>
      <c r="AH125" s="609"/>
      <c r="AI125" s="609"/>
      <c r="AJ125" s="609"/>
      <c r="AK125" s="609"/>
      <c r="AL125" s="609">
        <f t="shared" ref="AL125" si="113">$D$125/$E$125</f>
        <v>4266667.166666667</v>
      </c>
      <c r="AM125" s="609"/>
      <c r="AN125" s="609"/>
      <c r="AO125" s="609"/>
      <c r="AP125" s="609"/>
      <c r="AQ125" s="609"/>
      <c r="AR125" s="609"/>
      <c r="AS125" s="609"/>
      <c r="AT125" s="609">
        <f t="shared" ref="AT125" si="114">$D$125/$E$125</f>
        <v>4266667.166666667</v>
      </c>
      <c r="AU125" s="609"/>
      <c r="AV125" s="609"/>
      <c r="AW125" s="609"/>
      <c r="AX125" s="609"/>
      <c r="AY125" s="609"/>
      <c r="AZ125" s="609"/>
      <c r="BA125" s="609"/>
      <c r="BB125" s="161">
        <f>SUM(F125:BA125)*$E$128</f>
        <v>35556697.500133336</v>
      </c>
      <c r="BC125" s="161">
        <f>INTERVENTORÍA!H16</f>
        <v>35556697.500133336</v>
      </c>
      <c r="BD125" s="161">
        <f>BB125-BC125</f>
        <v>0</v>
      </c>
    </row>
    <row r="126" spans="1:59" x14ac:dyDescent="0.35">
      <c r="A126" s="177" t="str">
        <f>INTERVENTORÍA!A17</f>
        <v>2.2. Gastos de Alojamiento, alimentación e Hidratación</v>
      </c>
      <c r="B126" s="213"/>
      <c r="C126" s="213"/>
      <c r="D126" s="164">
        <f>INTERVENTORÍA!H17/FM!D48</f>
        <v>13440000</v>
      </c>
      <c r="E126" s="168">
        <v>8</v>
      </c>
      <c r="F126" s="609">
        <f>$D$126/$E$126</f>
        <v>1680000</v>
      </c>
      <c r="G126" s="609"/>
      <c r="H126" s="609"/>
      <c r="I126" s="609"/>
      <c r="J126" s="609">
        <f t="shared" ref="J126" si="115">$D$126/$E$126</f>
        <v>1680000</v>
      </c>
      <c r="K126" s="609"/>
      <c r="L126" s="609"/>
      <c r="M126" s="609"/>
      <c r="N126" s="609">
        <f t="shared" ref="N126" si="116">$D$126/$E$126</f>
        <v>1680000</v>
      </c>
      <c r="O126" s="609"/>
      <c r="P126" s="609"/>
      <c r="Q126" s="609"/>
      <c r="R126" s="609">
        <f t="shared" ref="R126" si="117">$D$126/$E$126</f>
        <v>1680000</v>
      </c>
      <c r="S126" s="609"/>
      <c r="T126" s="609"/>
      <c r="U126" s="609"/>
      <c r="V126" s="609">
        <f t="shared" ref="V126" si="118">$D$126/$E$126</f>
        <v>1680000</v>
      </c>
      <c r="W126" s="609"/>
      <c r="X126" s="609"/>
      <c r="Y126" s="609"/>
      <c r="Z126" s="609"/>
      <c r="AA126" s="609"/>
      <c r="AB126" s="609"/>
      <c r="AC126" s="609"/>
      <c r="AD126" s="609">
        <f t="shared" ref="AD126" si="119">$D$126/$E$126</f>
        <v>1680000</v>
      </c>
      <c r="AE126" s="609"/>
      <c r="AF126" s="609"/>
      <c r="AG126" s="609"/>
      <c r="AH126" s="609"/>
      <c r="AI126" s="609"/>
      <c r="AJ126" s="609"/>
      <c r="AK126" s="609"/>
      <c r="AL126" s="609">
        <f t="shared" ref="AL126" si="120">$D$126/$E$126</f>
        <v>1680000</v>
      </c>
      <c r="AM126" s="609"/>
      <c r="AN126" s="609"/>
      <c r="AO126" s="609"/>
      <c r="AP126" s="609"/>
      <c r="AQ126" s="609"/>
      <c r="AR126" s="609"/>
      <c r="AS126" s="609"/>
      <c r="AT126" s="609">
        <f t="shared" ref="AT126" si="121">$D$126/$E$126</f>
        <v>1680000</v>
      </c>
      <c r="AU126" s="609"/>
      <c r="AV126" s="609"/>
      <c r="AW126" s="609"/>
      <c r="AX126" s="609"/>
      <c r="AY126" s="609"/>
      <c r="AZ126" s="609"/>
      <c r="BA126" s="609"/>
      <c r="BB126" s="161">
        <f>SUM(F126:BA126)*$E$128</f>
        <v>14000448.000000002</v>
      </c>
      <c r="BC126" s="161">
        <f>INTERVENTORÍA!H17</f>
        <v>14000448.000000002</v>
      </c>
      <c r="BD126" s="161">
        <f>BB126-BC126</f>
        <v>0</v>
      </c>
    </row>
    <row r="127" spans="1:59" x14ac:dyDescent="0.35">
      <c r="A127" s="279"/>
      <c r="B127" s="279"/>
      <c r="C127" s="279"/>
      <c r="D127" s="164"/>
      <c r="E127" s="168"/>
      <c r="F127" s="592"/>
      <c r="G127" s="592"/>
      <c r="H127" s="592"/>
      <c r="I127" s="592"/>
      <c r="J127" s="592"/>
      <c r="K127" s="592"/>
      <c r="L127" s="592"/>
      <c r="M127" s="592"/>
      <c r="N127" s="592"/>
      <c r="O127" s="592"/>
      <c r="P127" s="592"/>
      <c r="Q127" s="592"/>
      <c r="R127" s="592"/>
      <c r="S127" s="592"/>
      <c r="T127" s="592"/>
      <c r="U127" s="592"/>
      <c r="V127" s="592"/>
      <c r="W127" s="592"/>
      <c r="X127" s="592"/>
      <c r="Y127" s="592"/>
      <c r="Z127" s="592"/>
      <c r="AA127" s="592"/>
      <c r="AB127" s="592"/>
      <c r="AC127" s="592"/>
      <c r="AD127" s="592"/>
      <c r="AE127" s="592"/>
      <c r="AF127" s="592"/>
      <c r="AG127" s="592"/>
      <c r="AH127" s="592"/>
      <c r="AI127" s="592"/>
      <c r="AJ127" s="592"/>
      <c r="AK127" s="592"/>
      <c r="AL127" s="592"/>
      <c r="AM127" s="592"/>
      <c r="AN127" s="592"/>
      <c r="AO127" s="592"/>
      <c r="AP127" s="592"/>
      <c r="AQ127" s="592"/>
      <c r="AR127" s="592"/>
      <c r="AS127" s="592"/>
      <c r="AT127" s="592"/>
      <c r="AU127" s="592"/>
      <c r="AV127" s="592"/>
      <c r="AW127" s="592"/>
      <c r="AX127" s="592"/>
      <c r="AY127" s="592"/>
      <c r="AZ127" s="592"/>
      <c r="BA127" s="592"/>
      <c r="BB127" s="161"/>
      <c r="BC127" s="161"/>
      <c r="BE127" s="166" t="s">
        <v>101</v>
      </c>
    </row>
    <row r="128" spans="1:59" x14ac:dyDescent="0.35">
      <c r="D128" s="181" t="s">
        <v>599</v>
      </c>
      <c r="E128" s="178">
        <f>FM!D48</f>
        <v>1.0417000000000001</v>
      </c>
      <c r="F128" s="594">
        <f>SUM(F125:I126)*$E$128</f>
        <v>6194643.1875166669</v>
      </c>
      <c r="G128" s="594"/>
      <c r="H128" s="594"/>
      <c r="I128" s="594"/>
      <c r="J128" s="594">
        <f>SUM(J125:M126)*$E$128</f>
        <v>6194643.1875166669</v>
      </c>
      <c r="K128" s="594"/>
      <c r="L128" s="594"/>
      <c r="M128" s="594"/>
      <c r="N128" s="594">
        <f>SUM(N125:Q126)*$E$128</f>
        <v>6194643.1875166669</v>
      </c>
      <c r="O128" s="594"/>
      <c r="P128" s="594"/>
      <c r="Q128" s="594"/>
      <c r="R128" s="594">
        <f>SUM(R125:U126)*$E$128</f>
        <v>6194643.1875166669</v>
      </c>
      <c r="S128" s="594"/>
      <c r="T128" s="594"/>
      <c r="U128" s="594"/>
      <c r="V128" s="594">
        <f t="shared" ref="V128" si="122">SUM(V125:Y126)*$E$128</f>
        <v>6194643.1875166669</v>
      </c>
      <c r="W128" s="594"/>
      <c r="X128" s="594"/>
      <c r="Y128" s="594"/>
      <c r="Z128" s="594">
        <f t="shared" ref="Z128" si="123">SUM(Z125:AC126)*$E$128</f>
        <v>0</v>
      </c>
      <c r="AA128" s="594"/>
      <c r="AB128" s="594"/>
      <c r="AC128" s="594"/>
      <c r="AD128" s="594">
        <f t="shared" ref="AD128" si="124">SUM(AD125:AG126)*$E$128</f>
        <v>6194643.1875166669</v>
      </c>
      <c r="AE128" s="594"/>
      <c r="AF128" s="594"/>
      <c r="AG128" s="594"/>
      <c r="AH128" s="594">
        <f t="shared" ref="AH128" si="125">SUM(AH125:AK126)*$E$128</f>
        <v>0</v>
      </c>
      <c r="AI128" s="594"/>
      <c r="AJ128" s="594"/>
      <c r="AK128" s="594"/>
      <c r="AL128" s="594">
        <f t="shared" ref="AL128" si="126">SUM(AL125:AO126)*$E$128</f>
        <v>6194643.1875166669</v>
      </c>
      <c r="AM128" s="594"/>
      <c r="AN128" s="594"/>
      <c r="AO128" s="594"/>
      <c r="AP128" s="594">
        <f t="shared" ref="AP128" si="127">SUM(AP125:AS126)*$E$128</f>
        <v>0</v>
      </c>
      <c r="AQ128" s="594"/>
      <c r="AR128" s="594"/>
      <c r="AS128" s="594"/>
      <c r="AT128" s="594">
        <f t="shared" ref="AT128" si="128">SUM(AT125:AW126)*$E$128</f>
        <v>6194643.1875166669</v>
      </c>
      <c r="AU128" s="594"/>
      <c r="AV128" s="594"/>
      <c r="AW128" s="594"/>
      <c r="AX128" s="594">
        <f t="shared" ref="AX128" si="129">SUM(AX125:BA126)*$E$128</f>
        <v>0</v>
      </c>
      <c r="AY128" s="594"/>
      <c r="AZ128" s="594"/>
      <c r="BA128" s="594"/>
      <c r="BB128" s="178"/>
      <c r="BC128" s="178">
        <f>SUM(BC125:BC126)</f>
        <v>49557145.500133336</v>
      </c>
      <c r="BD128" s="222" t="str">
        <f>IF(ABS(BC128-BE128)&lt;0.001,"OK"," ERROR")</f>
        <v>OK</v>
      </c>
      <c r="BE128" s="163">
        <f>INTERVENTORÍA!H18</f>
        <v>49557145.500133336</v>
      </c>
    </row>
    <row r="129" spans="1:56" x14ac:dyDescent="0.35">
      <c r="F129" s="590"/>
      <c r="G129" s="591"/>
      <c r="H129" s="591"/>
      <c r="I129" s="591"/>
      <c r="J129" s="590"/>
      <c r="K129" s="591"/>
      <c r="L129" s="591"/>
      <c r="M129" s="591"/>
      <c r="N129" s="590"/>
      <c r="O129" s="591"/>
      <c r="P129" s="591"/>
      <c r="Q129" s="591"/>
      <c r="R129" s="590"/>
      <c r="S129" s="591"/>
      <c r="T129" s="591"/>
      <c r="U129" s="591"/>
      <c r="V129" s="590"/>
      <c r="W129" s="591"/>
      <c r="X129" s="591"/>
      <c r="Y129" s="591"/>
      <c r="Z129" s="590"/>
      <c r="AA129" s="591"/>
      <c r="AB129" s="591"/>
      <c r="AC129" s="591"/>
      <c r="AD129" s="590"/>
      <c r="AE129" s="591"/>
      <c r="AF129" s="591"/>
      <c r="AG129" s="591"/>
      <c r="AH129" s="590"/>
      <c r="AI129" s="591"/>
      <c r="AJ129" s="591"/>
      <c r="AK129" s="591"/>
      <c r="AL129" s="590"/>
      <c r="AM129" s="591"/>
      <c r="AN129" s="591"/>
      <c r="AO129" s="591"/>
      <c r="AP129" s="590"/>
      <c r="AQ129" s="591"/>
      <c r="AR129" s="591"/>
      <c r="AS129" s="591"/>
      <c r="AT129" s="590"/>
      <c r="AU129" s="591"/>
      <c r="AV129" s="591"/>
      <c r="AW129" s="591"/>
      <c r="AX129" s="590"/>
      <c r="AY129" s="591"/>
      <c r="AZ129" s="591"/>
      <c r="BA129" s="591"/>
      <c r="BD129" s="166" t="s">
        <v>130</v>
      </c>
    </row>
    <row r="130" spans="1:56" x14ac:dyDescent="0.35">
      <c r="A130" s="143" t="s">
        <v>186</v>
      </c>
      <c r="D130" s="161">
        <f>F128+F122</f>
        <v>27126623.575516667</v>
      </c>
      <c r="E130" s="169">
        <f>D130/$D$134</f>
        <v>0.104533858534662</v>
      </c>
      <c r="F130" s="590"/>
      <c r="G130" s="591"/>
      <c r="H130" s="591"/>
      <c r="I130" s="591"/>
      <c r="J130" s="590"/>
      <c r="K130" s="591"/>
      <c r="L130" s="591"/>
      <c r="M130" s="591"/>
      <c r="N130" s="590"/>
      <c r="O130" s="591"/>
      <c r="P130" s="591"/>
      <c r="Q130" s="591"/>
      <c r="R130" s="590"/>
      <c r="S130" s="591"/>
      <c r="T130" s="591"/>
      <c r="U130" s="591"/>
      <c r="V130" s="590"/>
      <c r="W130" s="591"/>
      <c r="X130" s="591"/>
      <c r="Y130" s="591"/>
      <c r="Z130" s="590"/>
      <c r="AA130" s="591"/>
      <c r="AB130" s="591"/>
      <c r="AC130" s="591"/>
      <c r="AD130" s="590"/>
      <c r="AE130" s="591"/>
      <c r="AF130" s="591"/>
      <c r="AG130" s="591"/>
      <c r="AH130" s="590"/>
      <c r="AI130" s="591"/>
      <c r="AJ130" s="591"/>
      <c r="AK130" s="591"/>
      <c r="AL130" s="590"/>
      <c r="AM130" s="591"/>
      <c r="AN130" s="591"/>
      <c r="AO130" s="591"/>
      <c r="AP130" s="590"/>
      <c r="AQ130" s="591"/>
      <c r="AR130" s="591"/>
      <c r="AS130" s="591"/>
      <c r="AT130" s="590"/>
      <c r="AU130" s="591"/>
      <c r="AV130" s="591"/>
      <c r="AW130" s="591"/>
      <c r="AX130" s="590"/>
      <c r="AY130" s="591"/>
      <c r="AZ130" s="591"/>
      <c r="BA130" s="591"/>
    </row>
    <row r="131" spans="1:56" x14ac:dyDescent="0.35">
      <c r="A131" s="143" t="s">
        <v>187</v>
      </c>
      <c r="D131" s="161">
        <f>SUM(J122:AG122)+SUM(J128:AG128)</f>
        <v>144465527.78558332</v>
      </c>
      <c r="E131" s="169">
        <f>ROUND((D131/$D$134),5)</f>
        <v>0.55671000000000004</v>
      </c>
      <c r="F131" s="590"/>
      <c r="G131" s="591"/>
      <c r="H131" s="591"/>
      <c r="I131" s="591"/>
      <c r="J131" s="590"/>
      <c r="K131" s="591"/>
      <c r="L131" s="591"/>
      <c r="M131" s="591"/>
      <c r="N131" s="590"/>
      <c r="O131" s="591"/>
      <c r="P131" s="591"/>
      <c r="Q131" s="591"/>
      <c r="R131" s="590"/>
      <c r="S131" s="591"/>
      <c r="T131" s="591"/>
      <c r="U131" s="591"/>
      <c r="V131" s="590"/>
      <c r="W131" s="591"/>
      <c r="X131" s="591"/>
      <c r="Y131" s="591"/>
      <c r="Z131" s="590"/>
      <c r="AA131" s="591"/>
      <c r="AB131" s="591"/>
      <c r="AC131" s="591"/>
      <c r="AD131" s="590"/>
      <c r="AE131" s="591"/>
      <c r="AF131" s="591"/>
      <c r="AG131" s="591"/>
      <c r="AH131" s="590"/>
      <c r="AI131" s="591"/>
      <c r="AJ131" s="591"/>
      <c r="AK131" s="591"/>
      <c r="AL131" s="590"/>
      <c r="AM131" s="591"/>
      <c r="AN131" s="591"/>
      <c r="AO131" s="591"/>
      <c r="AP131" s="590"/>
      <c r="AQ131" s="591"/>
      <c r="AR131" s="591"/>
      <c r="AS131" s="591"/>
      <c r="AT131" s="590"/>
      <c r="AU131" s="591"/>
      <c r="AV131" s="591"/>
      <c r="AW131" s="591"/>
      <c r="AX131" s="590"/>
      <c r="AY131" s="591"/>
      <c r="AZ131" s="591"/>
      <c r="BA131" s="591"/>
    </row>
    <row r="132" spans="1:56" x14ac:dyDescent="0.35">
      <c r="A132" s="143" t="s">
        <v>188</v>
      </c>
      <c r="D132" s="161">
        <f>SUM(AH122:AO122)+SUM(AH128:AO128)</f>
        <v>35569816.171516664</v>
      </c>
      <c r="E132" s="169">
        <f>D132/$D$134</f>
        <v>0.13707014149498464</v>
      </c>
      <c r="F132" s="590"/>
      <c r="G132" s="591"/>
      <c r="H132" s="591"/>
      <c r="I132" s="591"/>
      <c r="J132" s="590"/>
      <c r="K132" s="591"/>
      <c r="L132" s="591"/>
      <c r="M132" s="591"/>
      <c r="N132" s="590"/>
      <c r="O132" s="591"/>
      <c r="P132" s="591"/>
      <c r="Q132" s="591"/>
      <c r="R132" s="590"/>
      <c r="S132" s="591"/>
      <c r="T132" s="591"/>
      <c r="U132" s="591"/>
      <c r="V132" s="590"/>
      <c r="W132" s="591"/>
      <c r="X132" s="591"/>
      <c r="Y132" s="591"/>
      <c r="Z132" s="590"/>
      <c r="AA132" s="591"/>
      <c r="AB132" s="591"/>
      <c r="AC132" s="591"/>
      <c r="AD132" s="590"/>
      <c r="AE132" s="591"/>
      <c r="AF132" s="591"/>
      <c r="AG132" s="591"/>
      <c r="AH132" s="590"/>
      <c r="AI132" s="591"/>
      <c r="AJ132" s="591"/>
      <c r="AK132" s="591"/>
      <c r="AL132" s="590"/>
      <c r="AM132" s="591"/>
      <c r="AN132" s="591"/>
      <c r="AO132" s="591"/>
      <c r="AP132" s="590"/>
      <c r="AQ132" s="591"/>
      <c r="AR132" s="591"/>
      <c r="AS132" s="591"/>
      <c r="AT132" s="590"/>
      <c r="AU132" s="591"/>
      <c r="AV132" s="591"/>
      <c r="AW132" s="591"/>
      <c r="AX132" s="590"/>
      <c r="AY132" s="591"/>
      <c r="AZ132" s="591"/>
      <c r="BA132" s="591"/>
    </row>
    <row r="133" spans="1:56" x14ac:dyDescent="0.35">
      <c r="A133" s="143" t="s">
        <v>189</v>
      </c>
      <c r="D133" s="161">
        <f>SUM(AP122:BA122)+SUM(AP128:BA128)</f>
        <v>52338867.295516662</v>
      </c>
      <c r="E133" s="169">
        <f>D133/$D$134</f>
        <v>0.20169055446591014</v>
      </c>
      <c r="F133" s="590"/>
      <c r="G133" s="591"/>
      <c r="H133" s="591"/>
      <c r="I133" s="591"/>
      <c r="J133" s="590"/>
      <c r="K133" s="591"/>
      <c r="L133" s="591"/>
      <c r="M133" s="591"/>
      <c r="N133" s="590"/>
      <c r="O133" s="591"/>
      <c r="P133" s="591"/>
      <c r="Q133" s="591"/>
      <c r="R133" s="590"/>
      <c r="S133" s="591"/>
      <c r="T133" s="591"/>
      <c r="U133" s="591"/>
      <c r="V133" s="590"/>
      <c r="W133" s="591"/>
      <c r="X133" s="591"/>
      <c r="Y133" s="591"/>
      <c r="Z133" s="590"/>
      <c r="AA133" s="591"/>
      <c r="AB133" s="591"/>
      <c r="AC133" s="591"/>
      <c r="AD133" s="590"/>
      <c r="AE133" s="591"/>
      <c r="AF133" s="591"/>
      <c r="AG133" s="591"/>
      <c r="AH133" s="590"/>
      <c r="AI133" s="591"/>
      <c r="AJ133" s="591"/>
      <c r="AK133" s="591"/>
      <c r="AL133" s="590"/>
      <c r="AM133" s="591"/>
      <c r="AN133" s="591"/>
      <c r="AO133" s="591"/>
      <c r="AP133" s="590"/>
      <c r="AQ133" s="591"/>
      <c r="AR133" s="591"/>
      <c r="AS133" s="591"/>
      <c r="AT133" s="590"/>
      <c r="AU133" s="591"/>
      <c r="AV133" s="591"/>
      <c r="AW133" s="591"/>
      <c r="AX133" s="590"/>
      <c r="AY133" s="591"/>
      <c r="AZ133" s="591"/>
      <c r="BA133" s="591"/>
    </row>
    <row r="134" spans="1:56" x14ac:dyDescent="0.35">
      <c r="D134" s="280">
        <f>ROUND(SUM(D130:D133),0)</f>
        <v>259500835</v>
      </c>
      <c r="E134" s="281">
        <f>SUM(E130:E133)</f>
        <v>1.0000045544955569</v>
      </c>
      <c r="F134" s="590"/>
      <c r="G134" s="591"/>
      <c r="H134" s="591"/>
      <c r="I134" s="591"/>
      <c r="J134" s="590"/>
      <c r="K134" s="591"/>
      <c r="L134" s="591"/>
      <c r="M134" s="591"/>
      <c r="N134" s="590"/>
      <c r="O134" s="591"/>
      <c r="P134" s="591"/>
      <c r="Q134" s="591"/>
      <c r="R134" s="590"/>
      <c r="S134" s="591"/>
      <c r="T134" s="591"/>
      <c r="U134" s="591"/>
      <c r="V134" s="590"/>
      <c r="W134" s="591"/>
      <c r="X134" s="591"/>
      <c r="Y134" s="591"/>
      <c r="Z134" s="590"/>
      <c r="AA134" s="591"/>
      <c r="AB134" s="591"/>
      <c r="AC134" s="591"/>
      <c r="AD134" s="590"/>
      <c r="AE134" s="591"/>
      <c r="AF134" s="591"/>
      <c r="AG134" s="591"/>
      <c r="AH134" s="590"/>
      <c r="AI134" s="591"/>
      <c r="AJ134" s="591"/>
      <c r="AK134" s="591"/>
      <c r="AL134" s="590"/>
      <c r="AM134" s="591"/>
      <c r="AN134" s="591"/>
      <c r="AO134" s="591"/>
      <c r="AP134" s="590"/>
      <c r="AQ134" s="591"/>
      <c r="AR134" s="591"/>
      <c r="AS134" s="591"/>
      <c r="AT134" s="590"/>
      <c r="AU134" s="591"/>
      <c r="AV134" s="591"/>
      <c r="AW134" s="591"/>
      <c r="AX134" s="590"/>
      <c r="AY134" s="591"/>
      <c r="AZ134" s="591"/>
      <c r="BA134" s="591"/>
    </row>
    <row r="135" spans="1:56" x14ac:dyDescent="0.35">
      <c r="D135" s="178">
        <f>INTERVENTORÍA!G20</f>
        <v>259500835</v>
      </c>
      <c r="E135" s="222" t="str">
        <f>IF(ABS(D135-D134)&lt;0.001,"OK"," ERROR")</f>
        <v>OK</v>
      </c>
      <c r="F135" s="598"/>
      <c r="G135" s="598"/>
      <c r="H135" s="598"/>
      <c r="I135" s="598"/>
      <c r="J135" s="598"/>
      <c r="K135" s="598"/>
      <c r="L135" s="598"/>
      <c r="M135" s="598"/>
      <c r="N135" s="598"/>
      <c r="O135" s="598"/>
      <c r="P135" s="598"/>
      <c r="Q135" s="598"/>
      <c r="R135" s="598"/>
      <c r="S135" s="598"/>
      <c r="T135" s="598"/>
      <c r="U135" s="598"/>
      <c r="V135" s="598"/>
      <c r="W135" s="598"/>
      <c r="X135" s="598"/>
      <c r="Y135" s="598"/>
      <c r="Z135" s="598"/>
      <c r="AA135" s="598"/>
      <c r="AB135" s="598"/>
      <c r="AC135" s="598"/>
      <c r="AD135" s="590"/>
      <c r="AE135" s="591"/>
      <c r="AF135" s="591"/>
      <c r="AG135" s="591"/>
      <c r="AH135" s="590"/>
      <c r="AI135" s="591"/>
      <c r="AJ135" s="591"/>
      <c r="AK135" s="591"/>
      <c r="AL135" s="590"/>
      <c r="AM135" s="591"/>
      <c r="AN135" s="591"/>
      <c r="AO135" s="591"/>
      <c r="AP135" s="590"/>
      <c r="AQ135" s="591"/>
      <c r="AR135" s="591"/>
      <c r="AS135" s="591"/>
      <c r="AT135" s="590"/>
      <c r="AU135" s="591"/>
      <c r="AV135" s="591"/>
      <c r="AW135" s="591"/>
      <c r="AX135" s="590"/>
      <c r="AY135" s="591"/>
      <c r="AZ135" s="591"/>
      <c r="BA135" s="591"/>
    </row>
    <row r="136" spans="1:56" x14ac:dyDescent="0.35">
      <c r="E136" s="166" t="s">
        <v>133</v>
      </c>
      <c r="F136" s="598"/>
      <c r="G136" s="598"/>
      <c r="H136" s="598"/>
      <c r="I136" s="598"/>
      <c r="J136" s="598"/>
      <c r="K136" s="598"/>
      <c r="L136" s="598"/>
      <c r="M136" s="598"/>
      <c r="N136" s="598"/>
      <c r="O136" s="598"/>
      <c r="P136" s="598"/>
      <c r="Q136" s="598"/>
      <c r="R136" s="598"/>
      <c r="S136" s="598"/>
      <c r="T136" s="598"/>
      <c r="U136" s="598"/>
      <c r="V136" s="598"/>
      <c r="W136" s="598"/>
      <c r="X136" s="598"/>
      <c r="Y136" s="598"/>
      <c r="Z136" s="598"/>
      <c r="AA136" s="598"/>
      <c r="AB136" s="598"/>
      <c r="AC136" s="598"/>
      <c r="AD136" s="590"/>
      <c r="AE136" s="591"/>
      <c r="AF136" s="591"/>
      <c r="AG136" s="591"/>
      <c r="AH136" s="590"/>
      <c r="AI136" s="591"/>
      <c r="AJ136" s="591"/>
      <c r="AK136" s="591"/>
      <c r="AL136" s="590"/>
      <c r="AM136" s="591"/>
      <c r="AN136" s="591"/>
      <c r="AO136" s="591"/>
      <c r="AP136" s="590"/>
      <c r="AQ136" s="591"/>
      <c r="AR136" s="591"/>
      <c r="AS136" s="591"/>
      <c r="AT136" s="590"/>
      <c r="AU136" s="591"/>
      <c r="AV136" s="591"/>
      <c r="AW136" s="591"/>
      <c r="AX136" s="590"/>
      <c r="AY136" s="591"/>
      <c r="AZ136" s="591"/>
      <c r="BA136" s="591"/>
    </row>
    <row r="137" spans="1:56" x14ac:dyDescent="0.35">
      <c r="E137" s="166"/>
      <c r="F137" s="598"/>
      <c r="G137" s="598"/>
      <c r="H137" s="598"/>
      <c r="I137" s="598"/>
      <c r="J137" s="598"/>
      <c r="K137" s="598"/>
      <c r="L137" s="598"/>
      <c r="M137" s="598"/>
      <c r="N137" s="598"/>
      <c r="O137" s="598"/>
      <c r="P137" s="598"/>
      <c r="Q137" s="598"/>
      <c r="R137" s="598"/>
      <c r="S137" s="598"/>
      <c r="T137" s="598"/>
      <c r="U137" s="598"/>
      <c r="V137" s="598"/>
      <c r="W137" s="598"/>
      <c r="X137" s="598"/>
      <c r="Y137" s="598"/>
      <c r="Z137" s="598"/>
      <c r="AA137" s="598"/>
      <c r="AB137" s="598"/>
      <c r="AC137" s="598"/>
      <c r="AD137" s="590"/>
      <c r="AE137" s="591"/>
      <c r="AF137" s="591"/>
      <c r="AG137" s="591"/>
      <c r="AH137" s="590"/>
      <c r="AI137" s="591"/>
      <c r="AJ137" s="591"/>
      <c r="AK137" s="591"/>
      <c r="AL137" s="590"/>
      <c r="AM137" s="591"/>
      <c r="AN137" s="591"/>
      <c r="AO137" s="591"/>
      <c r="AP137" s="590"/>
      <c r="AQ137" s="591"/>
      <c r="AR137" s="591"/>
      <c r="AS137" s="591"/>
      <c r="AT137" s="590"/>
      <c r="AU137" s="591"/>
      <c r="AV137" s="591"/>
      <c r="AW137" s="591"/>
      <c r="AX137" s="590"/>
      <c r="AY137" s="591"/>
      <c r="AZ137" s="591"/>
      <c r="BA137" s="591"/>
    </row>
    <row r="138" spans="1:56" x14ac:dyDescent="0.35">
      <c r="E138" s="178">
        <f>F122</f>
        <v>20931980.388</v>
      </c>
      <c r="F138" s="590">
        <f>F125*E128</f>
        <v>4444587.1875166669</v>
      </c>
      <c r="G138" s="590"/>
      <c r="H138" s="590"/>
      <c r="I138" s="590"/>
      <c r="J138" s="590">
        <f>F126*E128</f>
        <v>1750056.0000000002</v>
      </c>
      <c r="K138" s="590"/>
      <c r="L138" s="590"/>
      <c r="M138" s="590"/>
      <c r="N138" s="598"/>
      <c r="O138" s="598"/>
      <c r="P138" s="598"/>
      <c r="Q138" s="598"/>
      <c r="R138" s="598"/>
      <c r="S138" s="598"/>
      <c r="T138" s="598"/>
      <c r="U138" s="598"/>
      <c r="V138" s="598"/>
      <c r="W138" s="598"/>
      <c r="X138" s="598"/>
      <c r="Y138" s="598"/>
      <c r="Z138" s="598"/>
      <c r="AA138" s="598"/>
      <c r="AB138" s="598"/>
      <c r="AC138" s="598"/>
      <c r="AD138" s="590"/>
      <c r="AE138" s="591"/>
      <c r="AF138" s="591"/>
      <c r="AG138" s="591"/>
      <c r="AH138" s="590"/>
      <c r="AI138" s="591"/>
      <c r="AJ138" s="591"/>
      <c r="AK138" s="591"/>
      <c r="AL138" s="590"/>
      <c r="AM138" s="591"/>
      <c r="AN138" s="591"/>
      <c r="AO138" s="591"/>
      <c r="AP138" s="590"/>
      <c r="AQ138" s="591"/>
      <c r="AR138" s="591"/>
      <c r="AS138" s="591"/>
      <c r="AT138" s="590"/>
      <c r="AU138" s="591"/>
      <c r="AV138" s="591"/>
      <c r="AW138" s="591"/>
      <c r="AX138" s="590"/>
      <c r="AY138" s="591"/>
      <c r="AZ138" s="591"/>
      <c r="BA138" s="591"/>
    </row>
    <row r="139" spans="1:56" x14ac:dyDescent="0.35">
      <c r="E139" s="199" t="s">
        <v>102</v>
      </c>
      <c r="F139" s="654" t="s">
        <v>103</v>
      </c>
      <c r="G139" s="654"/>
      <c r="H139" s="654"/>
      <c r="I139" s="654"/>
      <c r="J139" s="652" t="s">
        <v>104</v>
      </c>
      <c r="K139" s="652"/>
      <c r="L139" s="652"/>
      <c r="M139" s="652"/>
      <c r="N139" s="598"/>
      <c r="O139" s="598"/>
      <c r="P139" s="598"/>
      <c r="Q139" s="598"/>
      <c r="R139" s="598"/>
      <c r="S139" s="598"/>
      <c r="T139" s="598"/>
      <c r="U139" s="598"/>
      <c r="V139" s="598"/>
      <c r="W139" s="598"/>
      <c r="X139" s="598"/>
      <c r="Y139" s="598"/>
      <c r="Z139" s="598"/>
      <c r="AA139" s="598"/>
      <c r="AB139" s="598"/>
      <c r="AC139" s="598"/>
      <c r="AD139" s="590"/>
      <c r="AE139" s="591"/>
      <c r="AF139" s="591"/>
      <c r="AG139" s="591"/>
      <c r="AH139" s="590"/>
      <c r="AI139" s="591"/>
      <c r="AJ139" s="591"/>
      <c r="AK139" s="591"/>
      <c r="AL139" s="590"/>
      <c r="AM139" s="591"/>
      <c r="AN139" s="591"/>
      <c r="AO139" s="591"/>
      <c r="AP139" s="590"/>
      <c r="AQ139" s="591"/>
      <c r="AR139" s="591"/>
      <c r="AS139" s="591"/>
      <c r="AT139" s="590"/>
      <c r="AU139" s="591"/>
      <c r="AV139" s="591"/>
      <c r="AW139" s="591"/>
      <c r="AX139" s="590"/>
      <c r="AY139" s="591"/>
      <c r="AZ139" s="591"/>
      <c r="BA139" s="591"/>
    </row>
    <row r="140" spans="1:56" ht="16.5" customHeight="1" x14ac:dyDescent="0.35">
      <c r="A140" s="665" t="str">
        <f>A46</f>
        <v>FASE 1. Declaratoria y Acciones Previas</v>
      </c>
      <c r="B140" s="665"/>
      <c r="C140" s="216"/>
      <c r="E140" s="143"/>
      <c r="F140" s="603"/>
      <c r="G140" s="603"/>
      <c r="H140" s="603"/>
      <c r="I140" s="603"/>
      <c r="J140" s="603"/>
      <c r="K140" s="603"/>
      <c r="L140" s="603"/>
      <c r="M140" s="603"/>
      <c r="N140" s="598"/>
      <c r="O140" s="598"/>
      <c r="P140" s="598"/>
      <c r="Q140" s="598"/>
      <c r="R140" s="605" t="s">
        <v>106</v>
      </c>
      <c r="S140" s="605"/>
      <c r="T140" s="605"/>
      <c r="U140" s="605"/>
      <c r="V140" s="605" t="s">
        <v>105</v>
      </c>
      <c r="W140" s="605"/>
      <c r="X140" s="605"/>
      <c r="Y140" s="605"/>
      <c r="Z140" s="598"/>
      <c r="AA140" s="598"/>
      <c r="AB140" s="598"/>
      <c r="AC140" s="598"/>
      <c r="AD140" s="590"/>
      <c r="AE140" s="591"/>
      <c r="AF140" s="591"/>
      <c r="AG140" s="591"/>
      <c r="AH140" s="590"/>
      <c r="AI140" s="591"/>
      <c r="AJ140" s="591"/>
      <c r="AK140" s="591"/>
      <c r="AL140" s="590"/>
      <c r="AM140" s="591"/>
      <c r="AN140" s="591"/>
      <c r="AO140" s="591"/>
      <c r="AP140" s="590"/>
      <c r="AQ140" s="591"/>
      <c r="AR140" s="591"/>
      <c r="AS140" s="591"/>
      <c r="AT140" s="590"/>
      <c r="AU140" s="591"/>
      <c r="AV140" s="591"/>
      <c r="AW140" s="591"/>
      <c r="AX140" s="590"/>
      <c r="AY140" s="591"/>
      <c r="AZ140" s="591"/>
      <c r="BA140" s="591"/>
    </row>
    <row r="141" spans="1:56" x14ac:dyDescent="0.35">
      <c r="A141" s="613" t="s">
        <v>311</v>
      </c>
      <c r="B141" s="613"/>
      <c r="C141" s="613"/>
      <c r="D141" s="170">
        <v>1</v>
      </c>
      <c r="E141" s="174">
        <f>$E$138/$D$150</f>
        <v>2325775.5986666665</v>
      </c>
      <c r="F141" s="603"/>
      <c r="G141" s="603"/>
      <c r="H141" s="603"/>
      <c r="I141" s="603"/>
      <c r="J141" s="603"/>
      <c r="K141" s="603"/>
      <c r="L141" s="603"/>
      <c r="M141" s="603"/>
      <c r="N141" s="583">
        <f>SUM(E141:M141)</f>
        <v>2325775.5986666665</v>
      </c>
      <c r="O141" s="593"/>
      <c r="P141" s="593"/>
      <c r="Q141" s="593"/>
      <c r="R141" s="585">
        <f t="shared" ref="R141" si="130">N141/$N$151</f>
        <v>8.5737747353334906E-2</v>
      </c>
      <c r="S141" s="585"/>
      <c r="T141" s="585"/>
      <c r="U141" s="585"/>
      <c r="V141" s="585">
        <f>R141*$E$130</f>
        <v>8.9624975529141032E-3</v>
      </c>
      <c r="W141" s="585"/>
      <c r="X141" s="585"/>
      <c r="Y141" s="585"/>
      <c r="Z141" s="598"/>
      <c r="AA141" s="598"/>
      <c r="AB141" s="598"/>
      <c r="AC141" s="598"/>
      <c r="AD141" s="590"/>
      <c r="AE141" s="591"/>
      <c r="AF141" s="591"/>
      <c r="AG141" s="591"/>
      <c r="AH141" s="590"/>
      <c r="AI141" s="591"/>
      <c r="AJ141" s="591"/>
      <c r="AK141" s="591"/>
      <c r="AL141" s="590"/>
      <c r="AM141" s="591"/>
      <c r="AN141" s="591"/>
      <c r="AO141" s="591"/>
      <c r="AP141" s="590"/>
      <c r="AQ141" s="591"/>
      <c r="AR141" s="591"/>
      <c r="AS141" s="591"/>
      <c r="AT141" s="590"/>
      <c r="AU141" s="591"/>
      <c r="AV141" s="591"/>
      <c r="AW141" s="591"/>
      <c r="AX141" s="590"/>
      <c r="AY141" s="591"/>
      <c r="AZ141" s="591"/>
      <c r="BA141" s="591"/>
    </row>
    <row r="142" spans="1:56" ht="16.5" customHeight="1" x14ac:dyDescent="0.35">
      <c r="A142" s="608" t="s">
        <v>312</v>
      </c>
      <c r="B142" s="608"/>
      <c r="C142" s="608"/>
      <c r="D142" s="170">
        <v>1</v>
      </c>
      <c r="E142" s="174">
        <f t="shared" ref="E142:E149" si="131">$E$138/$D$150</f>
        <v>2325775.5986666665</v>
      </c>
      <c r="F142" s="603"/>
      <c r="G142" s="603"/>
      <c r="H142" s="603"/>
      <c r="I142" s="603"/>
      <c r="J142" s="603"/>
      <c r="K142" s="603"/>
      <c r="L142" s="603"/>
      <c r="M142" s="603"/>
      <c r="N142" s="583">
        <f t="shared" ref="N142:N149" si="132">SUM(E142:M142)</f>
        <v>2325775.5986666665</v>
      </c>
      <c r="O142" s="593"/>
      <c r="P142" s="593"/>
      <c r="Q142" s="593"/>
      <c r="R142" s="585">
        <f t="shared" ref="R142:R149" si="133">N142/$N$151</f>
        <v>8.5737747353334906E-2</v>
      </c>
      <c r="S142" s="585"/>
      <c r="T142" s="585"/>
      <c r="U142" s="585"/>
      <c r="V142" s="585">
        <f t="shared" ref="V142:V149" si="134">R142*$E$130</f>
        <v>8.9624975529141032E-3</v>
      </c>
      <c r="W142" s="585"/>
      <c r="X142" s="585"/>
      <c r="Y142" s="585"/>
      <c r="Z142" s="598"/>
      <c r="AA142" s="598"/>
      <c r="AB142" s="598"/>
      <c r="AC142" s="598"/>
      <c r="AD142" s="590"/>
      <c r="AE142" s="591"/>
      <c r="AF142" s="591"/>
      <c r="AG142" s="591"/>
      <c r="AH142" s="590"/>
      <c r="AI142" s="591"/>
      <c r="AJ142" s="591"/>
      <c r="AK142" s="591"/>
      <c r="AL142" s="590"/>
      <c r="AM142" s="591"/>
      <c r="AN142" s="591"/>
      <c r="AO142" s="591"/>
      <c r="AP142" s="590"/>
      <c r="AQ142" s="591"/>
      <c r="AR142" s="591"/>
      <c r="AS142" s="591"/>
      <c r="AT142" s="590"/>
      <c r="AU142" s="591"/>
      <c r="AV142" s="591"/>
      <c r="AW142" s="591"/>
      <c r="AX142" s="590"/>
      <c r="AY142" s="591"/>
      <c r="AZ142" s="591"/>
      <c r="BA142" s="591"/>
    </row>
    <row r="143" spans="1:56" x14ac:dyDescent="0.35">
      <c r="A143" s="599" t="s">
        <v>313</v>
      </c>
      <c r="B143" s="599"/>
      <c r="C143" s="599"/>
      <c r="D143" s="170">
        <v>1</v>
      </c>
      <c r="E143" s="174">
        <f t="shared" si="131"/>
        <v>2325775.5986666665</v>
      </c>
      <c r="F143" s="583">
        <f>F138/F151</f>
        <v>2222293.5937583335</v>
      </c>
      <c r="G143" s="593"/>
      <c r="H143" s="593"/>
      <c r="I143" s="593"/>
      <c r="J143" s="583">
        <f>J138/2</f>
        <v>875028.00000000012</v>
      </c>
      <c r="K143" s="593"/>
      <c r="L143" s="593"/>
      <c r="M143" s="593"/>
      <c r="N143" s="583">
        <f t="shared" si="132"/>
        <v>5423097.1924249995</v>
      </c>
      <c r="O143" s="593"/>
      <c r="P143" s="593"/>
      <c r="Q143" s="593"/>
      <c r="R143" s="585">
        <f t="shared" si="133"/>
        <v>0.19991788426332774</v>
      </c>
      <c r="S143" s="585"/>
      <c r="T143" s="585"/>
      <c r="U143" s="585"/>
      <c r="V143" s="585">
        <f t="shared" si="134"/>
        <v>2.0898187832131633E-2</v>
      </c>
      <c r="W143" s="585"/>
      <c r="X143" s="585"/>
      <c r="Y143" s="585"/>
      <c r="Z143" s="598"/>
      <c r="AA143" s="598"/>
      <c r="AB143" s="598"/>
      <c r="AC143" s="598"/>
      <c r="AD143" s="590"/>
      <c r="AE143" s="591"/>
      <c r="AF143" s="591"/>
      <c r="AG143" s="591"/>
      <c r="AH143" s="590"/>
      <c r="AI143" s="591"/>
      <c r="AJ143" s="591"/>
      <c r="AK143" s="591"/>
      <c r="AL143" s="590"/>
      <c r="AM143" s="591"/>
      <c r="AN143" s="591"/>
      <c r="AO143" s="591"/>
      <c r="AP143" s="590"/>
      <c r="AQ143" s="591"/>
      <c r="AR143" s="591"/>
      <c r="AS143" s="591"/>
      <c r="AT143" s="590"/>
      <c r="AU143" s="591"/>
      <c r="AV143" s="591"/>
      <c r="AW143" s="591"/>
      <c r="AX143" s="590"/>
      <c r="AY143" s="591"/>
      <c r="AZ143" s="591"/>
      <c r="BA143" s="591"/>
    </row>
    <row r="144" spans="1:56" x14ac:dyDescent="0.35">
      <c r="A144" s="608" t="s">
        <v>314</v>
      </c>
      <c r="B144" s="608"/>
      <c r="C144" s="608"/>
      <c r="D144" s="170">
        <v>1</v>
      </c>
      <c r="E144" s="174">
        <f t="shared" si="131"/>
        <v>2325775.5986666665</v>
      </c>
      <c r="F144" s="593"/>
      <c r="G144" s="593"/>
      <c r="H144" s="593"/>
      <c r="I144" s="593"/>
      <c r="J144" s="593"/>
      <c r="K144" s="593"/>
      <c r="L144" s="593"/>
      <c r="M144" s="593"/>
      <c r="N144" s="583">
        <f t="shared" si="132"/>
        <v>2325775.5986666665</v>
      </c>
      <c r="O144" s="593"/>
      <c r="P144" s="593"/>
      <c r="Q144" s="593"/>
      <c r="R144" s="585">
        <f t="shared" si="133"/>
        <v>8.5737747353334906E-2</v>
      </c>
      <c r="S144" s="585"/>
      <c r="T144" s="585"/>
      <c r="U144" s="585"/>
      <c r="V144" s="585">
        <f t="shared" si="134"/>
        <v>8.9624975529141032E-3</v>
      </c>
      <c r="W144" s="585"/>
      <c r="X144" s="585"/>
      <c r="Y144" s="585"/>
      <c r="Z144" s="598"/>
      <c r="AA144" s="598"/>
      <c r="AB144" s="598"/>
      <c r="AC144" s="598"/>
      <c r="AD144" s="590"/>
      <c r="AE144" s="591"/>
      <c r="AF144" s="591"/>
      <c r="AG144" s="591"/>
      <c r="AH144" s="590"/>
      <c r="AI144" s="591"/>
      <c r="AJ144" s="591"/>
      <c r="AK144" s="591"/>
      <c r="AL144" s="590"/>
      <c r="AM144" s="591"/>
      <c r="AN144" s="591"/>
      <c r="AO144" s="591"/>
      <c r="AP144" s="590"/>
      <c r="AQ144" s="591"/>
      <c r="AR144" s="591"/>
      <c r="AS144" s="591"/>
      <c r="AT144" s="590"/>
      <c r="AU144" s="591"/>
      <c r="AV144" s="591"/>
      <c r="AW144" s="591"/>
      <c r="AX144" s="590"/>
      <c r="AY144" s="591"/>
      <c r="AZ144" s="591"/>
      <c r="BA144" s="591"/>
    </row>
    <row r="145" spans="1:53" ht="28.5" customHeight="1" x14ac:dyDescent="0.35">
      <c r="A145" s="599" t="s">
        <v>647</v>
      </c>
      <c r="B145" s="599"/>
      <c r="C145" s="599"/>
      <c r="D145" s="170">
        <v>1</v>
      </c>
      <c r="E145" s="174">
        <f t="shared" si="131"/>
        <v>2325775.5986666665</v>
      </c>
      <c r="F145" s="583"/>
      <c r="G145" s="583"/>
      <c r="H145" s="583"/>
      <c r="I145" s="583"/>
      <c r="J145" s="583"/>
      <c r="K145" s="583"/>
      <c r="L145" s="583"/>
      <c r="M145" s="583"/>
      <c r="N145" s="583">
        <f t="shared" si="132"/>
        <v>2325775.5986666665</v>
      </c>
      <c r="O145" s="593"/>
      <c r="P145" s="593"/>
      <c r="Q145" s="593"/>
      <c r="R145" s="585">
        <f t="shared" si="133"/>
        <v>8.5737747353334906E-2</v>
      </c>
      <c r="S145" s="585"/>
      <c r="T145" s="585"/>
      <c r="U145" s="585"/>
      <c r="V145" s="585">
        <f t="shared" si="134"/>
        <v>8.9624975529141032E-3</v>
      </c>
      <c r="W145" s="585"/>
      <c r="X145" s="585"/>
      <c r="Y145" s="585"/>
      <c r="Z145" s="598"/>
      <c r="AA145" s="598"/>
      <c r="AB145" s="598"/>
      <c r="AC145" s="598"/>
      <c r="AD145" s="590"/>
      <c r="AE145" s="591"/>
      <c r="AF145" s="591"/>
      <c r="AG145" s="591"/>
      <c r="AH145" s="590"/>
      <c r="AI145" s="591"/>
      <c r="AJ145" s="591"/>
      <c r="AK145" s="591"/>
      <c r="AL145" s="590"/>
      <c r="AM145" s="591"/>
      <c r="AN145" s="591"/>
      <c r="AO145" s="591"/>
      <c r="AP145" s="590"/>
      <c r="AQ145" s="591"/>
      <c r="AR145" s="591"/>
      <c r="AS145" s="591"/>
      <c r="AT145" s="590"/>
      <c r="AU145" s="591"/>
      <c r="AV145" s="591"/>
      <c r="AW145" s="591"/>
      <c r="AX145" s="590"/>
      <c r="AY145" s="591"/>
      <c r="AZ145" s="591"/>
      <c r="BA145" s="591"/>
    </row>
    <row r="146" spans="1:53" ht="27" customHeight="1" x14ac:dyDescent="0.35">
      <c r="A146" s="608" t="s">
        <v>315</v>
      </c>
      <c r="B146" s="608"/>
      <c r="C146" s="608"/>
      <c r="D146" s="170">
        <v>1</v>
      </c>
      <c r="E146" s="174">
        <f t="shared" si="131"/>
        <v>2325775.5986666665</v>
      </c>
      <c r="F146" s="593"/>
      <c r="G146" s="593"/>
      <c r="H146" s="593"/>
      <c r="I146" s="593"/>
      <c r="J146" s="593"/>
      <c r="K146" s="593"/>
      <c r="L146" s="593"/>
      <c r="M146" s="593"/>
      <c r="N146" s="583">
        <f t="shared" si="132"/>
        <v>2325775.5986666665</v>
      </c>
      <c r="O146" s="593"/>
      <c r="P146" s="593"/>
      <c r="Q146" s="593"/>
      <c r="R146" s="585">
        <f t="shared" si="133"/>
        <v>8.5737747353334906E-2</v>
      </c>
      <c r="S146" s="585"/>
      <c r="T146" s="585"/>
      <c r="U146" s="585"/>
      <c r="V146" s="585">
        <f t="shared" si="134"/>
        <v>8.9624975529141032E-3</v>
      </c>
      <c r="W146" s="585"/>
      <c r="X146" s="585"/>
      <c r="Y146" s="585"/>
      <c r="Z146" s="598"/>
      <c r="AA146" s="598"/>
      <c r="AB146" s="598"/>
      <c r="AC146" s="598"/>
      <c r="AD146" s="590"/>
      <c r="AE146" s="591"/>
      <c r="AF146" s="591"/>
      <c r="AG146" s="591"/>
      <c r="AH146" s="590"/>
      <c r="AI146" s="591"/>
      <c r="AJ146" s="591"/>
      <c r="AK146" s="591"/>
      <c r="AL146" s="590"/>
      <c r="AM146" s="591"/>
      <c r="AN146" s="591"/>
      <c r="AO146" s="591"/>
      <c r="AP146" s="590"/>
      <c r="AQ146" s="591"/>
      <c r="AR146" s="591"/>
      <c r="AS146" s="591"/>
      <c r="AT146" s="590"/>
      <c r="AU146" s="591"/>
      <c r="AV146" s="591"/>
      <c r="AW146" s="591"/>
      <c r="AX146" s="590"/>
      <c r="AY146" s="591"/>
      <c r="AZ146" s="591"/>
      <c r="BA146" s="591"/>
    </row>
    <row r="147" spans="1:53" x14ac:dyDescent="0.35">
      <c r="A147" s="599" t="s">
        <v>316</v>
      </c>
      <c r="B147" s="599"/>
      <c r="C147" s="599"/>
      <c r="D147" s="170">
        <v>1</v>
      </c>
      <c r="E147" s="174">
        <f t="shared" si="131"/>
        <v>2325775.5986666665</v>
      </c>
      <c r="F147" s="593"/>
      <c r="G147" s="593"/>
      <c r="H147" s="593"/>
      <c r="I147" s="593"/>
      <c r="J147" s="593"/>
      <c r="K147" s="593"/>
      <c r="L147" s="593"/>
      <c r="M147" s="593"/>
      <c r="N147" s="583">
        <f t="shared" si="132"/>
        <v>2325775.5986666665</v>
      </c>
      <c r="O147" s="593"/>
      <c r="P147" s="593"/>
      <c r="Q147" s="593"/>
      <c r="R147" s="585">
        <f t="shared" si="133"/>
        <v>8.5737747353334906E-2</v>
      </c>
      <c r="S147" s="585"/>
      <c r="T147" s="585"/>
      <c r="U147" s="585"/>
      <c r="V147" s="585">
        <f t="shared" si="134"/>
        <v>8.9624975529141032E-3</v>
      </c>
      <c r="W147" s="585"/>
      <c r="X147" s="585"/>
      <c r="Y147" s="585"/>
      <c r="Z147" s="598"/>
      <c r="AA147" s="598"/>
      <c r="AB147" s="598"/>
      <c r="AC147" s="598"/>
      <c r="AD147" s="590"/>
      <c r="AE147" s="591"/>
      <c r="AF147" s="591"/>
      <c r="AG147" s="591"/>
      <c r="AH147" s="590"/>
      <c r="AI147" s="591"/>
      <c r="AJ147" s="591"/>
      <c r="AK147" s="591"/>
      <c r="AL147" s="590"/>
      <c r="AM147" s="591"/>
      <c r="AN147" s="591"/>
      <c r="AO147" s="591"/>
      <c r="AP147" s="590"/>
      <c r="AQ147" s="591"/>
      <c r="AR147" s="591"/>
      <c r="AS147" s="591"/>
      <c r="AT147" s="590"/>
      <c r="AU147" s="591"/>
      <c r="AV147" s="591"/>
      <c r="AW147" s="591"/>
      <c r="AX147" s="590"/>
      <c r="AY147" s="591"/>
      <c r="AZ147" s="591"/>
      <c r="BA147" s="591"/>
    </row>
    <row r="148" spans="1:53" ht="27" customHeight="1" x14ac:dyDescent="0.35">
      <c r="A148" s="608" t="s">
        <v>317</v>
      </c>
      <c r="B148" s="608"/>
      <c r="C148" s="608"/>
      <c r="D148" s="170">
        <v>1</v>
      </c>
      <c r="E148" s="174">
        <f t="shared" si="131"/>
        <v>2325775.5986666665</v>
      </c>
      <c r="F148" s="583">
        <f>F138/2</f>
        <v>2222293.5937583335</v>
      </c>
      <c r="G148" s="593"/>
      <c r="H148" s="593"/>
      <c r="I148" s="593"/>
      <c r="J148" s="583">
        <f>J138/2</f>
        <v>875028.00000000012</v>
      </c>
      <c r="K148" s="593"/>
      <c r="L148" s="593"/>
      <c r="M148" s="593"/>
      <c r="N148" s="583">
        <f t="shared" si="132"/>
        <v>5423097.1924249995</v>
      </c>
      <c r="O148" s="593"/>
      <c r="P148" s="593"/>
      <c r="Q148" s="593"/>
      <c r="R148" s="585">
        <f t="shared" si="133"/>
        <v>0.19991788426332774</v>
      </c>
      <c r="S148" s="585"/>
      <c r="T148" s="585"/>
      <c r="U148" s="585"/>
      <c r="V148" s="585">
        <f t="shared" si="134"/>
        <v>2.0898187832131633E-2</v>
      </c>
      <c r="W148" s="585"/>
      <c r="X148" s="585"/>
      <c r="Y148" s="585"/>
      <c r="Z148" s="598"/>
      <c r="AA148" s="598"/>
      <c r="AB148" s="598"/>
      <c r="AC148" s="598"/>
      <c r="AD148" s="590"/>
      <c r="AE148" s="591"/>
      <c r="AF148" s="591"/>
      <c r="AG148" s="591"/>
      <c r="AH148" s="590"/>
      <c r="AI148" s="591"/>
      <c r="AJ148" s="591"/>
      <c r="AK148" s="591"/>
      <c r="AL148" s="590"/>
      <c r="AM148" s="591"/>
      <c r="AN148" s="591"/>
      <c r="AO148" s="591"/>
      <c r="AP148" s="590"/>
      <c r="AQ148" s="591"/>
      <c r="AR148" s="591"/>
      <c r="AS148" s="591"/>
      <c r="AT148" s="590"/>
      <c r="AU148" s="591"/>
      <c r="AV148" s="591"/>
      <c r="AW148" s="591"/>
      <c r="AX148" s="590"/>
      <c r="AY148" s="591"/>
      <c r="AZ148" s="591"/>
      <c r="BA148" s="591"/>
    </row>
    <row r="149" spans="1:53" x14ac:dyDescent="0.35">
      <c r="A149" s="599" t="s">
        <v>318</v>
      </c>
      <c r="B149" s="599"/>
      <c r="C149" s="599"/>
      <c r="D149" s="170">
        <v>1</v>
      </c>
      <c r="E149" s="174">
        <f t="shared" si="131"/>
        <v>2325775.5986666665</v>
      </c>
      <c r="F149" s="605"/>
      <c r="G149" s="605"/>
      <c r="H149" s="605"/>
      <c r="I149" s="605"/>
      <c r="J149" s="598"/>
      <c r="K149" s="598"/>
      <c r="L149" s="598"/>
      <c r="M149" s="598"/>
      <c r="N149" s="583">
        <f t="shared" si="132"/>
        <v>2325775.5986666665</v>
      </c>
      <c r="O149" s="593"/>
      <c r="P149" s="593"/>
      <c r="Q149" s="593"/>
      <c r="R149" s="585">
        <f t="shared" si="133"/>
        <v>8.5737747353334906E-2</v>
      </c>
      <c r="S149" s="585"/>
      <c r="T149" s="585"/>
      <c r="U149" s="585"/>
      <c r="V149" s="585">
        <f t="shared" si="134"/>
        <v>8.9624975529141032E-3</v>
      </c>
      <c r="W149" s="585"/>
      <c r="X149" s="585"/>
      <c r="Y149" s="585"/>
      <c r="Z149" s="598"/>
      <c r="AA149" s="598"/>
      <c r="AB149" s="598"/>
      <c r="AC149" s="598"/>
      <c r="AD149" s="590"/>
      <c r="AE149" s="591"/>
      <c r="AF149" s="591"/>
      <c r="AG149" s="591"/>
      <c r="AH149" s="590"/>
      <c r="AI149" s="591"/>
      <c r="AJ149" s="591"/>
      <c r="AK149" s="591"/>
      <c r="AL149" s="590"/>
      <c r="AM149" s="591"/>
      <c r="AN149" s="591"/>
      <c r="AO149" s="591"/>
      <c r="AP149" s="590"/>
      <c r="AQ149" s="591"/>
      <c r="AR149" s="591"/>
      <c r="AS149" s="591"/>
      <c r="AT149" s="590"/>
      <c r="AU149" s="591"/>
      <c r="AV149" s="591"/>
      <c r="AW149" s="591"/>
      <c r="AX149" s="590"/>
      <c r="AY149" s="591"/>
      <c r="AZ149" s="591"/>
      <c r="BA149" s="591"/>
    </row>
    <row r="150" spans="1:53" x14ac:dyDescent="0.35">
      <c r="D150" s="173">
        <f>SUM(D141:D149)</f>
        <v>9</v>
      </c>
      <c r="E150" s="171">
        <f>SUM(E141:E149)</f>
        <v>20931980.388</v>
      </c>
      <c r="F150" s="597">
        <f>SUM(F141:I149)</f>
        <v>4444587.1875166669</v>
      </c>
      <c r="G150" s="597"/>
      <c r="H150" s="597"/>
      <c r="I150" s="597"/>
      <c r="J150" s="597">
        <f>SUM(J141:M149)</f>
        <v>1750056.0000000002</v>
      </c>
      <c r="K150" s="597"/>
      <c r="L150" s="597"/>
      <c r="M150" s="597"/>
      <c r="N150" s="598"/>
      <c r="O150" s="598"/>
      <c r="P150" s="598"/>
      <c r="Q150" s="598"/>
      <c r="R150" s="598"/>
      <c r="S150" s="598"/>
      <c r="T150" s="598"/>
      <c r="U150" s="598"/>
      <c r="V150" s="598"/>
      <c r="W150" s="598"/>
      <c r="X150" s="598"/>
      <c r="Y150" s="598"/>
      <c r="Z150" s="598"/>
      <c r="AA150" s="598"/>
      <c r="AB150" s="598"/>
      <c r="AC150" s="598"/>
      <c r="AD150" s="590"/>
      <c r="AE150" s="591"/>
      <c r="AF150" s="591"/>
      <c r="AG150" s="591"/>
      <c r="AH150" s="590"/>
      <c r="AI150" s="591"/>
      <c r="AJ150" s="591"/>
      <c r="AK150" s="591"/>
      <c r="AL150" s="590"/>
      <c r="AM150" s="591"/>
      <c r="AN150" s="591"/>
      <c r="AO150" s="591"/>
      <c r="AP150" s="590"/>
      <c r="AQ150" s="591"/>
      <c r="AR150" s="591"/>
      <c r="AS150" s="591"/>
      <c r="AT150" s="590"/>
      <c r="AU150" s="591"/>
      <c r="AV150" s="591"/>
      <c r="AW150" s="591"/>
      <c r="AX150" s="590"/>
      <c r="AY150" s="591"/>
      <c r="AZ150" s="591"/>
      <c r="BA150" s="591"/>
    </row>
    <row r="151" spans="1:53" x14ac:dyDescent="0.35">
      <c r="D151" s="143"/>
      <c r="E151" s="143"/>
      <c r="F151" s="656">
        <v>2</v>
      </c>
      <c r="G151" s="656"/>
      <c r="H151" s="656"/>
      <c r="I151" s="656"/>
      <c r="J151" s="656">
        <v>2</v>
      </c>
      <c r="K151" s="656"/>
      <c r="L151" s="656"/>
      <c r="M151" s="656"/>
      <c r="N151" s="590">
        <f>SUM(N141:Q149)</f>
        <v>27126623.575516671</v>
      </c>
      <c r="O151" s="590"/>
      <c r="P151" s="590"/>
      <c r="Q151" s="590"/>
      <c r="R151" s="671">
        <f>SUM(R141:U150)</f>
        <v>1</v>
      </c>
      <c r="S151" s="671"/>
      <c r="T151" s="671"/>
      <c r="U151" s="671"/>
      <c r="V151" s="671">
        <f>SUM(V141:Y149)</f>
        <v>0.104533858534662</v>
      </c>
      <c r="W151" s="671"/>
      <c r="X151" s="671"/>
      <c r="Y151" s="671"/>
      <c r="Z151" s="601" t="str">
        <f>IF(ABS(V151-E130)&lt;0.001,"OK"," ERROR")</f>
        <v>OK</v>
      </c>
      <c r="AA151" s="601"/>
      <c r="AB151" s="601"/>
      <c r="AC151" s="601"/>
      <c r="AD151" s="590"/>
      <c r="AE151" s="591"/>
      <c r="AF151" s="591"/>
      <c r="AG151" s="591"/>
      <c r="AH151" s="590"/>
      <c r="AI151" s="591"/>
      <c r="AJ151" s="591"/>
      <c r="AK151" s="591"/>
      <c r="AL151" s="590"/>
      <c r="AM151" s="591"/>
      <c r="AN151" s="591"/>
      <c r="AO151" s="591"/>
      <c r="AP151" s="590"/>
      <c r="AQ151" s="591"/>
      <c r="AR151" s="591"/>
      <c r="AS151" s="591"/>
      <c r="AT151" s="590"/>
      <c r="AU151" s="591"/>
      <c r="AV151" s="591"/>
      <c r="AW151" s="591"/>
      <c r="AX151" s="590"/>
      <c r="AY151" s="591"/>
      <c r="AZ151" s="591"/>
      <c r="BA151" s="591"/>
    </row>
    <row r="152" spans="1:53" x14ac:dyDescent="0.35">
      <c r="F152" s="597"/>
      <c r="G152" s="597"/>
      <c r="H152" s="597"/>
      <c r="I152" s="597"/>
      <c r="J152" s="597"/>
      <c r="K152" s="597"/>
      <c r="L152" s="597"/>
      <c r="M152" s="597"/>
      <c r="N152" s="597"/>
      <c r="O152" s="597"/>
      <c r="P152" s="597"/>
      <c r="Q152" s="597"/>
      <c r="R152" s="597"/>
      <c r="S152" s="597"/>
      <c r="T152" s="597"/>
      <c r="U152" s="597"/>
      <c r="V152" s="597"/>
      <c r="W152" s="597"/>
      <c r="X152" s="597"/>
      <c r="Y152" s="597"/>
      <c r="Z152" s="591" t="s">
        <v>133</v>
      </c>
      <c r="AA152" s="591"/>
      <c r="AB152" s="591"/>
      <c r="AC152" s="591"/>
      <c r="AD152" s="590"/>
      <c r="AE152" s="591"/>
      <c r="AF152" s="591"/>
      <c r="AG152" s="591"/>
      <c r="AH152" s="590"/>
      <c r="AI152" s="591"/>
      <c r="AJ152" s="591"/>
      <c r="AK152" s="591"/>
      <c r="AL152" s="590"/>
      <c r="AM152" s="591"/>
      <c r="AN152" s="591"/>
      <c r="AO152" s="591"/>
      <c r="AP152" s="590"/>
      <c r="AQ152" s="591"/>
      <c r="AR152" s="591"/>
      <c r="AS152" s="591"/>
      <c r="AT152" s="590"/>
      <c r="AU152" s="591"/>
      <c r="AV152" s="591"/>
      <c r="AW152" s="591"/>
      <c r="AX152" s="590"/>
      <c r="AY152" s="591"/>
      <c r="AZ152" s="591"/>
      <c r="BA152" s="591"/>
    </row>
    <row r="153" spans="1:53" x14ac:dyDescent="0.35">
      <c r="E153" s="178">
        <f>SUM(J122:AG122)</f>
        <v>113492311.84799999</v>
      </c>
      <c r="F153" s="590">
        <f>SUM(J125:AG125)*E128</f>
        <v>22222935.937583338</v>
      </c>
      <c r="G153" s="590"/>
      <c r="H153" s="590"/>
      <c r="I153" s="590"/>
      <c r="J153" s="590">
        <f>SUM(J126:AG126)*E128</f>
        <v>8750280</v>
      </c>
      <c r="K153" s="590"/>
      <c r="L153" s="590"/>
      <c r="M153" s="590"/>
      <c r="N153" s="597"/>
      <c r="O153" s="597"/>
      <c r="P153" s="597"/>
      <c r="Q153" s="597"/>
      <c r="R153" s="597"/>
      <c r="S153" s="597"/>
      <c r="T153" s="597"/>
      <c r="U153" s="597"/>
      <c r="V153" s="597"/>
      <c r="W153" s="597"/>
      <c r="X153" s="597"/>
      <c r="Y153" s="597"/>
      <c r="Z153" s="597"/>
      <c r="AA153" s="597"/>
      <c r="AB153" s="597"/>
      <c r="AC153" s="597"/>
      <c r="AD153" s="590"/>
      <c r="AE153" s="591"/>
      <c r="AF153" s="591"/>
      <c r="AG153" s="591"/>
      <c r="AH153" s="590"/>
      <c r="AI153" s="591"/>
      <c r="AJ153" s="591"/>
      <c r="AK153" s="591"/>
      <c r="AL153" s="590"/>
      <c r="AM153" s="591"/>
      <c r="AN153" s="591"/>
      <c r="AO153" s="591"/>
      <c r="AP153" s="590"/>
      <c r="AQ153" s="591"/>
      <c r="AR153" s="591"/>
      <c r="AS153" s="591"/>
      <c r="AT153" s="590"/>
      <c r="AU153" s="591"/>
      <c r="AV153" s="591"/>
      <c r="AW153" s="591"/>
      <c r="AX153" s="590"/>
      <c r="AY153" s="591"/>
      <c r="AZ153" s="591"/>
      <c r="BA153" s="591"/>
    </row>
    <row r="154" spans="1:53" x14ac:dyDescent="0.35">
      <c r="A154" s="666" t="str">
        <f>A59</f>
        <v>FASE 2. Diagnóstico</v>
      </c>
      <c r="B154" s="666"/>
      <c r="C154" s="666"/>
      <c r="E154" s="199" t="s">
        <v>102</v>
      </c>
      <c r="F154" s="654" t="s">
        <v>103</v>
      </c>
      <c r="G154" s="654"/>
      <c r="H154" s="654"/>
      <c r="I154" s="654"/>
      <c r="J154" s="652" t="s">
        <v>104</v>
      </c>
      <c r="K154" s="652"/>
      <c r="L154" s="652"/>
      <c r="M154" s="652"/>
      <c r="N154" s="597"/>
      <c r="O154" s="597"/>
      <c r="P154" s="597"/>
      <c r="Q154" s="597"/>
      <c r="R154" s="597"/>
      <c r="S154" s="597"/>
      <c r="T154" s="597"/>
      <c r="U154" s="597"/>
      <c r="V154" s="597"/>
      <c r="W154" s="597"/>
      <c r="X154" s="597"/>
      <c r="Y154" s="597"/>
      <c r="Z154" s="597"/>
      <c r="AA154" s="597"/>
      <c r="AB154" s="597"/>
      <c r="AC154" s="597"/>
      <c r="AD154" s="590"/>
      <c r="AE154" s="591"/>
      <c r="AF154" s="591"/>
      <c r="AG154" s="591"/>
      <c r="AH154" s="590"/>
      <c r="AI154" s="591"/>
      <c r="AJ154" s="591"/>
      <c r="AK154" s="591"/>
      <c r="AL154" s="590"/>
      <c r="AM154" s="591"/>
      <c r="AN154" s="591"/>
      <c r="AO154" s="591"/>
      <c r="AP154" s="590"/>
      <c r="AQ154" s="591"/>
      <c r="AR154" s="591"/>
      <c r="AS154" s="591"/>
      <c r="AT154" s="590"/>
      <c r="AU154" s="591"/>
      <c r="AV154" s="591"/>
      <c r="AW154" s="591"/>
      <c r="AX154" s="590"/>
      <c r="AY154" s="591"/>
      <c r="AZ154" s="591"/>
      <c r="BA154" s="591"/>
    </row>
    <row r="155" spans="1:53" x14ac:dyDescent="0.35">
      <c r="A155" s="607" t="s">
        <v>172</v>
      </c>
      <c r="B155" s="607"/>
      <c r="C155" s="607"/>
      <c r="F155" s="597"/>
      <c r="G155" s="597"/>
      <c r="H155" s="597"/>
      <c r="I155" s="597"/>
      <c r="J155" s="597"/>
      <c r="K155" s="597"/>
      <c r="L155" s="597"/>
      <c r="M155" s="597"/>
      <c r="N155" s="597"/>
      <c r="O155" s="597"/>
      <c r="P155" s="597"/>
      <c r="Q155" s="597"/>
      <c r="R155" s="597"/>
      <c r="S155" s="597"/>
      <c r="T155" s="597"/>
      <c r="U155" s="597"/>
      <c r="V155" s="597"/>
      <c r="W155" s="597"/>
      <c r="X155" s="597"/>
      <c r="Y155" s="597"/>
      <c r="Z155" s="597"/>
      <c r="AA155" s="597"/>
      <c r="AB155" s="597"/>
      <c r="AC155" s="597"/>
      <c r="AD155" s="590"/>
      <c r="AE155" s="591"/>
      <c r="AF155" s="591"/>
      <c r="AG155" s="591"/>
      <c r="AH155" s="590"/>
      <c r="AI155" s="591"/>
      <c r="AJ155" s="591"/>
      <c r="AK155" s="591"/>
      <c r="AL155" s="590"/>
      <c r="AM155" s="591"/>
      <c r="AN155" s="591"/>
      <c r="AO155" s="591"/>
      <c r="AP155" s="590"/>
      <c r="AQ155" s="591"/>
      <c r="AR155" s="591"/>
      <c r="AS155" s="591"/>
      <c r="AT155" s="590"/>
      <c r="AU155" s="591"/>
      <c r="AV155" s="591"/>
      <c r="AW155" s="591"/>
      <c r="AX155" s="590"/>
      <c r="AY155" s="591"/>
      <c r="AZ155" s="591"/>
      <c r="BA155" s="591"/>
    </row>
    <row r="156" spans="1:53" ht="16.5" customHeight="1" x14ac:dyDescent="0.35">
      <c r="A156" s="599" t="s">
        <v>582</v>
      </c>
      <c r="B156" s="599"/>
      <c r="C156" s="599"/>
      <c r="D156" s="170">
        <v>1</v>
      </c>
      <c r="E156" s="174">
        <f>$E$153/$D$175</f>
        <v>6676018.3439999996</v>
      </c>
      <c r="F156" s="583">
        <f>$F$153/$F$176</f>
        <v>3703822.6562638897</v>
      </c>
      <c r="G156" s="583"/>
      <c r="H156" s="583"/>
      <c r="I156" s="583"/>
      <c r="J156" s="583">
        <f>$J$153/$J$176</f>
        <v>1458380</v>
      </c>
      <c r="K156" s="583"/>
      <c r="L156" s="583"/>
      <c r="M156" s="583"/>
      <c r="N156" s="583">
        <f>SUM(E156:M156)</f>
        <v>11838221.000263888</v>
      </c>
      <c r="O156" s="583"/>
      <c r="P156" s="583"/>
      <c r="Q156" s="583"/>
      <c r="R156" s="585">
        <f>N156/$N$175</f>
        <v>8.1944953801257395E-2</v>
      </c>
      <c r="S156" s="585"/>
      <c r="T156" s="585"/>
      <c r="U156" s="585"/>
      <c r="V156" s="604">
        <f t="shared" ref="V156:V169" si="135">R156*$E$131</f>
        <v>4.5619575230698005E-2</v>
      </c>
      <c r="W156" s="604"/>
      <c r="X156" s="604"/>
      <c r="Y156" s="604"/>
      <c r="Z156" s="597"/>
      <c r="AA156" s="597"/>
      <c r="AB156" s="597"/>
      <c r="AC156" s="597"/>
      <c r="AD156" s="590"/>
      <c r="AE156" s="591"/>
      <c r="AF156" s="591"/>
      <c r="AG156" s="591"/>
      <c r="AH156" s="590"/>
      <c r="AI156" s="591"/>
      <c r="AJ156" s="591"/>
      <c r="AK156" s="591"/>
      <c r="AL156" s="590"/>
      <c r="AM156" s="591"/>
      <c r="AN156" s="591"/>
      <c r="AO156" s="591"/>
      <c r="AP156" s="590"/>
      <c r="AQ156" s="591"/>
      <c r="AR156" s="591"/>
      <c r="AS156" s="591"/>
      <c r="AT156" s="590"/>
      <c r="AU156" s="591"/>
      <c r="AV156" s="591"/>
      <c r="AW156" s="591"/>
      <c r="AX156" s="590"/>
      <c r="AY156" s="591"/>
      <c r="AZ156" s="591"/>
      <c r="BA156" s="591"/>
    </row>
    <row r="157" spans="1:53" x14ac:dyDescent="0.35">
      <c r="A157" s="606" t="s">
        <v>319</v>
      </c>
      <c r="B157" s="606"/>
      <c r="C157" s="606"/>
      <c r="D157" s="170">
        <v>1</v>
      </c>
      <c r="E157" s="174">
        <f>$E$153/$D$175</f>
        <v>6676018.3439999996</v>
      </c>
      <c r="F157" s="583"/>
      <c r="G157" s="583"/>
      <c r="H157" s="583"/>
      <c r="I157" s="583"/>
      <c r="J157" s="583"/>
      <c r="K157" s="583"/>
      <c r="L157" s="583"/>
      <c r="M157" s="583"/>
      <c r="N157" s="583">
        <f t="shared" ref="N157:N174" si="136">SUM(E157:M157)</f>
        <v>6676018.3439999996</v>
      </c>
      <c r="O157" s="583"/>
      <c r="P157" s="583"/>
      <c r="Q157" s="583"/>
      <c r="R157" s="585">
        <f>N157/$N$175</f>
        <v>4.6211843381132357E-2</v>
      </c>
      <c r="S157" s="585"/>
      <c r="T157" s="585"/>
      <c r="U157" s="585"/>
      <c r="V157" s="604">
        <f t="shared" si="135"/>
        <v>2.5726595328710196E-2</v>
      </c>
      <c r="W157" s="604"/>
      <c r="X157" s="604"/>
      <c r="Y157" s="604"/>
      <c r="Z157" s="597"/>
      <c r="AA157" s="597"/>
      <c r="AB157" s="597"/>
      <c r="AC157" s="597"/>
      <c r="AD157" s="590"/>
      <c r="AE157" s="591"/>
      <c r="AF157" s="591"/>
      <c r="AG157" s="591"/>
      <c r="AH157" s="590"/>
      <c r="AI157" s="591"/>
      <c r="AJ157" s="591"/>
      <c r="AK157" s="591"/>
      <c r="AL157" s="590"/>
      <c r="AM157" s="591"/>
      <c r="AN157" s="591"/>
      <c r="AO157" s="591"/>
      <c r="AP157" s="590"/>
      <c r="AQ157" s="591"/>
      <c r="AR157" s="591"/>
      <c r="AS157" s="591"/>
      <c r="AT157" s="590"/>
      <c r="AU157" s="591"/>
      <c r="AV157" s="591"/>
      <c r="AW157" s="591"/>
      <c r="AX157" s="590"/>
      <c r="AY157" s="591"/>
      <c r="AZ157" s="591"/>
      <c r="BA157" s="591"/>
    </row>
    <row r="158" spans="1:53" ht="32.25" customHeight="1" x14ac:dyDescent="0.35">
      <c r="A158" s="599" t="s">
        <v>583</v>
      </c>
      <c r="B158" s="599"/>
      <c r="C158" s="599"/>
      <c r="D158" s="170">
        <v>1</v>
      </c>
      <c r="E158" s="174">
        <f>$E$153/$D$175</f>
        <v>6676018.3439999996</v>
      </c>
      <c r="F158" s="583">
        <f>$F$153/$F$176</f>
        <v>3703822.6562638897</v>
      </c>
      <c r="G158" s="583"/>
      <c r="H158" s="583"/>
      <c r="I158" s="583"/>
      <c r="J158" s="583">
        <f>$J$153/$J$176</f>
        <v>1458380</v>
      </c>
      <c r="K158" s="583"/>
      <c r="L158" s="583"/>
      <c r="M158" s="583"/>
      <c r="N158" s="583">
        <f t="shared" si="136"/>
        <v>11838221.000263888</v>
      </c>
      <c r="O158" s="583"/>
      <c r="P158" s="583"/>
      <c r="Q158" s="583"/>
      <c r="R158" s="585">
        <f>N158/$N$175</f>
        <v>8.1944953801257395E-2</v>
      </c>
      <c r="S158" s="585"/>
      <c r="T158" s="585"/>
      <c r="U158" s="585"/>
      <c r="V158" s="604">
        <f t="shared" si="135"/>
        <v>4.5619575230698005E-2</v>
      </c>
      <c r="W158" s="604"/>
      <c r="X158" s="604"/>
      <c r="Y158" s="604"/>
      <c r="Z158" s="597"/>
      <c r="AA158" s="597"/>
      <c r="AB158" s="597"/>
      <c r="AC158" s="597"/>
      <c r="AD158" s="590"/>
      <c r="AE158" s="591"/>
      <c r="AF158" s="591"/>
      <c r="AG158" s="591"/>
      <c r="AH158" s="590"/>
      <c r="AI158" s="591"/>
      <c r="AJ158" s="591"/>
      <c r="AK158" s="591"/>
      <c r="AL158" s="590"/>
      <c r="AM158" s="591"/>
      <c r="AN158" s="591"/>
      <c r="AO158" s="591"/>
      <c r="AP158" s="590"/>
      <c r="AQ158" s="591"/>
      <c r="AR158" s="591"/>
      <c r="AS158" s="591"/>
      <c r="AT158" s="590"/>
      <c r="AU158" s="591"/>
      <c r="AV158" s="591"/>
      <c r="AW158" s="591"/>
      <c r="AX158" s="590"/>
      <c r="AY158" s="591"/>
      <c r="AZ158" s="591"/>
      <c r="BA158" s="591"/>
    </row>
    <row r="159" spans="1:53" x14ac:dyDescent="0.35">
      <c r="A159" s="607" t="s">
        <v>201</v>
      </c>
      <c r="B159" s="607"/>
      <c r="C159" s="607"/>
      <c r="D159" s="170"/>
      <c r="E159" s="174"/>
      <c r="F159" s="583"/>
      <c r="G159" s="583"/>
      <c r="H159" s="583"/>
      <c r="I159" s="583"/>
      <c r="J159" s="583"/>
      <c r="K159" s="583"/>
      <c r="L159" s="583"/>
      <c r="M159" s="583"/>
      <c r="N159" s="583"/>
      <c r="O159" s="583"/>
      <c r="P159" s="583"/>
      <c r="Q159" s="583"/>
      <c r="R159" s="585"/>
      <c r="S159" s="585"/>
      <c r="T159" s="585"/>
      <c r="U159" s="585"/>
      <c r="V159" s="604"/>
      <c r="W159" s="604"/>
      <c r="X159" s="604"/>
      <c r="Y159" s="604"/>
      <c r="Z159" s="597"/>
      <c r="AA159" s="597"/>
      <c r="AB159" s="597"/>
      <c r="AC159" s="597"/>
      <c r="AD159" s="590"/>
      <c r="AE159" s="591"/>
      <c r="AF159" s="591"/>
      <c r="AG159" s="591"/>
      <c r="AH159" s="590"/>
      <c r="AI159" s="591"/>
      <c r="AJ159" s="591"/>
      <c r="AK159" s="591"/>
      <c r="AL159" s="590"/>
      <c r="AM159" s="591"/>
      <c r="AN159" s="591"/>
      <c r="AO159" s="591"/>
      <c r="AP159" s="590"/>
      <c r="AQ159" s="591"/>
      <c r="AR159" s="591"/>
      <c r="AS159" s="591"/>
      <c r="AT159" s="590"/>
      <c r="AU159" s="591"/>
      <c r="AV159" s="591"/>
      <c r="AW159" s="591"/>
      <c r="AX159" s="590"/>
      <c r="AY159" s="591"/>
      <c r="AZ159" s="591"/>
      <c r="BA159" s="591"/>
    </row>
    <row r="160" spans="1:53" x14ac:dyDescent="0.35">
      <c r="A160" s="606" t="s">
        <v>320</v>
      </c>
      <c r="B160" s="606"/>
      <c r="C160" s="606"/>
      <c r="D160" s="170">
        <v>1</v>
      </c>
      <c r="E160" s="174">
        <f>$E$153/$D$175</f>
        <v>6676018.3439999996</v>
      </c>
      <c r="F160" s="583">
        <f>$F$153/$F$176</f>
        <v>3703822.6562638897</v>
      </c>
      <c r="G160" s="583"/>
      <c r="H160" s="583"/>
      <c r="I160" s="583"/>
      <c r="J160" s="583">
        <f>$J$153/$J$176</f>
        <v>1458380</v>
      </c>
      <c r="K160" s="583"/>
      <c r="L160" s="583"/>
      <c r="M160" s="583"/>
      <c r="N160" s="583">
        <f t="shared" si="136"/>
        <v>11838221.000263888</v>
      </c>
      <c r="O160" s="583"/>
      <c r="P160" s="583"/>
      <c r="Q160" s="583"/>
      <c r="R160" s="585">
        <f>N160/$N$175</f>
        <v>8.1944953801257395E-2</v>
      </c>
      <c r="S160" s="585"/>
      <c r="T160" s="585"/>
      <c r="U160" s="585"/>
      <c r="V160" s="604">
        <f t="shared" si="135"/>
        <v>4.5619575230698005E-2</v>
      </c>
      <c r="W160" s="604"/>
      <c r="X160" s="604"/>
      <c r="Y160" s="604"/>
      <c r="Z160" s="597"/>
      <c r="AA160" s="597"/>
      <c r="AB160" s="597"/>
      <c r="AC160" s="597"/>
      <c r="AD160" s="590"/>
      <c r="AE160" s="591"/>
      <c r="AF160" s="591"/>
      <c r="AG160" s="591"/>
      <c r="AH160" s="590"/>
      <c r="AI160" s="591"/>
      <c r="AJ160" s="591"/>
      <c r="AK160" s="591"/>
      <c r="AL160" s="590"/>
      <c r="AM160" s="591"/>
      <c r="AN160" s="591"/>
      <c r="AO160" s="591"/>
      <c r="AP160" s="590"/>
      <c r="AQ160" s="591"/>
      <c r="AR160" s="591"/>
      <c r="AS160" s="591"/>
      <c r="AT160" s="590"/>
      <c r="AU160" s="591"/>
      <c r="AV160" s="591"/>
      <c r="AW160" s="591"/>
      <c r="AX160" s="590"/>
      <c r="AY160" s="591"/>
      <c r="AZ160" s="591"/>
      <c r="BA160" s="591"/>
    </row>
    <row r="161" spans="1:53" x14ac:dyDescent="0.35">
      <c r="A161" s="599" t="s">
        <v>321</v>
      </c>
      <c r="B161" s="599"/>
      <c r="C161" s="599"/>
      <c r="D161" s="170">
        <v>1</v>
      </c>
      <c r="E161" s="174">
        <f>$E$153/$D$175</f>
        <v>6676018.3439999996</v>
      </c>
      <c r="F161" s="583">
        <f>$F$153/$F$176</f>
        <v>3703822.6562638897</v>
      </c>
      <c r="G161" s="583"/>
      <c r="H161" s="583"/>
      <c r="I161" s="583"/>
      <c r="J161" s="583">
        <f>$J$153/$J$176</f>
        <v>1458380</v>
      </c>
      <c r="K161" s="583"/>
      <c r="L161" s="583"/>
      <c r="M161" s="583"/>
      <c r="N161" s="583">
        <f t="shared" si="136"/>
        <v>11838221.000263888</v>
      </c>
      <c r="O161" s="583"/>
      <c r="P161" s="583"/>
      <c r="Q161" s="583"/>
      <c r="R161" s="585">
        <f>N161/$N$175</f>
        <v>8.1944953801257395E-2</v>
      </c>
      <c r="S161" s="585"/>
      <c r="T161" s="585"/>
      <c r="U161" s="585"/>
      <c r="V161" s="604">
        <f t="shared" si="135"/>
        <v>4.5619575230698005E-2</v>
      </c>
      <c r="W161" s="604"/>
      <c r="X161" s="604"/>
      <c r="Y161" s="604"/>
      <c r="Z161" s="597"/>
      <c r="AA161" s="597"/>
      <c r="AB161" s="597"/>
      <c r="AC161" s="597"/>
      <c r="AD161" s="590"/>
      <c r="AE161" s="591"/>
      <c r="AF161" s="591"/>
      <c r="AG161" s="591"/>
      <c r="AH161" s="590"/>
      <c r="AI161" s="591"/>
      <c r="AJ161" s="591"/>
      <c r="AK161" s="591"/>
      <c r="AL161" s="590"/>
      <c r="AM161" s="591"/>
      <c r="AN161" s="591"/>
      <c r="AO161" s="591"/>
      <c r="AP161" s="590"/>
      <c r="AQ161" s="591"/>
      <c r="AR161" s="591"/>
      <c r="AS161" s="591"/>
      <c r="AT161" s="590"/>
      <c r="AU161" s="591"/>
      <c r="AV161" s="591"/>
      <c r="AW161" s="591"/>
      <c r="AX161" s="590"/>
      <c r="AY161" s="591"/>
      <c r="AZ161" s="591"/>
      <c r="BA161" s="591"/>
    </row>
    <row r="162" spans="1:53" x14ac:dyDescent="0.35">
      <c r="A162" s="607" t="s">
        <v>204</v>
      </c>
      <c r="B162" s="607"/>
      <c r="C162" s="607"/>
      <c r="D162" s="170"/>
      <c r="E162" s="174"/>
      <c r="F162" s="583"/>
      <c r="G162" s="583"/>
      <c r="H162" s="583"/>
      <c r="I162" s="583"/>
      <c r="J162" s="583"/>
      <c r="K162" s="583"/>
      <c r="L162" s="583"/>
      <c r="M162" s="583"/>
      <c r="N162" s="583"/>
      <c r="O162" s="583"/>
      <c r="P162" s="583"/>
      <c r="Q162" s="583"/>
      <c r="R162" s="585"/>
      <c r="S162" s="585"/>
      <c r="T162" s="585"/>
      <c r="U162" s="585"/>
      <c r="V162" s="604"/>
      <c r="W162" s="604"/>
      <c r="X162" s="604"/>
      <c r="Y162" s="604"/>
      <c r="Z162" s="597"/>
      <c r="AA162" s="597"/>
      <c r="AB162" s="597"/>
      <c r="AC162" s="597"/>
      <c r="AD162" s="590"/>
      <c r="AE162" s="591"/>
      <c r="AF162" s="591"/>
      <c r="AG162" s="591"/>
      <c r="AH162" s="590"/>
      <c r="AI162" s="591"/>
      <c r="AJ162" s="591"/>
      <c r="AK162" s="591"/>
      <c r="AL162" s="590"/>
      <c r="AM162" s="591"/>
      <c r="AN162" s="591"/>
      <c r="AO162" s="591"/>
      <c r="AP162" s="590"/>
      <c r="AQ162" s="591"/>
      <c r="AR162" s="591"/>
      <c r="AS162" s="591"/>
      <c r="AT162" s="590"/>
      <c r="AU162" s="591"/>
      <c r="AV162" s="591"/>
      <c r="AW162" s="591"/>
      <c r="AX162" s="590"/>
      <c r="AY162" s="591"/>
      <c r="AZ162" s="591"/>
      <c r="BA162" s="591"/>
    </row>
    <row r="163" spans="1:53" ht="16.5" customHeight="1" x14ac:dyDescent="0.35">
      <c r="A163" s="599" t="s">
        <v>322</v>
      </c>
      <c r="B163" s="599"/>
      <c r="C163" s="599"/>
      <c r="D163" s="170">
        <v>1</v>
      </c>
      <c r="E163" s="174">
        <f t="shared" ref="E163:E174" si="137">$E$153/$D$175</f>
        <v>6676018.3439999996</v>
      </c>
      <c r="F163" s="583"/>
      <c r="G163" s="583"/>
      <c r="H163" s="583"/>
      <c r="I163" s="583"/>
      <c r="J163" s="583"/>
      <c r="K163" s="583"/>
      <c r="L163" s="583"/>
      <c r="M163" s="583"/>
      <c r="N163" s="583">
        <f t="shared" si="136"/>
        <v>6676018.3439999996</v>
      </c>
      <c r="O163" s="583"/>
      <c r="P163" s="583"/>
      <c r="Q163" s="583"/>
      <c r="R163" s="585">
        <f t="shared" ref="R163:R174" si="138">N163/$N$175</f>
        <v>4.6211843381132357E-2</v>
      </c>
      <c r="S163" s="585"/>
      <c r="T163" s="585"/>
      <c r="U163" s="585"/>
      <c r="V163" s="604">
        <f t="shared" si="135"/>
        <v>2.5726595328710196E-2</v>
      </c>
      <c r="W163" s="604"/>
      <c r="X163" s="604"/>
      <c r="Y163" s="604"/>
      <c r="Z163" s="597"/>
      <c r="AA163" s="597"/>
      <c r="AB163" s="597"/>
      <c r="AC163" s="597"/>
      <c r="AD163" s="590"/>
      <c r="AE163" s="591"/>
      <c r="AF163" s="591"/>
      <c r="AG163" s="591"/>
      <c r="AH163" s="590"/>
      <c r="AI163" s="591"/>
      <c r="AJ163" s="591"/>
      <c r="AK163" s="591"/>
      <c r="AL163" s="590"/>
      <c r="AM163" s="591"/>
      <c r="AN163" s="591"/>
      <c r="AO163" s="591"/>
      <c r="AP163" s="590"/>
      <c r="AQ163" s="591"/>
      <c r="AR163" s="591"/>
      <c r="AS163" s="591"/>
      <c r="AT163" s="590"/>
      <c r="AU163" s="591"/>
      <c r="AV163" s="591"/>
      <c r="AW163" s="591"/>
      <c r="AX163" s="590"/>
      <c r="AY163" s="591"/>
      <c r="AZ163" s="591"/>
      <c r="BA163" s="591"/>
    </row>
    <row r="164" spans="1:53" ht="34.5" customHeight="1" x14ac:dyDescent="0.35">
      <c r="A164" s="606" t="s">
        <v>323</v>
      </c>
      <c r="B164" s="606"/>
      <c r="C164" s="606"/>
      <c r="D164" s="170">
        <v>1</v>
      </c>
      <c r="E164" s="174">
        <f t="shared" si="137"/>
        <v>6676018.3439999996</v>
      </c>
      <c r="F164" s="583"/>
      <c r="G164" s="583"/>
      <c r="H164" s="583"/>
      <c r="I164" s="583"/>
      <c r="J164" s="583"/>
      <c r="K164" s="583"/>
      <c r="L164" s="583"/>
      <c r="M164" s="583"/>
      <c r="N164" s="583">
        <f t="shared" si="136"/>
        <v>6676018.3439999996</v>
      </c>
      <c r="O164" s="583"/>
      <c r="P164" s="583"/>
      <c r="Q164" s="583"/>
      <c r="R164" s="585">
        <f t="shared" si="138"/>
        <v>4.6211843381132357E-2</v>
      </c>
      <c r="S164" s="585"/>
      <c r="T164" s="585"/>
      <c r="U164" s="585"/>
      <c r="V164" s="604">
        <f t="shared" si="135"/>
        <v>2.5726595328710196E-2</v>
      </c>
      <c r="W164" s="604"/>
      <c r="X164" s="604"/>
      <c r="Y164" s="604"/>
      <c r="Z164" s="597"/>
      <c r="AA164" s="597"/>
      <c r="AB164" s="597"/>
      <c r="AC164" s="597"/>
      <c r="AD164" s="590"/>
      <c r="AE164" s="591"/>
      <c r="AF164" s="591"/>
      <c r="AG164" s="591"/>
      <c r="AH164" s="590"/>
      <c r="AI164" s="591"/>
      <c r="AJ164" s="591"/>
      <c r="AK164" s="591"/>
      <c r="AL164" s="590"/>
      <c r="AM164" s="591"/>
      <c r="AN164" s="591"/>
      <c r="AO164" s="591"/>
      <c r="AP164" s="590"/>
      <c r="AQ164" s="591"/>
      <c r="AR164" s="591"/>
      <c r="AS164" s="591"/>
      <c r="AT164" s="590"/>
      <c r="AU164" s="591"/>
      <c r="AV164" s="591"/>
      <c r="AW164" s="591"/>
      <c r="AX164" s="590"/>
      <c r="AY164" s="591"/>
      <c r="AZ164" s="591"/>
      <c r="BA164" s="591"/>
    </row>
    <row r="165" spans="1:53" ht="34.5" customHeight="1" x14ac:dyDescent="0.35">
      <c r="A165" s="599" t="s">
        <v>324</v>
      </c>
      <c r="B165" s="599"/>
      <c r="C165" s="599"/>
      <c r="D165" s="170">
        <v>1</v>
      </c>
      <c r="E165" s="174">
        <f t="shared" si="137"/>
        <v>6676018.3439999996</v>
      </c>
      <c r="F165" s="583">
        <f>$F$153/$F$176</f>
        <v>3703822.6562638897</v>
      </c>
      <c r="G165" s="583"/>
      <c r="H165" s="583"/>
      <c r="I165" s="583"/>
      <c r="J165" s="583">
        <f>$J$153/$J$176</f>
        <v>1458380</v>
      </c>
      <c r="K165" s="583"/>
      <c r="L165" s="583"/>
      <c r="M165" s="583"/>
      <c r="N165" s="583">
        <f t="shared" si="136"/>
        <v>11838221.000263888</v>
      </c>
      <c r="O165" s="583"/>
      <c r="P165" s="583"/>
      <c r="Q165" s="583"/>
      <c r="R165" s="585">
        <f t="shared" si="138"/>
        <v>8.1944953801257395E-2</v>
      </c>
      <c r="S165" s="585"/>
      <c r="T165" s="585"/>
      <c r="U165" s="585"/>
      <c r="V165" s="604">
        <f t="shared" si="135"/>
        <v>4.5619575230698005E-2</v>
      </c>
      <c r="W165" s="604"/>
      <c r="X165" s="604"/>
      <c r="Y165" s="604"/>
      <c r="Z165" s="597"/>
      <c r="AA165" s="597"/>
      <c r="AB165" s="597"/>
      <c r="AC165" s="597"/>
      <c r="AD165" s="590"/>
      <c r="AE165" s="591"/>
      <c r="AF165" s="591"/>
      <c r="AG165" s="591"/>
      <c r="AH165" s="590"/>
      <c r="AI165" s="591"/>
      <c r="AJ165" s="591"/>
      <c r="AK165" s="591"/>
      <c r="AL165" s="590"/>
      <c r="AM165" s="591"/>
      <c r="AN165" s="591"/>
      <c r="AO165" s="591"/>
      <c r="AP165" s="590"/>
      <c r="AQ165" s="591"/>
      <c r="AR165" s="591"/>
      <c r="AS165" s="591"/>
      <c r="AT165" s="590"/>
      <c r="AU165" s="591"/>
      <c r="AV165" s="591"/>
      <c r="AW165" s="591"/>
      <c r="AX165" s="590"/>
      <c r="AY165" s="591"/>
      <c r="AZ165" s="591"/>
      <c r="BA165" s="591"/>
    </row>
    <row r="166" spans="1:53" ht="32.25" customHeight="1" x14ac:dyDescent="0.35">
      <c r="A166" s="606" t="s">
        <v>325</v>
      </c>
      <c r="B166" s="606"/>
      <c r="C166" s="606"/>
      <c r="D166" s="170">
        <v>1</v>
      </c>
      <c r="E166" s="174">
        <f t="shared" si="137"/>
        <v>6676018.3439999996</v>
      </c>
      <c r="F166" s="583"/>
      <c r="G166" s="583"/>
      <c r="H166" s="583"/>
      <c r="I166" s="583"/>
      <c r="J166" s="583"/>
      <c r="K166" s="583"/>
      <c r="L166" s="583"/>
      <c r="M166" s="583"/>
      <c r="N166" s="583">
        <f t="shared" si="136"/>
        <v>6676018.3439999996</v>
      </c>
      <c r="O166" s="583"/>
      <c r="P166" s="583"/>
      <c r="Q166" s="583"/>
      <c r="R166" s="585">
        <f t="shared" si="138"/>
        <v>4.6211843381132357E-2</v>
      </c>
      <c r="S166" s="585"/>
      <c r="T166" s="585"/>
      <c r="U166" s="585"/>
      <c r="V166" s="604">
        <f t="shared" si="135"/>
        <v>2.5726595328710196E-2</v>
      </c>
      <c r="W166" s="604"/>
      <c r="X166" s="604"/>
      <c r="Y166" s="604"/>
      <c r="Z166" s="597"/>
      <c r="AA166" s="597"/>
      <c r="AB166" s="597"/>
      <c r="AC166" s="597"/>
      <c r="AD166" s="590"/>
      <c r="AE166" s="591"/>
      <c r="AF166" s="591"/>
      <c r="AG166" s="591"/>
      <c r="AH166" s="590"/>
      <c r="AI166" s="591"/>
      <c r="AJ166" s="591"/>
      <c r="AK166" s="591"/>
      <c r="AL166" s="590"/>
      <c r="AM166" s="591"/>
      <c r="AN166" s="591"/>
      <c r="AO166" s="591"/>
      <c r="AP166" s="590"/>
      <c r="AQ166" s="591"/>
      <c r="AR166" s="591"/>
      <c r="AS166" s="591"/>
      <c r="AT166" s="590"/>
      <c r="AU166" s="591"/>
      <c r="AV166" s="591"/>
      <c r="AW166" s="591"/>
      <c r="AX166" s="590"/>
      <c r="AY166" s="591"/>
      <c r="AZ166" s="591"/>
      <c r="BA166" s="591"/>
    </row>
    <row r="167" spans="1:53" ht="16.5" customHeight="1" x14ac:dyDescent="0.35">
      <c r="A167" s="599" t="s">
        <v>326</v>
      </c>
      <c r="B167" s="599"/>
      <c r="C167" s="599"/>
      <c r="D167" s="170">
        <v>1</v>
      </c>
      <c r="E167" s="174">
        <f t="shared" si="137"/>
        <v>6676018.3439999996</v>
      </c>
      <c r="F167" s="583"/>
      <c r="G167" s="583"/>
      <c r="H167" s="583"/>
      <c r="I167" s="583"/>
      <c r="J167" s="583"/>
      <c r="K167" s="583"/>
      <c r="L167" s="583"/>
      <c r="M167" s="583"/>
      <c r="N167" s="583">
        <f t="shared" si="136"/>
        <v>6676018.3439999996</v>
      </c>
      <c r="O167" s="583"/>
      <c r="P167" s="583"/>
      <c r="Q167" s="583"/>
      <c r="R167" s="585">
        <f t="shared" si="138"/>
        <v>4.6211843381132357E-2</v>
      </c>
      <c r="S167" s="585"/>
      <c r="T167" s="585"/>
      <c r="U167" s="585"/>
      <c r="V167" s="604">
        <f t="shared" si="135"/>
        <v>2.5726595328710196E-2</v>
      </c>
      <c r="W167" s="604"/>
      <c r="X167" s="604"/>
      <c r="Y167" s="604"/>
      <c r="Z167" s="597"/>
      <c r="AA167" s="597"/>
      <c r="AB167" s="597"/>
      <c r="AC167" s="597"/>
      <c r="AD167" s="590"/>
      <c r="AE167" s="591"/>
      <c r="AF167" s="591"/>
      <c r="AG167" s="591"/>
      <c r="AH167" s="590"/>
      <c r="AI167" s="591"/>
      <c r="AJ167" s="591"/>
      <c r="AK167" s="591"/>
      <c r="AL167" s="590"/>
      <c r="AM167" s="591"/>
      <c r="AN167" s="591"/>
      <c r="AO167" s="591"/>
      <c r="AP167" s="590"/>
      <c r="AQ167" s="591"/>
      <c r="AR167" s="591"/>
      <c r="AS167" s="591"/>
      <c r="AT167" s="590"/>
      <c r="AU167" s="591"/>
      <c r="AV167" s="591"/>
      <c r="AW167" s="591"/>
      <c r="AX167" s="590"/>
      <c r="AY167" s="591"/>
      <c r="AZ167" s="591"/>
      <c r="BA167" s="591"/>
    </row>
    <row r="168" spans="1:53" x14ac:dyDescent="0.35">
      <c r="A168" s="606" t="s">
        <v>327</v>
      </c>
      <c r="B168" s="606"/>
      <c r="C168" s="606"/>
      <c r="D168" s="170">
        <v>1</v>
      </c>
      <c r="E168" s="174">
        <f t="shared" si="137"/>
        <v>6676018.3439999996</v>
      </c>
      <c r="F168" s="583"/>
      <c r="G168" s="583"/>
      <c r="H168" s="583"/>
      <c r="I168" s="583"/>
      <c r="J168" s="583"/>
      <c r="K168" s="583"/>
      <c r="L168" s="583"/>
      <c r="M168" s="583"/>
      <c r="N168" s="583">
        <f t="shared" si="136"/>
        <v>6676018.3439999996</v>
      </c>
      <c r="O168" s="583"/>
      <c r="P168" s="583"/>
      <c r="Q168" s="583"/>
      <c r="R168" s="585">
        <f t="shared" si="138"/>
        <v>4.6211843381132357E-2</v>
      </c>
      <c r="S168" s="585"/>
      <c r="T168" s="585"/>
      <c r="U168" s="585"/>
      <c r="V168" s="604">
        <f t="shared" si="135"/>
        <v>2.5726595328710196E-2</v>
      </c>
      <c r="W168" s="604"/>
      <c r="X168" s="604"/>
      <c r="Y168" s="604"/>
      <c r="Z168" s="597"/>
      <c r="AA168" s="597"/>
      <c r="AB168" s="597"/>
      <c r="AC168" s="597"/>
      <c r="AD168" s="590"/>
      <c r="AE168" s="591"/>
      <c r="AF168" s="591"/>
      <c r="AG168" s="591"/>
      <c r="AH168" s="590"/>
      <c r="AI168" s="591"/>
      <c r="AJ168" s="591"/>
      <c r="AK168" s="591"/>
      <c r="AL168" s="590"/>
      <c r="AM168" s="591"/>
      <c r="AN168" s="591"/>
      <c r="AO168" s="591"/>
      <c r="AP168" s="590"/>
      <c r="AQ168" s="591"/>
      <c r="AR168" s="591"/>
      <c r="AS168" s="591"/>
      <c r="AT168" s="590"/>
      <c r="AU168" s="591"/>
      <c r="AV168" s="591"/>
      <c r="AW168" s="591"/>
      <c r="AX168" s="590"/>
      <c r="AY168" s="591"/>
      <c r="AZ168" s="591"/>
      <c r="BA168" s="591"/>
    </row>
    <row r="169" spans="1:53" x14ac:dyDescent="0.35">
      <c r="A169" s="599" t="s">
        <v>328</v>
      </c>
      <c r="B169" s="599"/>
      <c r="C169" s="599"/>
      <c r="D169" s="170">
        <v>1</v>
      </c>
      <c r="E169" s="174">
        <f t="shared" si="137"/>
        <v>6676018.3439999996</v>
      </c>
      <c r="F169" s="583"/>
      <c r="G169" s="583"/>
      <c r="H169" s="583"/>
      <c r="I169" s="583"/>
      <c r="J169" s="583"/>
      <c r="K169" s="583"/>
      <c r="L169" s="583"/>
      <c r="M169" s="583"/>
      <c r="N169" s="583">
        <f t="shared" si="136"/>
        <v>6676018.3439999996</v>
      </c>
      <c r="O169" s="583"/>
      <c r="P169" s="583"/>
      <c r="Q169" s="583"/>
      <c r="R169" s="585">
        <f t="shared" si="138"/>
        <v>4.6211843381132357E-2</v>
      </c>
      <c r="S169" s="585"/>
      <c r="T169" s="585"/>
      <c r="U169" s="585"/>
      <c r="V169" s="604">
        <f t="shared" si="135"/>
        <v>2.5726595328710196E-2</v>
      </c>
      <c r="W169" s="604"/>
      <c r="X169" s="604"/>
      <c r="Y169" s="604"/>
      <c r="Z169" s="597"/>
      <c r="AA169" s="597"/>
      <c r="AB169" s="597"/>
      <c r="AC169" s="597"/>
      <c r="AD169" s="590"/>
      <c r="AE169" s="591"/>
      <c r="AF169" s="591"/>
      <c r="AG169" s="591"/>
      <c r="AH169" s="590"/>
      <c r="AI169" s="591"/>
      <c r="AJ169" s="591"/>
      <c r="AK169" s="591"/>
      <c r="AL169" s="590"/>
      <c r="AM169" s="591"/>
      <c r="AN169" s="591"/>
      <c r="AO169" s="591"/>
      <c r="AP169" s="590"/>
      <c r="AQ169" s="591"/>
      <c r="AR169" s="591"/>
      <c r="AS169" s="591"/>
      <c r="AT169" s="590"/>
      <c r="AU169" s="591"/>
      <c r="AV169" s="591"/>
      <c r="AW169" s="591"/>
      <c r="AX169" s="590"/>
      <c r="AY169" s="591"/>
      <c r="AZ169" s="591"/>
      <c r="BA169" s="591"/>
    </row>
    <row r="170" spans="1:53" x14ac:dyDescent="0.35">
      <c r="A170" s="606" t="s">
        <v>329</v>
      </c>
      <c r="B170" s="606"/>
      <c r="C170" s="606"/>
      <c r="D170" s="170">
        <v>1</v>
      </c>
      <c r="E170" s="174">
        <f t="shared" si="137"/>
        <v>6676018.3439999996</v>
      </c>
      <c r="F170" s="583"/>
      <c r="G170" s="593"/>
      <c r="H170" s="593"/>
      <c r="I170" s="593"/>
      <c r="J170" s="583"/>
      <c r="K170" s="593"/>
      <c r="L170" s="593"/>
      <c r="M170" s="593"/>
      <c r="N170" s="583">
        <f t="shared" si="136"/>
        <v>6676018.3439999996</v>
      </c>
      <c r="O170" s="583"/>
      <c r="P170" s="583"/>
      <c r="Q170" s="583"/>
      <c r="R170" s="585">
        <f t="shared" si="138"/>
        <v>4.6211843381132357E-2</v>
      </c>
      <c r="S170" s="585"/>
      <c r="T170" s="585"/>
      <c r="U170" s="585"/>
      <c r="V170" s="604">
        <f>R170*$E$131</f>
        <v>2.5726595328710196E-2</v>
      </c>
      <c r="W170" s="604"/>
      <c r="X170" s="604"/>
      <c r="Y170" s="604"/>
      <c r="Z170" s="605"/>
      <c r="AA170" s="605"/>
      <c r="AB170" s="605"/>
      <c r="AC170" s="605"/>
      <c r="AD170" s="590"/>
      <c r="AE170" s="591"/>
      <c r="AF170" s="591"/>
      <c r="AG170" s="591"/>
      <c r="AH170" s="590"/>
      <c r="AI170" s="591"/>
      <c r="AJ170" s="591"/>
      <c r="AK170" s="591"/>
      <c r="AL170" s="590"/>
      <c r="AM170" s="591"/>
      <c r="AN170" s="591"/>
      <c r="AO170" s="591"/>
      <c r="AP170" s="590"/>
      <c r="AQ170" s="591"/>
      <c r="AR170" s="591"/>
      <c r="AS170" s="591"/>
      <c r="AT170" s="590"/>
      <c r="AU170" s="591"/>
      <c r="AV170" s="591"/>
      <c r="AW170" s="591"/>
      <c r="AX170" s="590"/>
      <c r="AY170" s="591"/>
      <c r="AZ170" s="591"/>
      <c r="BA170" s="591"/>
    </row>
    <row r="171" spans="1:53" x14ac:dyDescent="0.35">
      <c r="A171" s="599" t="s">
        <v>330</v>
      </c>
      <c r="B171" s="599"/>
      <c r="C171" s="599"/>
      <c r="D171" s="170">
        <v>1</v>
      </c>
      <c r="E171" s="174">
        <f t="shared" si="137"/>
        <v>6676018.3439999996</v>
      </c>
      <c r="F171" s="583"/>
      <c r="G171" s="593"/>
      <c r="H171" s="593"/>
      <c r="I171" s="593"/>
      <c r="J171" s="583"/>
      <c r="K171" s="593"/>
      <c r="L171" s="593"/>
      <c r="M171" s="593"/>
      <c r="N171" s="583">
        <f t="shared" si="136"/>
        <v>6676018.3439999996</v>
      </c>
      <c r="O171" s="583"/>
      <c r="P171" s="583"/>
      <c r="Q171" s="583"/>
      <c r="R171" s="585">
        <f t="shared" si="138"/>
        <v>4.6211843381132357E-2</v>
      </c>
      <c r="S171" s="585"/>
      <c r="T171" s="585"/>
      <c r="U171" s="585"/>
      <c r="V171" s="604">
        <f t="shared" ref="V171:V174" si="139">R171*$E$131</f>
        <v>2.5726595328710196E-2</v>
      </c>
      <c r="W171" s="604"/>
      <c r="X171" s="604"/>
      <c r="Y171" s="604"/>
      <c r="Z171" s="605"/>
      <c r="AA171" s="605"/>
      <c r="AB171" s="605"/>
      <c r="AC171" s="605"/>
      <c r="AD171" s="590"/>
      <c r="AE171" s="591"/>
      <c r="AF171" s="591"/>
      <c r="AG171" s="591"/>
      <c r="AH171" s="590"/>
      <c r="AI171" s="591"/>
      <c r="AJ171" s="591"/>
      <c r="AK171" s="591"/>
      <c r="AL171" s="590"/>
      <c r="AM171" s="591"/>
      <c r="AN171" s="591"/>
      <c r="AO171" s="591"/>
      <c r="AP171" s="590"/>
      <c r="AQ171" s="591"/>
      <c r="AR171" s="591"/>
      <c r="AS171" s="591"/>
      <c r="AT171" s="590"/>
      <c r="AU171" s="591"/>
      <c r="AV171" s="591"/>
      <c r="AW171" s="591"/>
      <c r="AX171" s="590"/>
      <c r="AY171" s="591"/>
      <c r="AZ171" s="591"/>
      <c r="BA171" s="591"/>
    </row>
    <row r="172" spans="1:53" ht="33.75" customHeight="1" x14ac:dyDescent="0.35">
      <c r="A172" s="606" t="s">
        <v>331</v>
      </c>
      <c r="B172" s="606"/>
      <c r="C172" s="606"/>
      <c r="D172" s="170">
        <v>1</v>
      </c>
      <c r="E172" s="174">
        <f t="shared" si="137"/>
        <v>6676018.3439999996</v>
      </c>
      <c r="F172" s="593"/>
      <c r="G172" s="593"/>
      <c r="H172" s="593"/>
      <c r="I172" s="593"/>
      <c r="J172" s="593"/>
      <c r="K172" s="593"/>
      <c r="L172" s="593"/>
      <c r="M172" s="593"/>
      <c r="N172" s="583">
        <f t="shared" si="136"/>
        <v>6676018.3439999996</v>
      </c>
      <c r="O172" s="583"/>
      <c r="P172" s="583"/>
      <c r="Q172" s="583"/>
      <c r="R172" s="585">
        <f t="shared" si="138"/>
        <v>4.6211843381132357E-2</v>
      </c>
      <c r="S172" s="585"/>
      <c r="T172" s="585"/>
      <c r="U172" s="585"/>
      <c r="V172" s="604">
        <f t="shared" si="139"/>
        <v>2.5726595328710196E-2</v>
      </c>
      <c r="W172" s="604"/>
      <c r="X172" s="604"/>
      <c r="Y172" s="604"/>
      <c r="Z172" s="605"/>
      <c r="AA172" s="605"/>
      <c r="AB172" s="605"/>
      <c r="AC172" s="605"/>
      <c r="AD172" s="590"/>
      <c r="AE172" s="591"/>
      <c r="AF172" s="591"/>
      <c r="AG172" s="591"/>
      <c r="AH172" s="590"/>
      <c r="AI172" s="591"/>
      <c r="AJ172" s="591"/>
      <c r="AK172" s="591"/>
      <c r="AL172" s="590"/>
      <c r="AM172" s="591"/>
      <c r="AN172" s="591"/>
      <c r="AO172" s="591"/>
      <c r="AP172" s="590"/>
      <c r="AQ172" s="591"/>
      <c r="AR172" s="591"/>
      <c r="AS172" s="591"/>
      <c r="AT172" s="590"/>
      <c r="AU172" s="591"/>
      <c r="AV172" s="591"/>
      <c r="AW172" s="591"/>
      <c r="AX172" s="590"/>
      <c r="AY172" s="591"/>
      <c r="AZ172" s="591"/>
      <c r="BA172" s="591"/>
    </row>
    <row r="173" spans="1:53" ht="34.5" customHeight="1" x14ac:dyDescent="0.35">
      <c r="A173" s="599" t="s">
        <v>332</v>
      </c>
      <c r="B173" s="599"/>
      <c r="C173" s="599"/>
      <c r="D173" s="170">
        <v>1</v>
      </c>
      <c r="E173" s="174">
        <f t="shared" si="137"/>
        <v>6676018.3439999996</v>
      </c>
      <c r="F173" s="593"/>
      <c r="G173" s="593"/>
      <c r="H173" s="593"/>
      <c r="I173" s="593"/>
      <c r="J173" s="593"/>
      <c r="K173" s="593"/>
      <c r="L173" s="593"/>
      <c r="M173" s="593"/>
      <c r="N173" s="583">
        <f t="shared" si="136"/>
        <v>6676018.3439999996</v>
      </c>
      <c r="O173" s="583"/>
      <c r="P173" s="583"/>
      <c r="Q173" s="583"/>
      <c r="R173" s="585">
        <f t="shared" si="138"/>
        <v>4.6211843381132357E-2</v>
      </c>
      <c r="S173" s="585"/>
      <c r="T173" s="585"/>
      <c r="U173" s="585"/>
      <c r="V173" s="604">
        <f t="shared" si="139"/>
        <v>2.5726595328710196E-2</v>
      </c>
      <c r="W173" s="604"/>
      <c r="X173" s="604"/>
      <c r="Y173" s="604"/>
      <c r="Z173" s="605"/>
      <c r="AA173" s="605"/>
      <c r="AB173" s="605"/>
      <c r="AC173" s="605"/>
      <c r="AD173" s="590"/>
      <c r="AE173" s="591"/>
      <c r="AF173" s="591"/>
      <c r="AG173" s="591"/>
      <c r="AH173" s="590"/>
      <c r="AI173" s="591"/>
      <c r="AJ173" s="591"/>
      <c r="AK173" s="591"/>
      <c r="AL173" s="590"/>
      <c r="AM173" s="591"/>
      <c r="AN173" s="591"/>
      <c r="AO173" s="591"/>
      <c r="AP173" s="590"/>
      <c r="AQ173" s="591"/>
      <c r="AR173" s="591"/>
      <c r="AS173" s="591"/>
      <c r="AT173" s="590"/>
      <c r="AU173" s="591"/>
      <c r="AV173" s="591"/>
      <c r="AW173" s="591"/>
      <c r="AX173" s="590"/>
      <c r="AY173" s="591"/>
      <c r="AZ173" s="591"/>
      <c r="BA173" s="591"/>
    </row>
    <row r="174" spans="1:53" x14ac:dyDescent="0.35">
      <c r="A174" s="606" t="s">
        <v>333</v>
      </c>
      <c r="B174" s="606"/>
      <c r="C174" s="606"/>
      <c r="D174" s="170">
        <v>1</v>
      </c>
      <c r="E174" s="174">
        <f t="shared" si="137"/>
        <v>6676018.3439999996</v>
      </c>
      <c r="F174" s="583">
        <f>$F$153/$F$176</f>
        <v>3703822.6562638897</v>
      </c>
      <c r="G174" s="583"/>
      <c r="H174" s="583"/>
      <c r="I174" s="583"/>
      <c r="J174" s="583">
        <f>$J$153/$J$176</f>
        <v>1458380</v>
      </c>
      <c r="K174" s="583"/>
      <c r="L174" s="583"/>
      <c r="M174" s="583"/>
      <c r="N174" s="583">
        <f t="shared" si="136"/>
        <v>11838221.000263888</v>
      </c>
      <c r="O174" s="583"/>
      <c r="P174" s="583"/>
      <c r="Q174" s="583"/>
      <c r="R174" s="585">
        <f t="shared" si="138"/>
        <v>8.1944953801257395E-2</v>
      </c>
      <c r="S174" s="585"/>
      <c r="T174" s="585"/>
      <c r="U174" s="585"/>
      <c r="V174" s="604">
        <f t="shared" si="139"/>
        <v>4.5619575230698005E-2</v>
      </c>
      <c r="W174" s="604"/>
      <c r="X174" s="604"/>
      <c r="Y174" s="604"/>
      <c r="Z174" s="605"/>
      <c r="AA174" s="605"/>
      <c r="AB174" s="605"/>
      <c r="AC174" s="605"/>
      <c r="AD174" s="590"/>
      <c r="AE174" s="591"/>
      <c r="AF174" s="591"/>
      <c r="AG174" s="591"/>
      <c r="AH174" s="590"/>
      <c r="AI174" s="591"/>
      <c r="AJ174" s="591"/>
      <c r="AK174" s="591"/>
      <c r="AL174" s="590"/>
      <c r="AM174" s="591"/>
      <c r="AN174" s="591"/>
      <c r="AO174" s="591"/>
      <c r="AP174" s="590"/>
      <c r="AQ174" s="591"/>
      <c r="AR174" s="591"/>
      <c r="AS174" s="591"/>
      <c r="AT174" s="590"/>
      <c r="AU174" s="591"/>
      <c r="AV174" s="591"/>
      <c r="AW174" s="591"/>
      <c r="AX174" s="590"/>
      <c r="AY174" s="591"/>
      <c r="AZ174" s="591"/>
      <c r="BA174" s="591"/>
    </row>
    <row r="175" spans="1:53" ht="19.5" customHeight="1" x14ac:dyDescent="0.35">
      <c r="D175" s="173">
        <f>SUM(D156:D174)</f>
        <v>17</v>
      </c>
      <c r="E175" s="174">
        <f>SUM(E156:E174)</f>
        <v>113492311.84799996</v>
      </c>
      <c r="F175" s="583">
        <f>SUM(F155:I174)</f>
        <v>22222935.937583335</v>
      </c>
      <c r="G175" s="583"/>
      <c r="H175" s="583"/>
      <c r="I175" s="583"/>
      <c r="J175" s="583">
        <f>SUM(J156:M174)</f>
        <v>8750280</v>
      </c>
      <c r="K175" s="583"/>
      <c r="L175" s="583"/>
      <c r="M175" s="583"/>
      <c r="N175" s="603">
        <f>SUM(N156:Q174)</f>
        <v>144465527.78558329</v>
      </c>
      <c r="O175" s="603"/>
      <c r="P175" s="603"/>
      <c r="Q175" s="603"/>
      <c r="R175" s="585">
        <f>SUM(R156:U174)</f>
        <v>1.0000000000000004</v>
      </c>
      <c r="S175" s="585"/>
      <c r="T175" s="585"/>
      <c r="U175" s="585"/>
      <c r="V175" s="669">
        <f>SUM(V156:Y174)</f>
        <v>0.55671000000000015</v>
      </c>
      <c r="W175" s="669"/>
      <c r="X175" s="669"/>
      <c r="Y175" s="670"/>
      <c r="Z175" s="601" t="str">
        <f>IF(ABS(V175-E131)&lt;0.001,"OK"," ERROR")</f>
        <v>OK</v>
      </c>
      <c r="AA175" s="601"/>
      <c r="AB175" s="601"/>
      <c r="AC175" s="601"/>
      <c r="AD175" s="590"/>
      <c r="AE175" s="591"/>
      <c r="AF175" s="591"/>
      <c r="AG175" s="591"/>
      <c r="AH175" s="590"/>
      <c r="AI175" s="591"/>
      <c r="AJ175" s="591"/>
      <c r="AK175" s="591"/>
      <c r="AL175" s="590"/>
      <c r="AM175" s="591"/>
      <c r="AN175" s="591"/>
      <c r="AO175" s="591"/>
      <c r="AP175" s="590"/>
      <c r="AQ175" s="591"/>
      <c r="AR175" s="591"/>
      <c r="AS175" s="591"/>
      <c r="AT175" s="590"/>
      <c r="AU175" s="591"/>
      <c r="AV175" s="591"/>
      <c r="AW175" s="591"/>
      <c r="AX175" s="590"/>
      <c r="AY175" s="591"/>
      <c r="AZ175" s="591"/>
      <c r="BA175" s="591"/>
    </row>
    <row r="176" spans="1:53" ht="19.5" customHeight="1" x14ac:dyDescent="0.35">
      <c r="D176" s="170"/>
      <c r="E176" s="174"/>
      <c r="F176" s="600">
        <v>6</v>
      </c>
      <c r="G176" s="600"/>
      <c r="H176" s="600"/>
      <c r="I176" s="600"/>
      <c r="J176" s="600">
        <v>6</v>
      </c>
      <c r="K176" s="600"/>
      <c r="L176" s="600"/>
      <c r="M176" s="600"/>
      <c r="N176" s="668"/>
      <c r="O176" s="600"/>
      <c r="P176" s="600"/>
      <c r="Q176" s="600"/>
      <c r="R176" s="585"/>
      <c r="S176" s="585"/>
      <c r="T176" s="585"/>
      <c r="U176" s="585"/>
      <c r="V176" s="585"/>
      <c r="W176" s="585"/>
      <c r="X176" s="585"/>
      <c r="Y176" s="585"/>
      <c r="Z176" s="591" t="s">
        <v>133</v>
      </c>
      <c r="AA176" s="591"/>
      <c r="AB176" s="591"/>
      <c r="AC176" s="591"/>
      <c r="AD176" s="590"/>
      <c r="AE176" s="591"/>
      <c r="AF176" s="591"/>
      <c r="AG176" s="591"/>
      <c r="AH176" s="590"/>
      <c r="AI176" s="591"/>
      <c r="AJ176" s="591"/>
      <c r="AK176" s="591"/>
      <c r="AL176" s="590"/>
      <c r="AM176" s="591"/>
      <c r="AN176" s="591"/>
      <c r="AO176" s="591"/>
      <c r="AP176" s="590"/>
      <c r="AQ176" s="591"/>
      <c r="AR176" s="591"/>
      <c r="AS176" s="591"/>
      <c r="AT176" s="590"/>
      <c r="AU176" s="591"/>
      <c r="AV176" s="591"/>
      <c r="AW176" s="591"/>
      <c r="AX176" s="590"/>
      <c r="AY176" s="591"/>
      <c r="AZ176" s="591"/>
      <c r="BA176" s="591"/>
    </row>
    <row r="177" spans="1:69" ht="19.5" customHeight="1" x14ac:dyDescent="0.35">
      <c r="B177" s="174"/>
      <c r="C177" s="176"/>
      <c r="D177" s="176"/>
      <c r="E177" s="176"/>
      <c r="F177" s="583"/>
      <c r="G177" s="593"/>
      <c r="H177" s="593"/>
      <c r="I177" s="593"/>
      <c r="J177" s="583"/>
      <c r="K177" s="593"/>
      <c r="L177" s="593"/>
      <c r="M177" s="593"/>
      <c r="N177" s="583"/>
      <c r="O177" s="593"/>
      <c r="P177" s="593"/>
      <c r="Q177" s="593"/>
      <c r="R177" s="583"/>
      <c r="S177" s="593"/>
      <c r="T177" s="593"/>
      <c r="U177" s="593"/>
      <c r="V177" s="583"/>
      <c r="W177" s="593"/>
      <c r="X177" s="593"/>
      <c r="Y177" s="593"/>
      <c r="Z177" s="583"/>
      <c r="AA177" s="593"/>
      <c r="AB177" s="593"/>
      <c r="AC177" s="593"/>
      <c r="AD177" s="590"/>
      <c r="AE177" s="591"/>
      <c r="AF177" s="591"/>
      <c r="AG177" s="591"/>
      <c r="AH177" s="590"/>
      <c r="AI177" s="591"/>
      <c r="AJ177" s="591"/>
      <c r="AK177" s="591"/>
      <c r="AL177" s="590"/>
      <c r="AM177" s="591"/>
      <c r="AN177" s="591"/>
      <c r="AO177" s="591"/>
      <c r="AP177" s="590"/>
      <c r="AQ177" s="591"/>
      <c r="AR177" s="591"/>
      <c r="AS177" s="591"/>
      <c r="AT177" s="590"/>
      <c r="AU177" s="591"/>
      <c r="AV177" s="591"/>
      <c r="AW177" s="591"/>
      <c r="AX177" s="590"/>
      <c r="AY177" s="591"/>
      <c r="AZ177" s="591"/>
      <c r="BA177" s="591"/>
    </row>
    <row r="178" spans="1:69" ht="19.5" customHeight="1" x14ac:dyDescent="0.35">
      <c r="D178" s="170"/>
      <c r="E178" s="178">
        <f>SUM(AH122:AO122)</f>
        <v>29375172.983999997</v>
      </c>
      <c r="F178" s="590">
        <f>SUM(AH125:AO125)*E128</f>
        <v>4444587.1875166669</v>
      </c>
      <c r="G178" s="590"/>
      <c r="H178" s="590"/>
      <c r="I178" s="590"/>
      <c r="J178" s="590">
        <f>SUM(AH126:AO126)*E128</f>
        <v>1750056.0000000002</v>
      </c>
      <c r="K178" s="590"/>
      <c r="L178" s="590"/>
      <c r="M178" s="590"/>
      <c r="N178" s="585"/>
      <c r="O178" s="585"/>
      <c r="P178" s="585"/>
      <c r="Q178" s="585"/>
      <c r="R178" s="585"/>
      <c r="S178" s="585"/>
      <c r="T178" s="585"/>
      <c r="U178" s="585"/>
      <c r="V178" s="585"/>
      <c r="W178" s="585"/>
      <c r="X178" s="585"/>
      <c r="Y178" s="585"/>
      <c r="Z178" s="585"/>
      <c r="AA178" s="585"/>
      <c r="AB178" s="585"/>
      <c r="AC178" s="585"/>
      <c r="AD178" s="585"/>
      <c r="AE178" s="585"/>
      <c r="AF178" s="585"/>
      <c r="AG178" s="585"/>
      <c r="AH178" s="585"/>
      <c r="AI178" s="585"/>
      <c r="AJ178" s="585"/>
      <c r="AK178" s="585"/>
      <c r="AL178" s="585"/>
      <c r="AM178" s="585"/>
      <c r="AN178" s="585"/>
      <c r="AO178" s="585"/>
      <c r="AP178" s="585"/>
      <c r="AQ178" s="585"/>
      <c r="AR178" s="585"/>
      <c r="AS178" s="585"/>
      <c r="AT178" s="585"/>
      <c r="AU178" s="585"/>
      <c r="AV178" s="585"/>
      <c r="AW178" s="585"/>
      <c r="AX178" s="585"/>
      <c r="AY178" s="585"/>
      <c r="AZ178" s="585"/>
      <c r="BA178" s="585"/>
    </row>
    <row r="179" spans="1:69" ht="19.5" customHeight="1" x14ac:dyDescent="0.35">
      <c r="A179" s="666" t="str">
        <f>A85</f>
        <v>FASE 3. Identificación de usos potenciales</v>
      </c>
      <c r="B179" s="666"/>
      <c r="C179" s="666"/>
      <c r="D179" s="170"/>
      <c r="E179" s="199" t="s">
        <v>102</v>
      </c>
      <c r="F179" s="654" t="s">
        <v>103</v>
      </c>
      <c r="G179" s="654"/>
      <c r="H179" s="654"/>
      <c r="I179" s="654"/>
      <c r="J179" s="652" t="s">
        <v>104</v>
      </c>
      <c r="K179" s="652"/>
      <c r="L179" s="652"/>
      <c r="M179" s="652"/>
      <c r="N179" s="585"/>
      <c r="O179" s="585"/>
      <c r="P179" s="585"/>
      <c r="Q179" s="585"/>
      <c r="R179" s="605" t="s">
        <v>106</v>
      </c>
      <c r="S179" s="605"/>
      <c r="T179" s="605"/>
      <c r="U179" s="605"/>
      <c r="V179" s="605" t="s">
        <v>105</v>
      </c>
      <c r="W179" s="605"/>
      <c r="X179" s="605"/>
      <c r="Y179" s="605"/>
      <c r="Z179" s="585"/>
      <c r="AA179" s="585"/>
      <c r="AB179" s="585"/>
      <c r="AC179" s="585"/>
      <c r="AD179" s="585"/>
      <c r="AE179" s="585"/>
      <c r="AF179" s="585"/>
      <c r="AG179" s="585"/>
      <c r="AH179" s="585"/>
      <c r="AI179" s="585"/>
      <c r="AJ179" s="585"/>
      <c r="AK179" s="585"/>
      <c r="AL179" s="585"/>
      <c r="AM179" s="585"/>
      <c r="AN179" s="585"/>
      <c r="AO179" s="585"/>
      <c r="AP179" s="585"/>
      <c r="AQ179" s="585"/>
      <c r="AR179" s="585"/>
      <c r="AS179" s="585"/>
      <c r="AT179" s="585"/>
      <c r="AU179" s="585"/>
      <c r="AV179" s="585"/>
      <c r="AW179" s="585"/>
      <c r="AX179" s="585"/>
      <c r="AY179" s="585"/>
      <c r="AZ179" s="585"/>
      <c r="BA179" s="585"/>
    </row>
    <row r="180" spans="1:69" x14ac:dyDescent="0.35">
      <c r="A180" s="599" t="s">
        <v>334</v>
      </c>
      <c r="B180" s="599"/>
      <c r="C180" s="599"/>
      <c r="D180" s="170">
        <v>1</v>
      </c>
      <c r="E180" s="174">
        <f>$E$178/$D$185</f>
        <v>5875034.5967999995</v>
      </c>
      <c r="F180" s="583"/>
      <c r="G180" s="593"/>
      <c r="H180" s="593"/>
      <c r="I180" s="593"/>
      <c r="J180" s="583"/>
      <c r="K180" s="593"/>
      <c r="L180" s="593"/>
      <c r="M180" s="593"/>
      <c r="N180" s="583">
        <f>SUM(E180:M180)</f>
        <v>5875034.5967999995</v>
      </c>
      <c r="O180" s="593"/>
      <c r="P180" s="593"/>
      <c r="Q180" s="593"/>
      <c r="R180" s="585">
        <f>N180/$N$186</f>
        <v>0.16516910204063878</v>
      </c>
      <c r="S180" s="585"/>
      <c r="T180" s="585"/>
      <c r="U180" s="585"/>
      <c r="V180" s="585">
        <f>R180*$E$132</f>
        <v>2.2639752187309913E-2</v>
      </c>
      <c r="W180" s="585"/>
      <c r="X180" s="585"/>
      <c r="Y180" s="585"/>
      <c r="Z180" s="585"/>
      <c r="AA180" s="585"/>
      <c r="AB180" s="585"/>
      <c r="AC180" s="585"/>
      <c r="AD180" s="585"/>
      <c r="AE180" s="585"/>
      <c r="AF180" s="585"/>
      <c r="AG180" s="585"/>
      <c r="AH180" s="585"/>
      <c r="AI180" s="585"/>
      <c r="AJ180" s="585"/>
      <c r="AK180" s="585"/>
      <c r="AL180" s="585"/>
      <c r="AM180" s="585"/>
      <c r="AN180" s="585"/>
      <c r="AO180" s="585"/>
      <c r="AP180" s="585"/>
      <c r="AQ180" s="585"/>
      <c r="AR180" s="585"/>
      <c r="AS180" s="585"/>
      <c r="AT180" s="585"/>
      <c r="AU180" s="585"/>
      <c r="AV180" s="585"/>
      <c r="AW180" s="585"/>
      <c r="AX180" s="585"/>
      <c r="AY180" s="585"/>
      <c r="AZ180" s="585"/>
      <c r="BA180" s="585"/>
    </row>
    <row r="181" spans="1:69" ht="27.75" customHeight="1" x14ac:dyDescent="0.35">
      <c r="A181" s="608" t="s">
        <v>335</v>
      </c>
      <c r="B181" s="608"/>
      <c r="C181" s="608"/>
      <c r="D181" s="170">
        <v>1</v>
      </c>
      <c r="E181" s="174">
        <f t="shared" ref="E181:E184" si="140">$E$178/$D$185</f>
        <v>5875034.5967999995</v>
      </c>
      <c r="F181" s="583"/>
      <c r="G181" s="593"/>
      <c r="H181" s="593"/>
      <c r="I181" s="593"/>
      <c r="J181" s="583"/>
      <c r="K181" s="593"/>
      <c r="L181" s="593"/>
      <c r="M181" s="593"/>
      <c r="N181" s="583">
        <f t="shared" ref="N181:N184" si="141">SUM(E181:M181)</f>
        <v>5875034.5967999995</v>
      </c>
      <c r="O181" s="593"/>
      <c r="P181" s="593"/>
      <c r="Q181" s="593"/>
      <c r="R181" s="585">
        <f t="shared" ref="R181:R184" si="142">N181/$N$186</f>
        <v>0.16516910204063878</v>
      </c>
      <c r="S181" s="585"/>
      <c r="T181" s="585"/>
      <c r="U181" s="585"/>
      <c r="V181" s="585">
        <f t="shared" ref="V181:V184" si="143">R181*$E$132</f>
        <v>2.2639752187309913E-2</v>
      </c>
      <c r="W181" s="585"/>
      <c r="X181" s="585"/>
      <c r="Y181" s="585"/>
      <c r="Z181" s="585"/>
      <c r="AA181" s="585"/>
      <c r="AB181" s="585"/>
      <c r="AC181" s="585"/>
      <c r="AD181" s="585"/>
      <c r="AE181" s="585"/>
      <c r="AF181" s="585"/>
      <c r="AG181" s="585"/>
      <c r="AH181" s="585"/>
      <c r="AI181" s="585"/>
      <c r="AJ181" s="585"/>
      <c r="AK181" s="585"/>
      <c r="AL181" s="585"/>
      <c r="AM181" s="585"/>
      <c r="AN181" s="585"/>
      <c r="AO181" s="585"/>
      <c r="AP181" s="585"/>
      <c r="AQ181" s="585"/>
      <c r="AR181" s="585"/>
      <c r="AS181" s="585"/>
      <c r="AT181" s="585"/>
      <c r="AU181" s="585"/>
      <c r="AV181" s="585"/>
      <c r="AW181" s="585"/>
      <c r="AX181" s="585"/>
      <c r="AY181" s="585"/>
      <c r="AZ181" s="585"/>
      <c r="BA181" s="585"/>
    </row>
    <row r="182" spans="1:69" ht="27.75" customHeight="1" x14ac:dyDescent="0.35">
      <c r="A182" s="599" t="s">
        <v>336</v>
      </c>
      <c r="B182" s="599"/>
      <c r="C182" s="599"/>
      <c r="D182" s="170">
        <v>1</v>
      </c>
      <c r="E182" s="174">
        <f t="shared" si="140"/>
        <v>5875034.5967999995</v>
      </c>
      <c r="F182" s="583"/>
      <c r="G182" s="593"/>
      <c r="H182" s="593"/>
      <c r="I182" s="593"/>
      <c r="J182" s="583"/>
      <c r="K182" s="593"/>
      <c r="L182" s="593"/>
      <c r="M182" s="593"/>
      <c r="N182" s="583">
        <f t="shared" si="141"/>
        <v>5875034.5967999995</v>
      </c>
      <c r="O182" s="593"/>
      <c r="P182" s="593"/>
      <c r="Q182" s="593"/>
      <c r="R182" s="585">
        <f t="shared" si="142"/>
        <v>0.16516910204063878</v>
      </c>
      <c r="S182" s="585"/>
      <c r="T182" s="585"/>
      <c r="U182" s="585"/>
      <c r="V182" s="585">
        <f t="shared" si="143"/>
        <v>2.2639752187309913E-2</v>
      </c>
      <c r="W182" s="585"/>
      <c r="X182" s="585"/>
      <c r="Y182" s="585"/>
      <c r="Z182" s="583"/>
      <c r="AA182" s="593"/>
      <c r="AB182" s="593"/>
      <c r="AC182" s="593"/>
      <c r="AD182" s="583"/>
      <c r="AE182" s="593"/>
      <c r="AF182" s="593"/>
      <c r="AG182" s="593"/>
      <c r="AH182" s="583"/>
      <c r="AI182" s="593"/>
      <c r="AJ182" s="593"/>
      <c r="AK182" s="593"/>
      <c r="AL182" s="583"/>
      <c r="AM182" s="593"/>
      <c r="AN182" s="593"/>
      <c r="AO182" s="593"/>
      <c r="AP182" s="583"/>
      <c r="AQ182" s="593"/>
      <c r="AR182" s="593"/>
      <c r="AS182" s="593"/>
      <c r="AT182" s="583"/>
      <c r="AU182" s="593"/>
      <c r="AV182" s="593"/>
      <c r="AW182" s="593"/>
      <c r="AX182" s="583"/>
      <c r="AY182" s="593"/>
      <c r="AZ182" s="593"/>
      <c r="BA182" s="593"/>
      <c r="BB182" s="174"/>
      <c r="BC182" s="176"/>
      <c r="BD182" s="176"/>
      <c r="BE182" s="176"/>
      <c r="BF182" s="583"/>
      <c r="BG182" s="593"/>
      <c r="BH182" s="593"/>
      <c r="BI182" s="593"/>
      <c r="BJ182" s="583"/>
      <c r="BK182" s="593"/>
      <c r="BL182" s="593"/>
      <c r="BM182" s="593"/>
      <c r="BN182" s="583"/>
      <c r="BO182" s="593"/>
      <c r="BP182" s="593"/>
      <c r="BQ182" s="593"/>
    </row>
    <row r="183" spans="1:69" ht="31.5" customHeight="1" x14ac:dyDescent="0.35">
      <c r="A183" s="667" t="s">
        <v>337</v>
      </c>
      <c r="B183" s="667"/>
      <c r="C183" s="667"/>
      <c r="D183" s="282">
        <v>1</v>
      </c>
      <c r="E183" s="174">
        <f t="shared" si="140"/>
        <v>5875034.5967999995</v>
      </c>
      <c r="F183" s="583"/>
      <c r="G183" s="593"/>
      <c r="H183" s="593"/>
      <c r="I183" s="593"/>
      <c r="J183" s="583"/>
      <c r="K183" s="593"/>
      <c r="L183" s="593"/>
      <c r="M183" s="593"/>
      <c r="N183" s="583">
        <f t="shared" si="141"/>
        <v>5875034.5967999995</v>
      </c>
      <c r="O183" s="593"/>
      <c r="P183" s="593"/>
      <c r="Q183" s="593"/>
      <c r="R183" s="585">
        <f t="shared" si="142"/>
        <v>0.16516910204063878</v>
      </c>
      <c r="S183" s="585"/>
      <c r="T183" s="585"/>
      <c r="U183" s="585"/>
      <c r="V183" s="585">
        <f t="shared" si="143"/>
        <v>2.2639752187309913E-2</v>
      </c>
      <c r="W183" s="585"/>
      <c r="X183" s="585"/>
      <c r="Y183" s="585"/>
      <c r="Z183" s="585"/>
      <c r="AA183" s="585"/>
      <c r="AB183" s="585"/>
      <c r="AC183" s="585"/>
      <c r="AD183" s="585"/>
      <c r="AE183" s="585"/>
      <c r="AF183" s="585"/>
      <c r="AG183" s="585"/>
      <c r="AH183" s="585"/>
      <c r="AI183" s="585"/>
      <c r="AJ183" s="585"/>
      <c r="AK183" s="585"/>
      <c r="AL183" s="585"/>
      <c r="AM183" s="585"/>
      <c r="AN183" s="585"/>
      <c r="AO183" s="585"/>
      <c r="AP183" s="585"/>
      <c r="AQ183" s="585"/>
      <c r="AR183" s="585"/>
      <c r="AS183" s="585"/>
      <c r="AT183" s="585"/>
      <c r="AU183" s="585"/>
      <c r="AV183" s="585"/>
      <c r="AW183" s="585"/>
      <c r="AX183" s="585"/>
      <c r="AY183" s="585"/>
      <c r="AZ183" s="585"/>
      <c r="BA183" s="585"/>
    </row>
    <row r="184" spans="1:69" ht="26.25" customHeight="1" x14ac:dyDescent="0.35">
      <c r="A184" s="599" t="s">
        <v>338</v>
      </c>
      <c r="B184" s="599"/>
      <c r="C184" s="599"/>
      <c r="D184" s="170">
        <v>1</v>
      </c>
      <c r="E184" s="174">
        <f t="shared" si="140"/>
        <v>5875034.5967999995</v>
      </c>
      <c r="F184" s="583">
        <f>F178/F186</f>
        <v>4444587.1875166669</v>
      </c>
      <c r="G184" s="593"/>
      <c r="H184" s="593"/>
      <c r="I184" s="593"/>
      <c r="J184" s="583">
        <f>J178/J186</f>
        <v>1750056.0000000002</v>
      </c>
      <c r="K184" s="583"/>
      <c r="L184" s="583"/>
      <c r="M184" s="583"/>
      <c r="N184" s="583">
        <f t="shared" si="141"/>
        <v>12069677.784316666</v>
      </c>
      <c r="O184" s="593"/>
      <c r="P184" s="593"/>
      <c r="Q184" s="593"/>
      <c r="R184" s="585">
        <f t="shared" si="142"/>
        <v>0.33932359183744487</v>
      </c>
      <c r="S184" s="585"/>
      <c r="T184" s="585"/>
      <c r="U184" s="585"/>
      <c r="V184" s="585">
        <f t="shared" si="143"/>
        <v>4.6511132745744983E-2</v>
      </c>
      <c r="W184" s="585"/>
      <c r="X184" s="585"/>
      <c r="Y184" s="585"/>
      <c r="Z184" s="585"/>
      <c r="AA184" s="585"/>
      <c r="AB184" s="585"/>
      <c r="AC184" s="585"/>
      <c r="AD184" s="585"/>
      <c r="AE184" s="585"/>
      <c r="AF184" s="585"/>
      <c r="AG184" s="585"/>
      <c r="AH184" s="585"/>
      <c r="AI184" s="585"/>
      <c r="AJ184" s="585"/>
      <c r="AK184" s="585"/>
      <c r="AL184" s="585"/>
      <c r="AM184" s="585"/>
      <c r="AN184" s="585"/>
      <c r="AO184" s="585"/>
      <c r="AP184" s="585"/>
      <c r="AQ184" s="585"/>
      <c r="AR184" s="585"/>
      <c r="AS184" s="585"/>
      <c r="AT184" s="585"/>
      <c r="AU184" s="585"/>
      <c r="AV184" s="585"/>
      <c r="AW184" s="585"/>
      <c r="AX184" s="585"/>
      <c r="AY184" s="585"/>
      <c r="AZ184" s="585"/>
      <c r="BA184" s="585"/>
    </row>
    <row r="185" spans="1:69" x14ac:dyDescent="0.35">
      <c r="D185" s="173">
        <f>SUM(D180:D184)</f>
        <v>5</v>
      </c>
      <c r="E185" s="174">
        <f>SUM(E180:E184)</f>
        <v>29375172.983999997</v>
      </c>
      <c r="F185" s="583">
        <f>SUM(F180:I184)</f>
        <v>4444587.1875166669</v>
      </c>
      <c r="G185" s="593"/>
      <c r="H185" s="593"/>
      <c r="I185" s="593"/>
      <c r="J185" s="583">
        <f>SUM(J180:M184)</f>
        <v>1750056.0000000002</v>
      </c>
      <c r="K185" s="593"/>
      <c r="L185" s="593"/>
      <c r="M185" s="593"/>
      <c r="N185" s="583"/>
      <c r="O185" s="593"/>
      <c r="P185" s="593"/>
      <c r="Q185" s="593"/>
      <c r="R185" s="585"/>
      <c r="S185" s="585"/>
      <c r="T185" s="585"/>
      <c r="U185" s="585"/>
      <c r="V185" s="585"/>
      <c r="W185" s="585"/>
      <c r="X185" s="585"/>
      <c r="Y185" s="585"/>
      <c r="Z185" s="585"/>
      <c r="AA185" s="585"/>
      <c r="AB185" s="585"/>
      <c r="AC185" s="585"/>
      <c r="AD185" s="585"/>
      <c r="AE185" s="585"/>
      <c r="AF185" s="585"/>
      <c r="AG185" s="585"/>
      <c r="AH185" s="585"/>
      <c r="AI185" s="585"/>
      <c r="AJ185" s="585"/>
      <c r="AK185" s="585"/>
      <c r="AL185" s="585"/>
      <c r="AM185" s="585"/>
      <c r="AN185" s="585"/>
      <c r="AO185" s="585"/>
      <c r="AP185" s="585"/>
      <c r="AQ185" s="585"/>
      <c r="AR185" s="585"/>
      <c r="AS185" s="585"/>
      <c r="AT185" s="585"/>
      <c r="AU185" s="585"/>
      <c r="AV185" s="585"/>
      <c r="AW185" s="585"/>
      <c r="AX185" s="585"/>
      <c r="AY185" s="585"/>
      <c r="AZ185" s="585"/>
      <c r="BA185" s="585"/>
    </row>
    <row r="186" spans="1:69" x14ac:dyDescent="0.35">
      <c r="D186" s="170"/>
      <c r="E186" s="389"/>
      <c r="F186" s="600">
        <v>1</v>
      </c>
      <c r="G186" s="600"/>
      <c r="H186" s="600"/>
      <c r="I186" s="600"/>
      <c r="J186" s="600">
        <v>1</v>
      </c>
      <c r="K186" s="600"/>
      <c r="L186" s="600"/>
      <c r="M186" s="600"/>
      <c r="N186" s="603">
        <f>SUM(N180:Q184)</f>
        <v>35569816.171516664</v>
      </c>
      <c r="O186" s="605"/>
      <c r="P186" s="605"/>
      <c r="Q186" s="605"/>
      <c r="R186" s="585">
        <f>SUM(R180:U184)</f>
        <v>1</v>
      </c>
      <c r="S186" s="585"/>
      <c r="T186" s="585"/>
      <c r="U186" s="585"/>
      <c r="V186" s="585">
        <f>SUM(V180:Y184)</f>
        <v>0.13707014149498464</v>
      </c>
      <c r="W186" s="585"/>
      <c r="X186" s="585"/>
      <c r="Y186" s="585"/>
      <c r="Z186" s="601" t="str">
        <f>IF(ABS(V186-E132)&lt;0.001,"OK"," ERROR")</f>
        <v>OK</v>
      </c>
      <c r="AA186" s="601"/>
      <c r="AB186" s="601"/>
      <c r="AC186" s="601"/>
      <c r="AD186" s="585"/>
      <c r="AE186" s="585"/>
      <c r="AF186" s="585"/>
      <c r="AG186" s="585"/>
      <c r="AH186" s="585"/>
      <c r="AI186" s="585"/>
      <c r="AJ186" s="585"/>
      <c r="AK186" s="585"/>
      <c r="AL186" s="585"/>
      <c r="AM186" s="585"/>
      <c r="AN186" s="585"/>
      <c r="AO186" s="585"/>
      <c r="AP186" s="585"/>
      <c r="AQ186" s="585"/>
      <c r="AR186" s="585"/>
      <c r="AS186" s="585"/>
      <c r="AT186" s="585"/>
      <c r="AU186" s="585"/>
      <c r="AV186" s="585"/>
      <c r="AW186" s="585"/>
      <c r="AX186" s="585"/>
      <c r="AY186" s="585"/>
      <c r="AZ186" s="585"/>
      <c r="BA186" s="585"/>
    </row>
    <row r="187" spans="1:69" ht="18" customHeight="1" x14ac:dyDescent="0.35">
      <c r="D187" s="170"/>
      <c r="E187" s="174"/>
      <c r="F187" s="583"/>
      <c r="G187" s="593"/>
      <c r="H187" s="593"/>
      <c r="I187" s="593"/>
      <c r="J187" s="583"/>
      <c r="K187" s="593"/>
      <c r="L187" s="593"/>
      <c r="M187" s="593"/>
      <c r="N187" s="583"/>
      <c r="O187" s="593"/>
      <c r="P187" s="593"/>
      <c r="Q187" s="593"/>
      <c r="R187" s="585"/>
      <c r="S187" s="585"/>
      <c r="T187" s="585"/>
      <c r="U187" s="585"/>
      <c r="V187" s="585"/>
      <c r="W187" s="585"/>
      <c r="X187" s="585"/>
      <c r="Y187" s="585"/>
      <c r="Z187" s="602" t="s">
        <v>146</v>
      </c>
      <c r="AA187" s="602"/>
      <c r="AB187" s="602"/>
      <c r="AC187" s="602"/>
      <c r="AD187" s="585"/>
      <c r="AE187" s="585"/>
      <c r="AF187" s="585"/>
      <c r="AG187" s="585"/>
      <c r="AH187" s="585"/>
      <c r="AI187" s="585"/>
      <c r="AJ187" s="585"/>
      <c r="AK187" s="585"/>
      <c r="AL187" s="585"/>
      <c r="AM187" s="585"/>
      <c r="AN187" s="585"/>
      <c r="AO187" s="585"/>
      <c r="AP187" s="585"/>
      <c r="AQ187" s="585"/>
      <c r="AR187" s="585"/>
      <c r="AS187" s="585"/>
      <c r="AT187" s="585"/>
      <c r="AU187" s="585"/>
      <c r="AV187" s="585"/>
      <c r="AW187" s="585"/>
      <c r="AX187" s="585"/>
      <c r="AY187" s="585"/>
      <c r="AZ187" s="585"/>
      <c r="BA187" s="585"/>
    </row>
    <row r="188" spans="1:69" x14ac:dyDescent="0.35">
      <c r="D188" s="170"/>
      <c r="E188" s="178">
        <f>SUM(AP122:BA122)</f>
        <v>46144224.107999995</v>
      </c>
      <c r="F188" s="590">
        <f>SUM(AP125:BA125)*E128</f>
        <v>4444587.1875166669</v>
      </c>
      <c r="G188" s="590"/>
      <c r="H188" s="590"/>
      <c r="I188" s="590"/>
      <c r="J188" s="590">
        <f>SUM(AP126:BA126)*E128</f>
        <v>1750056.0000000002</v>
      </c>
      <c r="K188" s="590"/>
      <c r="L188" s="590"/>
      <c r="M188" s="590"/>
      <c r="N188" s="583"/>
      <c r="O188" s="593"/>
      <c r="P188" s="593"/>
      <c r="Q188" s="593"/>
      <c r="R188" s="585"/>
      <c r="S188" s="585"/>
      <c r="T188" s="585"/>
      <c r="U188" s="585"/>
      <c r="V188" s="585"/>
      <c r="W188" s="585"/>
      <c r="X188" s="585"/>
      <c r="Y188" s="585"/>
      <c r="Z188" s="585"/>
      <c r="AA188" s="585"/>
      <c r="AB188" s="585"/>
      <c r="AC188" s="585"/>
      <c r="AD188" s="585"/>
      <c r="AE188" s="585"/>
      <c r="AF188" s="585"/>
      <c r="AG188" s="585"/>
      <c r="AH188" s="585"/>
      <c r="AI188" s="585"/>
      <c r="AJ188" s="585"/>
      <c r="AK188" s="585"/>
      <c r="AL188" s="585"/>
      <c r="AM188" s="585"/>
      <c r="AN188" s="585"/>
      <c r="AO188" s="585"/>
      <c r="AP188" s="585"/>
      <c r="AQ188" s="585"/>
      <c r="AR188" s="585"/>
      <c r="AS188" s="585"/>
      <c r="AT188" s="585"/>
      <c r="AU188" s="585"/>
      <c r="AV188" s="585"/>
      <c r="AW188" s="585"/>
      <c r="AX188" s="585"/>
      <c r="AY188" s="585"/>
      <c r="AZ188" s="585"/>
      <c r="BA188" s="585"/>
    </row>
    <row r="189" spans="1:69" x14ac:dyDescent="0.35">
      <c r="A189" s="664" t="str">
        <f>A95</f>
        <v>FASE 4. Elaboración del plan</v>
      </c>
      <c r="B189" s="664"/>
      <c r="C189" s="664"/>
      <c r="D189" s="170"/>
      <c r="E189" s="199" t="s">
        <v>102</v>
      </c>
      <c r="F189" s="654" t="s">
        <v>103</v>
      </c>
      <c r="G189" s="654"/>
      <c r="H189" s="654"/>
      <c r="I189" s="654"/>
      <c r="J189" s="652" t="s">
        <v>104</v>
      </c>
      <c r="K189" s="652"/>
      <c r="L189" s="652"/>
      <c r="M189" s="652"/>
      <c r="N189" s="583"/>
      <c r="O189" s="593"/>
      <c r="P189" s="593"/>
      <c r="Q189" s="593"/>
      <c r="R189" s="585"/>
      <c r="S189" s="585"/>
      <c r="T189" s="585"/>
      <c r="U189" s="585"/>
      <c r="V189" s="585"/>
      <c r="W189" s="585"/>
      <c r="X189" s="585"/>
      <c r="Y189" s="585"/>
      <c r="Z189" s="585"/>
      <c r="AA189" s="585"/>
      <c r="AB189" s="585"/>
      <c r="AC189" s="585"/>
      <c r="AD189" s="585"/>
      <c r="AE189" s="585"/>
      <c r="AF189" s="585"/>
      <c r="AG189" s="585"/>
      <c r="AH189" s="585"/>
      <c r="AI189" s="585"/>
      <c r="AJ189" s="585"/>
      <c r="AK189" s="585"/>
      <c r="AL189" s="585"/>
      <c r="AM189" s="585"/>
      <c r="AN189" s="585"/>
      <c r="AO189" s="585"/>
      <c r="AP189" s="585"/>
      <c r="AQ189" s="585"/>
      <c r="AR189" s="585"/>
      <c r="AS189" s="585"/>
      <c r="AT189" s="585"/>
      <c r="AU189" s="585"/>
      <c r="AV189" s="585"/>
      <c r="AW189" s="585"/>
      <c r="AX189" s="585"/>
      <c r="AY189" s="585"/>
      <c r="AZ189" s="585"/>
      <c r="BA189" s="585"/>
    </row>
    <row r="190" spans="1:69" ht="27.75" customHeight="1" x14ac:dyDescent="0.35">
      <c r="A190" s="588" t="s">
        <v>339</v>
      </c>
      <c r="B190" s="588"/>
      <c r="C190" s="588"/>
      <c r="D190" s="282">
        <v>1</v>
      </c>
      <c r="E190" s="174">
        <f>$E$188/$D$200</f>
        <v>4614422.4107999997</v>
      </c>
      <c r="F190" s="584"/>
      <c r="G190" s="584"/>
      <c r="H190" s="584"/>
      <c r="I190" s="584"/>
      <c r="J190" s="583"/>
      <c r="K190" s="583"/>
      <c r="L190" s="583"/>
      <c r="M190" s="583"/>
      <c r="N190" s="583">
        <f>SUM(E190:M190)</f>
        <v>4614422.4107999997</v>
      </c>
      <c r="O190" s="583"/>
      <c r="P190" s="583"/>
      <c r="Q190" s="583"/>
      <c r="R190" s="585">
        <f>N190/$N$201</f>
        <v>8.8164353743957896E-2</v>
      </c>
      <c r="S190" s="585"/>
      <c r="T190" s="585"/>
      <c r="U190" s="585"/>
      <c r="V190" s="585">
        <f>R190*$E$133</f>
        <v>1.7781917390747509E-2</v>
      </c>
      <c r="W190" s="585"/>
      <c r="X190" s="585"/>
      <c r="Y190" s="585"/>
      <c r="Z190" s="585"/>
      <c r="AA190" s="585"/>
      <c r="AB190" s="585"/>
      <c r="AC190" s="585"/>
      <c r="AD190" s="585"/>
      <c r="AE190" s="585"/>
      <c r="AF190" s="585"/>
      <c r="AG190" s="585"/>
      <c r="AH190" s="585"/>
      <c r="AI190" s="585"/>
      <c r="AJ190" s="585"/>
      <c r="AK190" s="585"/>
      <c r="AL190" s="585"/>
      <c r="AM190" s="585"/>
      <c r="AN190" s="585"/>
      <c r="AO190" s="585"/>
      <c r="AP190" s="585"/>
      <c r="AQ190" s="585"/>
      <c r="AR190" s="585"/>
      <c r="AS190" s="585"/>
      <c r="AT190" s="585"/>
      <c r="AU190" s="585"/>
      <c r="AV190" s="585"/>
      <c r="AW190" s="585"/>
      <c r="AX190" s="585"/>
      <c r="AY190" s="585"/>
      <c r="AZ190" s="585"/>
      <c r="BA190" s="585"/>
    </row>
    <row r="191" spans="1:69" x14ac:dyDescent="0.35">
      <c r="A191" s="586" t="s">
        <v>340</v>
      </c>
      <c r="B191" s="586"/>
      <c r="C191" s="586"/>
      <c r="D191" s="282">
        <v>1</v>
      </c>
      <c r="E191" s="174">
        <f t="shared" ref="E191:E199" si="144">$E$188/$D$200</f>
        <v>4614422.4107999997</v>
      </c>
      <c r="F191" s="584"/>
      <c r="G191" s="584"/>
      <c r="H191" s="584"/>
      <c r="I191" s="584"/>
      <c r="J191" s="584"/>
      <c r="K191" s="584"/>
      <c r="L191" s="584"/>
      <c r="M191" s="584"/>
      <c r="N191" s="583">
        <f t="shared" ref="N191:N198" si="145">SUM(E191:M191)</f>
        <v>4614422.4107999997</v>
      </c>
      <c r="O191" s="583"/>
      <c r="P191" s="583"/>
      <c r="Q191" s="583"/>
      <c r="R191" s="585">
        <f t="shared" ref="R191:R198" si="146">N191/$N$201</f>
        <v>8.8164353743957896E-2</v>
      </c>
      <c r="S191" s="585"/>
      <c r="T191" s="585"/>
      <c r="U191" s="585"/>
      <c r="V191" s="585">
        <f t="shared" ref="V191:V199" si="147">R191*$E$133</f>
        <v>1.7781917390747509E-2</v>
      </c>
      <c r="W191" s="585"/>
      <c r="X191" s="585"/>
      <c r="Y191" s="585"/>
      <c r="Z191" s="584"/>
      <c r="AA191" s="584"/>
      <c r="AB191" s="584"/>
      <c r="AC191" s="584"/>
      <c r="AD191" s="584"/>
      <c r="AE191" s="584"/>
      <c r="AF191" s="584"/>
      <c r="AG191" s="584"/>
      <c r="AH191" s="584"/>
      <c r="AI191" s="584"/>
      <c r="AJ191" s="584"/>
      <c r="AK191" s="584"/>
      <c r="AL191" s="584"/>
      <c r="AM191" s="584"/>
      <c r="AN191" s="584"/>
      <c r="AO191" s="584"/>
      <c r="AP191" s="584"/>
      <c r="AQ191" s="584"/>
      <c r="AR191" s="584"/>
      <c r="AS191" s="584"/>
      <c r="AT191" s="584"/>
      <c r="AU191" s="584"/>
      <c r="AV191" s="584"/>
      <c r="AW191" s="584"/>
      <c r="AX191" s="584"/>
      <c r="AY191" s="584"/>
      <c r="AZ191" s="584"/>
      <c r="BA191" s="584"/>
    </row>
    <row r="192" spans="1:69" ht="27.75" customHeight="1" x14ac:dyDescent="0.35">
      <c r="A192" s="588" t="s">
        <v>341</v>
      </c>
      <c r="B192" s="588"/>
      <c r="C192" s="588"/>
      <c r="D192" s="282">
        <v>1</v>
      </c>
      <c r="E192" s="174">
        <f t="shared" si="144"/>
        <v>4614422.4107999997</v>
      </c>
      <c r="F192" s="584"/>
      <c r="G192" s="584"/>
      <c r="H192" s="584"/>
      <c r="I192" s="584"/>
      <c r="J192" s="584"/>
      <c r="K192" s="584"/>
      <c r="L192" s="584"/>
      <c r="M192" s="584"/>
      <c r="N192" s="583">
        <f t="shared" si="145"/>
        <v>4614422.4107999997</v>
      </c>
      <c r="O192" s="583"/>
      <c r="P192" s="583"/>
      <c r="Q192" s="583"/>
      <c r="R192" s="585">
        <f t="shared" si="146"/>
        <v>8.8164353743957896E-2</v>
      </c>
      <c r="S192" s="585"/>
      <c r="T192" s="585"/>
      <c r="U192" s="585"/>
      <c r="V192" s="585">
        <f t="shared" si="147"/>
        <v>1.7781917390747509E-2</v>
      </c>
      <c r="W192" s="585"/>
      <c r="X192" s="585"/>
      <c r="Y192" s="585"/>
      <c r="Z192" s="584"/>
      <c r="AA192" s="584"/>
      <c r="AB192" s="584"/>
      <c r="AC192" s="584"/>
      <c r="AD192" s="584"/>
      <c r="AE192" s="584"/>
      <c r="AF192" s="584"/>
      <c r="AG192" s="584"/>
      <c r="AH192" s="584"/>
      <c r="AI192" s="584"/>
      <c r="AJ192" s="584"/>
      <c r="AK192" s="584"/>
      <c r="AL192" s="584"/>
      <c r="AM192" s="584"/>
      <c r="AN192" s="584"/>
      <c r="AO192" s="584"/>
      <c r="AP192" s="584"/>
      <c r="AQ192" s="584"/>
      <c r="AR192" s="584"/>
      <c r="AS192" s="584"/>
      <c r="AT192" s="584"/>
      <c r="AU192" s="584"/>
      <c r="AV192" s="584"/>
      <c r="AW192" s="584"/>
      <c r="AX192" s="584"/>
      <c r="AY192" s="584"/>
      <c r="AZ192" s="584"/>
      <c r="BA192" s="584"/>
    </row>
    <row r="193" spans="1:53" x14ac:dyDescent="0.35">
      <c r="A193" s="586" t="s">
        <v>342</v>
      </c>
      <c r="B193" s="586"/>
      <c r="C193" s="586"/>
      <c r="D193" s="282">
        <v>1</v>
      </c>
      <c r="E193" s="174">
        <f t="shared" si="144"/>
        <v>4614422.4107999997</v>
      </c>
      <c r="F193" s="584"/>
      <c r="G193" s="584"/>
      <c r="H193" s="584"/>
      <c r="I193" s="584"/>
      <c r="J193" s="584"/>
      <c r="K193" s="584"/>
      <c r="L193" s="584"/>
      <c r="M193" s="584"/>
      <c r="N193" s="583">
        <f t="shared" si="145"/>
        <v>4614422.4107999997</v>
      </c>
      <c r="O193" s="583"/>
      <c r="P193" s="583"/>
      <c r="Q193" s="583"/>
      <c r="R193" s="585">
        <f t="shared" si="146"/>
        <v>8.8164353743957896E-2</v>
      </c>
      <c r="S193" s="585"/>
      <c r="T193" s="585"/>
      <c r="U193" s="585"/>
      <c r="V193" s="585">
        <f t="shared" si="147"/>
        <v>1.7781917390747509E-2</v>
      </c>
      <c r="W193" s="585"/>
      <c r="X193" s="585"/>
      <c r="Y193" s="585"/>
      <c r="Z193" s="584"/>
      <c r="AA193" s="584"/>
      <c r="AB193" s="584"/>
      <c r="AC193" s="584"/>
      <c r="AD193" s="584"/>
      <c r="AE193" s="584"/>
      <c r="AF193" s="584"/>
      <c r="AG193" s="584"/>
      <c r="AH193" s="584"/>
      <c r="AI193" s="584"/>
      <c r="AJ193" s="584"/>
      <c r="AK193" s="584"/>
      <c r="AL193" s="584"/>
      <c r="AM193" s="584"/>
      <c r="AN193" s="584"/>
      <c r="AO193" s="584"/>
      <c r="AP193" s="584"/>
      <c r="AQ193" s="584"/>
      <c r="AR193" s="584"/>
      <c r="AS193" s="584"/>
      <c r="AT193" s="584"/>
      <c r="AU193" s="584"/>
      <c r="AV193" s="584"/>
      <c r="AW193" s="584"/>
      <c r="AX193" s="584"/>
      <c r="AY193" s="584"/>
      <c r="AZ193" s="584"/>
      <c r="BA193" s="584"/>
    </row>
    <row r="194" spans="1:53" x14ac:dyDescent="0.35">
      <c r="A194" s="588" t="s">
        <v>343</v>
      </c>
      <c r="B194" s="588"/>
      <c r="C194" s="588"/>
      <c r="D194" s="282">
        <v>1</v>
      </c>
      <c r="E194" s="174">
        <f t="shared" si="144"/>
        <v>4614422.4107999997</v>
      </c>
      <c r="F194" s="584"/>
      <c r="G194" s="584"/>
      <c r="H194" s="584"/>
      <c r="I194" s="584"/>
      <c r="J194" s="584"/>
      <c r="K194" s="584"/>
      <c r="L194" s="584"/>
      <c r="M194" s="584"/>
      <c r="N194" s="583">
        <f t="shared" si="145"/>
        <v>4614422.4107999997</v>
      </c>
      <c r="O194" s="583"/>
      <c r="P194" s="583"/>
      <c r="Q194" s="583"/>
      <c r="R194" s="585">
        <f t="shared" si="146"/>
        <v>8.8164353743957896E-2</v>
      </c>
      <c r="S194" s="585"/>
      <c r="T194" s="585"/>
      <c r="U194" s="585"/>
      <c r="V194" s="585">
        <f t="shared" si="147"/>
        <v>1.7781917390747509E-2</v>
      </c>
      <c r="W194" s="585"/>
      <c r="X194" s="585"/>
      <c r="Y194" s="585"/>
      <c r="Z194" s="584"/>
      <c r="AA194" s="584"/>
      <c r="AB194" s="584"/>
      <c r="AC194" s="584"/>
      <c r="AD194" s="584"/>
      <c r="AE194" s="584"/>
      <c r="AF194" s="584"/>
      <c r="AG194" s="584"/>
      <c r="AH194" s="584"/>
      <c r="AI194" s="584"/>
      <c r="AJ194" s="584"/>
      <c r="AK194" s="584"/>
      <c r="AL194" s="584"/>
      <c r="AM194" s="584"/>
      <c r="AN194" s="584"/>
      <c r="AO194" s="584"/>
      <c r="AP194" s="584"/>
      <c r="AQ194" s="584"/>
      <c r="AR194" s="584"/>
      <c r="AS194" s="584"/>
      <c r="AT194" s="584"/>
      <c r="AU194" s="584"/>
      <c r="AV194" s="584"/>
      <c r="AW194" s="584"/>
      <c r="AX194" s="584"/>
      <c r="AY194" s="584"/>
      <c r="AZ194" s="584"/>
      <c r="BA194" s="584"/>
    </row>
    <row r="195" spans="1:53" ht="27.75" customHeight="1" x14ac:dyDescent="0.35">
      <c r="A195" s="586" t="s">
        <v>344</v>
      </c>
      <c r="B195" s="586"/>
      <c r="C195" s="586"/>
      <c r="D195" s="282">
        <v>1</v>
      </c>
      <c r="E195" s="174">
        <f t="shared" si="144"/>
        <v>4614422.4107999997</v>
      </c>
      <c r="F195" s="584"/>
      <c r="G195" s="584"/>
      <c r="H195" s="584"/>
      <c r="I195" s="584"/>
      <c r="J195" s="584"/>
      <c r="K195" s="584"/>
      <c r="L195" s="584"/>
      <c r="M195" s="584"/>
      <c r="N195" s="583">
        <f t="shared" si="145"/>
        <v>4614422.4107999997</v>
      </c>
      <c r="O195" s="583"/>
      <c r="P195" s="583"/>
      <c r="Q195" s="583"/>
      <c r="R195" s="585">
        <f t="shared" si="146"/>
        <v>8.8164353743957896E-2</v>
      </c>
      <c r="S195" s="585"/>
      <c r="T195" s="585"/>
      <c r="U195" s="585"/>
      <c r="V195" s="585">
        <f t="shared" si="147"/>
        <v>1.7781917390747509E-2</v>
      </c>
      <c r="W195" s="585"/>
      <c r="X195" s="585"/>
      <c r="Y195" s="585"/>
      <c r="Z195" s="584"/>
      <c r="AA195" s="584"/>
      <c r="AB195" s="584"/>
      <c r="AC195" s="584"/>
      <c r="AD195" s="584"/>
      <c r="AE195" s="584"/>
      <c r="AF195" s="584"/>
      <c r="AG195" s="584"/>
      <c r="AH195" s="584"/>
      <c r="AI195" s="584"/>
      <c r="AJ195" s="584"/>
      <c r="AK195" s="584"/>
      <c r="AL195" s="584"/>
      <c r="AM195" s="584"/>
      <c r="AN195" s="584"/>
      <c r="AO195" s="584"/>
      <c r="AP195" s="584"/>
      <c r="AQ195" s="584"/>
      <c r="AR195" s="584"/>
      <c r="AS195" s="584"/>
      <c r="AT195" s="584"/>
      <c r="AU195" s="584"/>
      <c r="AV195" s="584"/>
      <c r="AW195" s="584"/>
      <c r="AX195" s="584"/>
      <c r="AY195" s="584"/>
      <c r="AZ195" s="584"/>
      <c r="BA195" s="584"/>
    </row>
    <row r="196" spans="1:53" x14ac:dyDescent="0.35">
      <c r="A196" s="588" t="s">
        <v>345</v>
      </c>
      <c r="B196" s="588"/>
      <c r="C196" s="588"/>
      <c r="D196" s="282">
        <v>1</v>
      </c>
      <c r="E196" s="174">
        <f t="shared" si="144"/>
        <v>4614422.4107999997</v>
      </c>
      <c r="F196" s="584"/>
      <c r="G196" s="584"/>
      <c r="H196" s="584"/>
      <c r="I196" s="584"/>
      <c r="J196" s="584"/>
      <c r="K196" s="584"/>
      <c r="L196" s="584"/>
      <c r="M196" s="584"/>
      <c r="N196" s="583">
        <f t="shared" si="145"/>
        <v>4614422.4107999997</v>
      </c>
      <c r="O196" s="583"/>
      <c r="P196" s="583"/>
      <c r="Q196" s="583"/>
      <c r="R196" s="585">
        <f t="shared" si="146"/>
        <v>8.8164353743957896E-2</v>
      </c>
      <c r="S196" s="585"/>
      <c r="T196" s="585"/>
      <c r="U196" s="585"/>
      <c r="V196" s="585">
        <f t="shared" si="147"/>
        <v>1.7781917390747509E-2</v>
      </c>
      <c r="W196" s="585"/>
      <c r="X196" s="585"/>
      <c r="Y196" s="585"/>
      <c r="Z196" s="584"/>
      <c r="AA196" s="584"/>
      <c r="AB196" s="584"/>
      <c r="AC196" s="584"/>
      <c r="AD196" s="584"/>
      <c r="AE196" s="584"/>
      <c r="AF196" s="584"/>
      <c r="AG196" s="584"/>
      <c r="AH196" s="584"/>
      <c r="AI196" s="584"/>
      <c r="AJ196" s="584"/>
      <c r="AK196" s="584"/>
      <c r="AL196" s="584"/>
      <c r="AM196" s="584"/>
      <c r="AN196" s="584"/>
      <c r="AO196" s="584"/>
      <c r="AP196" s="584"/>
      <c r="AQ196" s="584"/>
      <c r="AR196" s="584"/>
      <c r="AS196" s="584"/>
      <c r="AT196" s="584"/>
      <c r="AU196" s="584"/>
      <c r="AV196" s="584"/>
      <c r="AW196" s="584"/>
      <c r="AX196" s="584"/>
      <c r="AY196" s="584"/>
      <c r="AZ196" s="584"/>
      <c r="BA196" s="584"/>
    </row>
    <row r="197" spans="1:53" x14ac:dyDescent="0.35">
      <c r="A197" s="586" t="s">
        <v>346</v>
      </c>
      <c r="B197" s="586"/>
      <c r="C197" s="586"/>
      <c r="D197" s="282">
        <v>1</v>
      </c>
      <c r="E197" s="174">
        <f t="shared" si="144"/>
        <v>4614422.4107999997</v>
      </c>
      <c r="F197" s="587"/>
      <c r="G197" s="584"/>
      <c r="H197" s="584"/>
      <c r="I197" s="584"/>
      <c r="J197" s="583"/>
      <c r="K197" s="583"/>
      <c r="L197" s="583"/>
      <c r="M197" s="583"/>
      <c r="N197" s="583">
        <f t="shared" si="145"/>
        <v>4614422.4107999997</v>
      </c>
      <c r="O197" s="583"/>
      <c r="P197" s="583"/>
      <c r="Q197" s="583"/>
      <c r="R197" s="585">
        <f t="shared" si="146"/>
        <v>8.8164353743957896E-2</v>
      </c>
      <c r="S197" s="585"/>
      <c r="T197" s="585"/>
      <c r="U197" s="585"/>
      <c r="V197" s="585">
        <f t="shared" si="147"/>
        <v>1.7781917390747509E-2</v>
      </c>
      <c r="W197" s="585"/>
      <c r="X197" s="585"/>
      <c r="Y197" s="585"/>
      <c r="Z197" s="585"/>
      <c r="AA197" s="585"/>
      <c r="AB197" s="585"/>
      <c r="AC197" s="585"/>
      <c r="AD197" s="585"/>
      <c r="AE197" s="585"/>
      <c r="AF197" s="585"/>
      <c r="AG197" s="585"/>
      <c r="AH197" s="585"/>
      <c r="AI197" s="585"/>
      <c r="AJ197" s="585"/>
      <c r="AK197" s="585"/>
      <c r="AL197" s="585"/>
      <c r="AM197" s="585"/>
      <c r="AN197" s="585"/>
      <c r="AO197" s="585"/>
      <c r="AP197" s="585"/>
      <c r="AQ197" s="585"/>
      <c r="AR197" s="585"/>
      <c r="AS197" s="585"/>
      <c r="AT197" s="585"/>
      <c r="AU197" s="585"/>
      <c r="AV197" s="585"/>
      <c r="AW197" s="585"/>
      <c r="AX197" s="585"/>
      <c r="AY197" s="585"/>
      <c r="AZ197" s="585"/>
      <c r="BA197" s="585"/>
    </row>
    <row r="198" spans="1:53" x14ac:dyDescent="0.35">
      <c r="A198" s="588" t="s">
        <v>347</v>
      </c>
      <c r="B198" s="588"/>
      <c r="C198" s="588"/>
      <c r="D198" s="170">
        <v>1</v>
      </c>
      <c r="E198" s="174">
        <f t="shared" si="144"/>
        <v>4614422.4107999997</v>
      </c>
      <c r="F198" s="587">
        <f>F188/F201</f>
        <v>4444587.1875166669</v>
      </c>
      <c r="G198" s="584"/>
      <c r="H198" s="584"/>
      <c r="I198" s="584"/>
      <c r="J198" s="587">
        <f>J188/J201</f>
        <v>1750056.0000000002</v>
      </c>
      <c r="K198" s="584"/>
      <c r="L198" s="584"/>
      <c r="M198" s="584"/>
      <c r="N198" s="583">
        <f t="shared" si="145"/>
        <v>10809065.598316666</v>
      </c>
      <c r="O198" s="583"/>
      <c r="P198" s="583"/>
      <c r="Q198" s="583"/>
      <c r="R198" s="585">
        <f t="shared" si="146"/>
        <v>0.20652081630437899</v>
      </c>
      <c r="S198" s="585"/>
      <c r="T198" s="585"/>
      <c r="U198" s="585"/>
      <c r="V198" s="585">
        <f t="shared" si="147"/>
        <v>4.1653297949182572E-2</v>
      </c>
      <c r="W198" s="585"/>
      <c r="X198" s="585"/>
      <c r="Y198" s="585"/>
      <c r="Z198" s="585"/>
      <c r="AA198" s="585"/>
      <c r="AB198" s="585"/>
      <c r="AC198" s="585"/>
      <c r="AD198" s="585"/>
      <c r="AE198" s="585"/>
      <c r="AF198" s="585"/>
      <c r="AG198" s="585"/>
      <c r="AH198" s="585"/>
      <c r="AI198" s="585"/>
      <c r="AJ198" s="585"/>
      <c r="AK198" s="585"/>
      <c r="AL198" s="585"/>
      <c r="AM198" s="585"/>
      <c r="AN198" s="585"/>
      <c r="AO198" s="585"/>
      <c r="AP198" s="585"/>
      <c r="AQ198" s="585"/>
      <c r="AR198" s="585"/>
      <c r="AS198" s="585"/>
      <c r="AT198" s="585"/>
      <c r="AU198" s="585"/>
      <c r="AV198" s="585"/>
      <c r="AW198" s="585"/>
      <c r="AX198" s="585"/>
      <c r="AY198" s="585"/>
      <c r="AZ198" s="585"/>
      <c r="BA198" s="585"/>
    </row>
    <row r="199" spans="1:53" x14ac:dyDescent="0.35">
      <c r="A199" s="391" t="s">
        <v>348</v>
      </c>
      <c r="B199" s="391"/>
      <c r="C199" s="391"/>
      <c r="D199" s="170">
        <v>1</v>
      </c>
      <c r="E199" s="174">
        <f t="shared" si="144"/>
        <v>4614422.4107999997</v>
      </c>
      <c r="F199" s="583"/>
      <c r="G199" s="583"/>
      <c r="H199" s="583"/>
      <c r="I199" s="583"/>
      <c r="J199" s="583"/>
      <c r="K199" s="583"/>
      <c r="L199" s="583"/>
      <c r="M199" s="583"/>
      <c r="N199" s="583">
        <f t="shared" ref="N199" si="148">SUM(E199:M199)</f>
        <v>4614422.4107999997</v>
      </c>
      <c r="O199" s="583"/>
      <c r="P199" s="583"/>
      <c r="Q199" s="583"/>
      <c r="R199" s="585">
        <f t="shared" ref="R199" si="149">N199/$N$201</f>
        <v>8.8164353743957896E-2</v>
      </c>
      <c r="S199" s="585"/>
      <c r="T199" s="585"/>
      <c r="U199" s="585"/>
      <c r="V199" s="585">
        <f t="shared" si="147"/>
        <v>1.7781917390747509E-2</v>
      </c>
      <c r="W199" s="585"/>
      <c r="X199" s="585"/>
      <c r="Y199" s="585"/>
      <c r="Z199" s="583"/>
      <c r="AA199" s="583"/>
      <c r="AB199" s="583"/>
      <c r="AC199" s="583"/>
      <c r="AD199" s="583"/>
      <c r="AE199" s="583"/>
      <c r="AF199" s="583"/>
      <c r="AG199" s="583"/>
      <c r="AH199" s="583"/>
      <c r="AI199" s="583"/>
      <c r="AJ199" s="583"/>
      <c r="AK199" s="583"/>
      <c r="AL199" s="583"/>
      <c r="AM199" s="583"/>
      <c r="AN199" s="583"/>
      <c r="AO199" s="583"/>
      <c r="AP199" s="583"/>
      <c r="AQ199" s="583"/>
      <c r="AR199" s="583"/>
      <c r="AS199" s="583"/>
      <c r="AT199" s="583"/>
      <c r="AU199" s="583"/>
      <c r="AV199" s="583"/>
      <c r="AW199" s="583"/>
      <c r="AX199" s="583"/>
      <c r="AY199" s="583"/>
      <c r="AZ199" s="583"/>
      <c r="BA199" s="583"/>
    </row>
    <row r="200" spans="1:53" x14ac:dyDescent="0.35">
      <c r="D200" s="173">
        <f>SUM(D190:D199)</f>
        <v>10</v>
      </c>
      <c r="E200" s="161">
        <f>SUM(E190:E199)</f>
        <v>46144224.108000003</v>
      </c>
      <c r="F200" s="587">
        <f>SUM(F190:I199)</f>
        <v>4444587.1875166669</v>
      </c>
      <c r="G200" s="587"/>
      <c r="H200" s="587"/>
      <c r="I200" s="587"/>
      <c r="J200" s="587">
        <f>SUM(J190:M199)</f>
        <v>1750056.0000000002</v>
      </c>
      <c r="K200" s="587"/>
      <c r="L200" s="587"/>
      <c r="M200" s="587"/>
      <c r="N200" s="585"/>
      <c r="O200" s="585"/>
      <c r="P200" s="585"/>
      <c r="Q200" s="585"/>
      <c r="R200" s="585"/>
      <c r="S200" s="585"/>
      <c r="T200" s="585"/>
      <c r="U200" s="585"/>
      <c r="V200" s="585"/>
      <c r="W200" s="585"/>
      <c r="X200" s="585"/>
      <c r="Y200" s="585"/>
      <c r="Z200" s="585"/>
      <c r="AA200" s="585"/>
      <c r="AB200" s="585"/>
      <c r="AC200" s="585"/>
      <c r="AD200" s="585"/>
      <c r="AE200" s="585"/>
      <c r="AF200" s="585"/>
      <c r="AG200" s="585"/>
      <c r="AH200" s="585"/>
      <c r="AI200" s="585"/>
      <c r="AJ200" s="585"/>
      <c r="AK200" s="585"/>
      <c r="AL200" s="585"/>
      <c r="AM200" s="585"/>
      <c r="AN200" s="585"/>
      <c r="AO200" s="585"/>
      <c r="AP200" s="585"/>
      <c r="AQ200" s="585"/>
      <c r="AR200" s="585"/>
      <c r="AS200" s="585"/>
      <c r="AT200" s="585"/>
      <c r="AU200" s="585"/>
      <c r="AV200" s="585"/>
      <c r="AW200" s="585"/>
      <c r="AX200" s="585"/>
      <c r="AY200" s="585"/>
      <c r="AZ200" s="585"/>
      <c r="BA200" s="585"/>
    </row>
    <row r="201" spans="1:53" x14ac:dyDescent="0.35">
      <c r="E201" s="389"/>
      <c r="F201" s="600">
        <v>1</v>
      </c>
      <c r="G201" s="600"/>
      <c r="H201" s="600"/>
      <c r="I201" s="600"/>
      <c r="J201" s="600">
        <v>1</v>
      </c>
      <c r="K201" s="600"/>
      <c r="L201" s="600"/>
      <c r="M201" s="600"/>
      <c r="N201" s="603">
        <f>SUM(N190:Q199)</f>
        <v>52338867.295516662</v>
      </c>
      <c r="O201" s="603"/>
      <c r="P201" s="603"/>
      <c r="Q201" s="603"/>
      <c r="R201" s="585">
        <f>N201/$N$201</f>
        <v>1</v>
      </c>
      <c r="S201" s="585"/>
      <c r="T201" s="585"/>
      <c r="U201" s="585"/>
      <c r="V201" s="585">
        <f>SUM(V190:Y199)</f>
        <v>0.20169055446591014</v>
      </c>
      <c r="W201" s="585"/>
      <c r="X201" s="585"/>
      <c r="Y201" s="585"/>
      <c r="Z201" s="601" t="str">
        <f>IF(ABS(V201-E133)&lt;0.001,"OK"," ERROR")</f>
        <v>OK</v>
      </c>
      <c r="AA201" s="601"/>
      <c r="AB201" s="601"/>
      <c r="AC201" s="601"/>
      <c r="AD201" s="585"/>
      <c r="AE201" s="585"/>
      <c r="AF201" s="585"/>
      <c r="AG201" s="585"/>
      <c r="AH201" s="585"/>
      <c r="AI201" s="585"/>
      <c r="AJ201" s="585"/>
      <c r="AK201" s="585"/>
      <c r="AL201" s="585"/>
      <c r="AM201" s="585"/>
      <c r="AN201" s="585"/>
      <c r="AO201" s="585"/>
      <c r="AP201" s="585"/>
      <c r="AQ201" s="585"/>
      <c r="AR201" s="585"/>
      <c r="AS201" s="585"/>
      <c r="AT201" s="585"/>
      <c r="AU201" s="585"/>
      <c r="AV201" s="585"/>
      <c r="AW201" s="585"/>
      <c r="AX201" s="585"/>
      <c r="AY201" s="585"/>
      <c r="AZ201" s="585"/>
      <c r="BA201" s="585"/>
    </row>
    <row r="202" spans="1:53" x14ac:dyDescent="0.35">
      <c r="E202" s="178"/>
      <c r="F202" s="598"/>
      <c r="G202" s="598"/>
      <c r="H202" s="598"/>
      <c r="I202" s="598"/>
      <c r="J202" s="598"/>
      <c r="K202" s="598"/>
      <c r="L202" s="598"/>
      <c r="M202" s="598"/>
      <c r="N202" s="598"/>
      <c r="O202" s="598"/>
      <c r="P202" s="598"/>
      <c r="Q202" s="598"/>
      <c r="R202" s="598"/>
      <c r="S202" s="598"/>
      <c r="T202" s="598"/>
      <c r="U202" s="598"/>
      <c r="V202" s="598"/>
      <c r="W202" s="598"/>
      <c r="X202" s="598"/>
      <c r="Y202" s="598"/>
      <c r="Z202" s="602" t="s">
        <v>146</v>
      </c>
      <c r="AA202" s="602"/>
      <c r="AB202" s="602"/>
      <c r="AC202" s="602"/>
      <c r="AD202" s="585"/>
      <c r="AE202" s="585"/>
      <c r="AF202" s="585"/>
      <c r="AG202" s="585"/>
      <c r="AH202" s="585"/>
      <c r="AI202" s="585"/>
      <c r="AJ202" s="585"/>
      <c r="AK202" s="585"/>
      <c r="AL202" s="585"/>
      <c r="AM202" s="585"/>
      <c r="AN202" s="585"/>
      <c r="AO202" s="585"/>
      <c r="AP202" s="585"/>
      <c r="AQ202" s="585"/>
      <c r="AR202" s="585"/>
      <c r="AS202" s="585"/>
      <c r="AT202" s="585"/>
      <c r="AU202" s="585"/>
      <c r="AV202" s="585"/>
      <c r="AW202" s="585"/>
      <c r="AX202" s="585"/>
      <c r="AY202" s="585"/>
      <c r="AZ202" s="585"/>
      <c r="BA202" s="585"/>
    </row>
    <row r="203" spans="1:53" x14ac:dyDescent="0.35">
      <c r="D203" s="143"/>
      <c r="E203" s="143"/>
      <c r="F203" s="598"/>
      <c r="G203" s="598"/>
      <c r="H203" s="598"/>
      <c r="I203" s="598"/>
      <c r="J203" s="598"/>
      <c r="K203" s="598"/>
      <c r="L203" s="598"/>
      <c r="M203" s="598"/>
      <c r="N203" s="598"/>
      <c r="O203" s="598"/>
      <c r="P203" s="598"/>
      <c r="Q203" s="598"/>
      <c r="R203" s="598"/>
      <c r="S203" s="598"/>
      <c r="T203" s="598"/>
      <c r="U203" s="598"/>
      <c r="V203" s="598"/>
      <c r="W203" s="598"/>
      <c r="X203" s="598"/>
      <c r="Y203" s="598"/>
      <c r="Z203" s="598"/>
      <c r="AA203" s="598"/>
      <c r="AB203" s="598"/>
      <c r="AC203" s="598"/>
      <c r="AD203" s="598"/>
      <c r="AE203" s="598"/>
      <c r="AF203" s="598"/>
      <c r="AG203" s="598"/>
      <c r="AH203" s="598"/>
      <c r="AI203" s="598"/>
      <c r="AJ203" s="598"/>
      <c r="AK203" s="598"/>
      <c r="AL203" s="598"/>
      <c r="AM203" s="598"/>
      <c r="AN203" s="598"/>
      <c r="AO203" s="598"/>
      <c r="AP203" s="598"/>
      <c r="AQ203" s="598"/>
      <c r="AR203" s="598"/>
      <c r="AS203" s="598"/>
      <c r="AT203" s="598"/>
      <c r="AU203" s="598"/>
      <c r="AV203" s="598"/>
      <c r="AW203" s="598"/>
      <c r="AX203" s="598"/>
      <c r="AY203" s="598"/>
      <c r="AZ203" s="598"/>
      <c r="BA203" s="598"/>
    </row>
    <row r="204" spans="1:53" x14ac:dyDescent="0.35">
      <c r="D204" s="143"/>
      <c r="E204" s="143"/>
      <c r="F204" s="598"/>
      <c r="G204" s="598"/>
      <c r="H204" s="598"/>
      <c r="I204" s="598"/>
      <c r="J204" s="598"/>
      <c r="K204" s="598"/>
      <c r="L204" s="598"/>
      <c r="M204" s="598"/>
      <c r="N204" s="598"/>
      <c r="O204" s="598"/>
      <c r="P204" s="598"/>
      <c r="Q204" s="598"/>
      <c r="R204" s="598"/>
      <c r="S204" s="598"/>
      <c r="T204" s="598"/>
      <c r="U204" s="598"/>
      <c r="V204" s="598"/>
      <c r="W204" s="598"/>
      <c r="X204" s="598"/>
      <c r="Y204" s="598"/>
      <c r="Z204" s="598"/>
      <c r="AA204" s="598"/>
      <c r="AB204" s="598"/>
      <c r="AC204" s="598"/>
      <c r="AD204" s="598"/>
      <c r="AE204" s="598"/>
      <c r="AF204" s="598"/>
      <c r="AG204" s="598"/>
      <c r="AH204" s="598"/>
      <c r="AI204" s="598"/>
      <c r="AJ204" s="598"/>
      <c r="AK204" s="598"/>
      <c r="AL204" s="598"/>
      <c r="AM204" s="598"/>
      <c r="AN204" s="598"/>
      <c r="AO204" s="598"/>
      <c r="AP204" s="598"/>
      <c r="AQ204" s="598"/>
      <c r="AR204" s="598"/>
      <c r="AS204" s="598"/>
      <c r="AT204" s="598"/>
      <c r="AU204" s="598"/>
      <c r="AV204" s="598"/>
      <c r="AW204" s="598"/>
      <c r="AX204" s="598"/>
      <c r="AY204" s="598"/>
      <c r="AZ204" s="598"/>
      <c r="BA204" s="598"/>
    </row>
    <row r="205" spans="1:53" x14ac:dyDescent="0.35">
      <c r="F205" s="598"/>
      <c r="G205" s="598"/>
      <c r="H205" s="598"/>
      <c r="I205" s="598"/>
      <c r="J205" s="598"/>
      <c r="K205" s="598"/>
      <c r="L205" s="598"/>
      <c r="M205" s="598"/>
      <c r="N205" s="598"/>
      <c r="O205" s="598"/>
      <c r="P205" s="598"/>
      <c r="Q205" s="598"/>
      <c r="R205" s="598"/>
      <c r="S205" s="598"/>
      <c r="T205" s="598"/>
      <c r="U205" s="598"/>
      <c r="V205" s="598"/>
      <c r="W205" s="598"/>
      <c r="X205" s="598"/>
      <c r="Y205" s="598"/>
      <c r="Z205" s="598"/>
      <c r="AA205" s="598"/>
      <c r="AB205" s="598"/>
      <c r="AC205" s="598"/>
      <c r="AD205" s="598"/>
      <c r="AE205" s="598"/>
      <c r="AF205" s="598"/>
      <c r="AG205" s="598"/>
      <c r="AH205" s="598"/>
      <c r="AI205" s="598"/>
      <c r="AJ205" s="598"/>
      <c r="AK205" s="598"/>
      <c r="AL205" s="598"/>
      <c r="AM205" s="598"/>
      <c r="AN205" s="598"/>
      <c r="AO205" s="598"/>
      <c r="AP205" s="598"/>
      <c r="AQ205" s="598"/>
      <c r="AR205" s="598"/>
      <c r="AS205" s="598"/>
      <c r="AT205" s="598"/>
      <c r="AU205" s="598"/>
      <c r="AV205" s="598"/>
      <c r="AW205" s="598"/>
      <c r="AX205" s="598"/>
      <c r="AY205" s="598"/>
      <c r="AZ205" s="598"/>
      <c r="BA205" s="598"/>
    </row>
    <row r="206" spans="1:53" x14ac:dyDescent="0.35">
      <c r="F206" s="598"/>
      <c r="G206" s="598"/>
      <c r="H206" s="598"/>
      <c r="I206" s="598"/>
      <c r="J206" s="598"/>
      <c r="K206" s="598"/>
      <c r="L206" s="598"/>
      <c r="M206" s="598"/>
      <c r="N206" s="598"/>
      <c r="O206" s="598"/>
      <c r="P206" s="598"/>
      <c r="Q206" s="598"/>
      <c r="R206" s="598"/>
      <c r="S206" s="598"/>
      <c r="T206" s="598"/>
      <c r="U206" s="598"/>
      <c r="V206" s="598"/>
      <c r="W206" s="598"/>
      <c r="X206" s="598"/>
      <c r="Y206" s="598"/>
      <c r="Z206" s="598"/>
      <c r="AA206" s="598"/>
      <c r="AB206" s="598"/>
      <c r="AC206" s="598"/>
      <c r="AD206" s="598"/>
      <c r="AE206" s="598"/>
      <c r="AF206" s="598"/>
      <c r="AG206" s="598"/>
      <c r="AH206" s="598"/>
      <c r="AI206" s="598"/>
      <c r="AJ206" s="598"/>
      <c r="AK206" s="598"/>
      <c r="AL206" s="598"/>
      <c r="AM206" s="598"/>
      <c r="AN206" s="598"/>
      <c r="AO206" s="598"/>
      <c r="AP206" s="598"/>
      <c r="AQ206" s="598"/>
      <c r="AR206" s="598"/>
      <c r="AS206" s="598"/>
      <c r="AT206" s="598"/>
      <c r="AU206" s="598"/>
      <c r="AV206" s="598"/>
      <c r="AW206" s="598"/>
      <c r="AX206" s="598"/>
      <c r="AY206" s="598"/>
      <c r="AZ206" s="598"/>
      <c r="BA206" s="598"/>
    </row>
    <row r="207" spans="1:53" x14ac:dyDescent="0.35">
      <c r="F207" s="598"/>
      <c r="G207" s="598"/>
      <c r="H207" s="598"/>
      <c r="I207" s="598"/>
      <c r="J207" s="598"/>
      <c r="K207" s="598"/>
      <c r="L207" s="598"/>
      <c r="M207" s="598"/>
      <c r="N207" s="598"/>
      <c r="O207" s="598"/>
      <c r="P207" s="598"/>
      <c r="Q207" s="598"/>
      <c r="R207" s="598"/>
      <c r="S207" s="598"/>
      <c r="T207" s="598"/>
      <c r="U207" s="598"/>
      <c r="V207" s="598"/>
      <c r="W207" s="598"/>
      <c r="X207" s="598"/>
      <c r="Y207" s="598"/>
      <c r="Z207" s="598"/>
      <c r="AA207" s="598"/>
      <c r="AB207" s="598"/>
      <c r="AC207" s="598"/>
      <c r="AD207" s="598"/>
      <c r="AE207" s="598"/>
      <c r="AF207" s="598"/>
      <c r="AG207" s="598"/>
      <c r="AH207" s="598"/>
      <c r="AI207" s="598"/>
      <c r="AJ207" s="598"/>
      <c r="AK207" s="598"/>
      <c r="AL207" s="598"/>
      <c r="AM207" s="598"/>
      <c r="AN207" s="598"/>
      <c r="AO207" s="598"/>
      <c r="AP207" s="598"/>
      <c r="AQ207" s="598"/>
      <c r="AR207" s="598"/>
      <c r="AS207" s="598"/>
      <c r="AT207" s="598"/>
      <c r="AU207" s="598"/>
      <c r="AV207" s="598"/>
      <c r="AW207" s="598"/>
      <c r="AX207" s="598"/>
      <c r="AY207" s="598"/>
      <c r="AZ207" s="598"/>
      <c r="BA207" s="598"/>
    </row>
    <row r="208" spans="1:53" x14ac:dyDescent="0.35">
      <c r="F208" s="598"/>
      <c r="G208" s="598"/>
      <c r="H208" s="598"/>
      <c r="I208" s="598"/>
      <c r="J208" s="598"/>
      <c r="K208" s="598"/>
      <c r="L208" s="598"/>
      <c r="M208" s="598"/>
      <c r="N208" s="598"/>
      <c r="O208" s="598"/>
      <c r="P208" s="598"/>
      <c r="Q208" s="598"/>
      <c r="R208" s="598"/>
      <c r="S208" s="598"/>
      <c r="T208" s="598"/>
      <c r="U208" s="598"/>
      <c r="V208" s="598"/>
      <c r="W208" s="598"/>
      <c r="X208" s="598"/>
      <c r="Y208" s="598"/>
      <c r="Z208" s="598"/>
      <c r="AA208" s="598"/>
      <c r="AB208" s="598"/>
      <c r="AC208" s="598"/>
      <c r="AD208" s="598"/>
      <c r="AE208" s="598"/>
      <c r="AF208" s="598"/>
      <c r="AG208" s="598"/>
      <c r="AH208" s="598"/>
      <c r="AI208" s="598"/>
      <c r="AJ208" s="598"/>
      <c r="AK208" s="598"/>
      <c r="AL208" s="598"/>
      <c r="AM208" s="598"/>
      <c r="AN208" s="598"/>
      <c r="AO208" s="598"/>
      <c r="AP208" s="598"/>
      <c r="AQ208" s="598"/>
      <c r="AR208" s="598"/>
      <c r="AS208" s="598"/>
      <c r="AT208" s="598"/>
      <c r="AU208" s="598"/>
      <c r="AV208" s="598"/>
      <c r="AW208" s="598"/>
      <c r="AX208" s="598"/>
      <c r="AY208" s="598"/>
      <c r="AZ208" s="598"/>
      <c r="BA208" s="598"/>
    </row>
    <row r="209" spans="6:53" x14ac:dyDescent="0.35">
      <c r="F209" s="598"/>
      <c r="G209" s="598"/>
      <c r="H209" s="598"/>
      <c r="I209" s="598"/>
      <c r="J209" s="598"/>
      <c r="K209" s="598"/>
      <c r="L209" s="598"/>
      <c r="M209" s="598"/>
      <c r="N209" s="598"/>
      <c r="O209" s="598"/>
      <c r="P209" s="598"/>
      <c r="Q209" s="598"/>
      <c r="R209" s="598"/>
      <c r="S209" s="598"/>
      <c r="T209" s="598"/>
      <c r="U209" s="598"/>
      <c r="V209" s="598"/>
      <c r="W209" s="598"/>
      <c r="X209" s="598"/>
      <c r="Y209" s="598"/>
      <c r="Z209" s="598"/>
      <c r="AA209" s="598"/>
      <c r="AB209" s="598"/>
      <c r="AC209" s="598"/>
      <c r="AD209" s="598"/>
      <c r="AE209" s="598"/>
      <c r="AF209" s="598"/>
      <c r="AG209" s="598"/>
      <c r="AH209" s="598"/>
      <c r="AI209" s="598"/>
      <c r="AJ209" s="598"/>
      <c r="AK209" s="598"/>
      <c r="AL209" s="598"/>
      <c r="AM209" s="598"/>
      <c r="AN209" s="598"/>
      <c r="AO209" s="598"/>
      <c r="AP209" s="598"/>
      <c r="AQ209" s="598"/>
      <c r="AR209" s="598"/>
      <c r="AS209" s="598"/>
      <c r="AT209" s="598"/>
      <c r="AU209" s="598"/>
      <c r="AV209" s="598"/>
      <c r="AW209" s="598"/>
      <c r="AX209" s="598"/>
      <c r="AY209" s="598"/>
      <c r="AZ209" s="598"/>
      <c r="BA209" s="598"/>
    </row>
    <row r="210" spans="6:53" x14ac:dyDescent="0.35">
      <c r="F210" s="598"/>
      <c r="G210" s="598"/>
      <c r="H210" s="598"/>
      <c r="I210" s="598"/>
      <c r="J210" s="598"/>
      <c r="K210" s="598"/>
      <c r="L210" s="598"/>
      <c r="M210" s="598"/>
      <c r="N210" s="598"/>
      <c r="O210" s="598"/>
      <c r="P210" s="598"/>
      <c r="Q210" s="598"/>
      <c r="R210" s="598"/>
      <c r="S210" s="598"/>
      <c r="T210" s="598"/>
      <c r="U210" s="598"/>
      <c r="V210" s="598"/>
      <c r="W210" s="598"/>
      <c r="X210" s="598"/>
      <c r="Y210" s="598"/>
      <c r="Z210" s="598"/>
      <c r="AA210" s="598"/>
      <c r="AB210" s="598"/>
      <c r="AC210" s="598"/>
      <c r="AD210" s="598"/>
      <c r="AE210" s="598"/>
      <c r="AF210" s="598"/>
      <c r="AG210" s="598"/>
      <c r="AH210" s="598"/>
      <c r="AI210" s="598"/>
      <c r="AJ210" s="598"/>
      <c r="AK210" s="598"/>
      <c r="AL210" s="598"/>
      <c r="AM210" s="598"/>
      <c r="AN210" s="598"/>
      <c r="AO210" s="598"/>
      <c r="AP210" s="598"/>
      <c r="AQ210" s="598"/>
      <c r="AR210" s="598"/>
      <c r="AS210" s="598"/>
      <c r="AT210" s="598"/>
      <c r="AU210" s="598"/>
      <c r="AV210" s="598"/>
      <c r="AW210" s="598"/>
      <c r="AX210" s="598"/>
      <c r="AY210" s="598"/>
      <c r="AZ210" s="598"/>
      <c r="BA210" s="598"/>
    </row>
    <row r="211" spans="6:53" x14ac:dyDescent="0.35">
      <c r="F211" s="598"/>
      <c r="G211" s="598"/>
      <c r="H211" s="598"/>
      <c r="I211" s="598"/>
      <c r="J211" s="598"/>
      <c r="K211" s="598"/>
      <c r="L211" s="598"/>
      <c r="M211" s="598"/>
      <c r="N211" s="598"/>
      <c r="O211" s="598"/>
      <c r="P211" s="598"/>
      <c r="Q211" s="598"/>
      <c r="R211" s="598"/>
      <c r="S211" s="598"/>
      <c r="T211" s="598"/>
      <c r="U211" s="598"/>
      <c r="V211" s="598"/>
      <c r="W211" s="598"/>
      <c r="X211" s="598"/>
      <c r="Y211" s="598"/>
      <c r="Z211" s="598"/>
      <c r="AA211" s="598"/>
      <c r="AB211" s="598"/>
      <c r="AC211" s="598"/>
      <c r="AD211" s="598"/>
      <c r="AE211" s="598"/>
      <c r="AF211" s="598"/>
      <c r="AG211" s="598"/>
      <c r="AH211" s="598"/>
      <c r="AI211" s="598"/>
      <c r="AJ211" s="598"/>
      <c r="AK211" s="598"/>
      <c r="AL211" s="598"/>
      <c r="AM211" s="598"/>
      <c r="AN211" s="598"/>
      <c r="AO211" s="598"/>
      <c r="AP211" s="598"/>
      <c r="AQ211" s="598"/>
      <c r="AR211" s="598"/>
      <c r="AS211" s="598"/>
      <c r="AT211" s="598"/>
      <c r="AU211" s="598"/>
      <c r="AV211" s="598"/>
      <c r="AW211" s="598"/>
      <c r="AX211" s="598"/>
      <c r="AY211" s="598"/>
      <c r="AZ211" s="598"/>
      <c r="BA211" s="598"/>
    </row>
    <row r="212" spans="6:53" x14ac:dyDescent="0.35">
      <c r="F212" s="598"/>
      <c r="G212" s="598"/>
      <c r="H212" s="598"/>
      <c r="I212" s="598"/>
      <c r="J212" s="598"/>
      <c r="K212" s="598"/>
      <c r="L212" s="598"/>
      <c r="M212" s="598"/>
      <c r="N212" s="598"/>
      <c r="O212" s="598"/>
      <c r="P212" s="598"/>
      <c r="Q212" s="598"/>
      <c r="R212" s="598"/>
      <c r="S212" s="598"/>
      <c r="T212" s="598"/>
      <c r="U212" s="598"/>
      <c r="V212" s="598"/>
      <c r="W212" s="598"/>
      <c r="X212" s="598"/>
      <c r="Y212" s="598"/>
      <c r="Z212" s="598"/>
      <c r="AA212" s="598"/>
      <c r="AB212" s="598"/>
      <c r="AC212" s="598"/>
      <c r="AD212" s="598"/>
      <c r="AE212" s="598"/>
      <c r="AF212" s="598"/>
      <c r="AG212" s="598"/>
      <c r="AH212" s="598"/>
      <c r="AI212" s="598"/>
      <c r="AJ212" s="598"/>
      <c r="AK212" s="598"/>
      <c r="AL212" s="598"/>
      <c r="AM212" s="598"/>
      <c r="AN212" s="598"/>
      <c r="AO212" s="598"/>
      <c r="AP212" s="598"/>
      <c r="AQ212" s="598"/>
      <c r="AR212" s="598"/>
      <c r="AS212" s="598"/>
      <c r="AT212" s="598"/>
      <c r="AU212" s="598"/>
      <c r="AV212" s="598"/>
      <c r="AW212" s="598"/>
      <c r="AX212" s="598"/>
      <c r="AY212" s="598"/>
      <c r="AZ212" s="598"/>
      <c r="BA212" s="598"/>
    </row>
    <row r="213" spans="6:53" x14ac:dyDescent="0.35">
      <c r="F213" s="598"/>
      <c r="G213" s="598"/>
      <c r="H213" s="598"/>
      <c r="I213" s="598"/>
      <c r="J213" s="598"/>
      <c r="K213" s="598"/>
      <c r="L213" s="598"/>
      <c r="M213" s="598"/>
      <c r="N213" s="598"/>
      <c r="O213" s="598"/>
      <c r="P213" s="598"/>
      <c r="Q213" s="598"/>
      <c r="R213" s="598"/>
      <c r="S213" s="598"/>
      <c r="T213" s="598"/>
      <c r="U213" s="598"/>
      <c r="V213" s="598"/>
      <c r="W213" s="598"/>
      <c r="X213" s="598"/>
      <c r="Y213" s="598"/>
      <c r="Z213" s="598"/>
      <c r="AA213" s="598"/>
      <c r="AB213" s="598"/>
      <c r="AC213" s="598"/>
      <c r="AD213" s="598"/>
      <c r="AE213" s="598"/>
      <c r="AF213" s="598"/>
      <c r="AG213" s="598"/>
      <c r="AH213" s="598"/>
      <c r="AI213" s="598"/>
      <c r="AJ213" s="598"/>
      <c r="AK213" s="598"/>
      <c r="AL213" s="598"/>
      <c r="AM213" s="598"/>
      <c r="AN213" s="598"/>
      <c r="AO213" s="598"/>
      <c r="AP213" s="598"/>
      <c r="AQ213" s="598"/>
      <c r="AR213" s="598"/>
      <c r="AS213" s="598"/>
      <c r="AT213" s="598"/>
      <c r="AU213" s="598"/>
      <c r="AV213" s="598"/>
      <c r="AW213" s="598"/>
      <c r="AX213" s="598"/>
      <c r="AY213" s="598"/>
      <c r="AZ213" s="598"/>
      <c r="BA213" s="598"/>
    </row>
    <row r="214" spans="6:53" x14ac:dyDescent="0.35">
      <c r="F214" s="598"/>
      <c r="G214" s="598"/>
      <c r="H214" s="598"/>
      <c r="I214" s="598"/>
      <c r="J214" s="598"/>
      <c r="K214" s="598"/>
      <c r="L214" s="598"/>
      <c r="M214" s="598"/>
      <c r="N214" s="598"/>
      <c r="O214" s="598"/>
      <c r="P214" s="598"/>
      <c r="Q214" s="598"/>
      <c r="R214" s="598"/>
      <c r="S214" s="598"/>
      <c r="T214" s="598"/>
      <c r="U214" s="598"/>
      <c r="V214" s="598"/>
      <c r="W214" s="598"/>
      <c r="X214" s="598"/>
      <c r="Y214" s="598"/>
      <c r="Z214" s="598"/>
      <c r="AA214" s="598"/>
      <c r="AB214" s="598"/>
      <c r="AC214" s="598"/>
      <c r="AD214" s="598"/>
      <c r="AE214" s="598"/>
      <c r="AF214" s="598"/>
      <c r="AG214" s="598"/>
      <c r="AH214" s="598"/>
      <c r="AI214" s="598"/>
      <c r="AJ214" s="598"/>
      <c r="AK214" s="598"/>
      <c r="AL214" s="598"/>
      <c r="AM214" s="598"/>
      <c r="AN214" s="598"/>
      <c r="AO214" s="598"/>
      <c r="AP214" s="598"/>
      <c r="AQ214" s="598"/>
      <c r="AR214" s="598"/>
      <c r="AS214" s="598"/>
      <c r="AT214" s="598"/>
      <c r="AU214" s="598"/>
      <c r="AV214" s="598"/>
      <c r="AW214" s="598"/>
      <c r="AX214" s="598"/>
      <c r="AY214" s="598"/>
      <c r="AZ214" s="598"/>
      <c r="BA214" s="598"/>
    </row>
    <row r="215" spans="6:53" x14ac:dyDescent="0.35">
      <c r="F215" s="598"/>
      <c r="G215" s="598"/>
      <c r="H215" s="598"/>
      <c r="I215" s="598"/>
      <c r="J215" s="598"/>
      <c r="K215" s="598"/>
      <c r="L215" s="598"/>
      <c r="M215" s="598"/>
      <c r="N215" s="598"/>
      <c r="O215" s="598"/>
      <c r="P215" s="598"/>
      <c r="Q215" s="598"/>
      <c r="R215" s="598"/>
      <c r="S215" s="598"/>
      <c r="T215" s="598"/>
      <c r="U215" s="598"/>
      <c r="V215" s="598"/>
      <c r="W215" s="598"/>
      <c r="X215" s="598"/>
      <c r="Y215" s="598"/>
      <c r="Z215" s="598"/>
      <c r="AA215" s="598"/>
      <c r="AB215" s="598"/>
      <c r="AC215" s="598"/>
      <c r="AD215" s="598"/>
      <c r="AE215" s="598"/>
      <c r="AF215" s="598"/>
      <c r="AG215" s="598"/>
      <c r="AH215" s="598"/>
      <c r="AI215" s="598"/>
      <c r="AJ215" s="598"/>
      <c r="AK215" s="598"/>
      <c r="AL215" s="598"/>
      <c r="AM215" s="598"/>
      <c r="AN215" s="598"/>
      <c r="AO215" s="598"/>
      <c r="AP215" s="598"/>
      <c r="AQ215" s="598"/>
      <c r="AR215" s="598"/>
      <c r="AS215" s="598"/>
      <c r="AT215" s="598"/>
      <c r="AU215" s="598"/>
      <c r="AV215" s="598"/>
      <c r="AW215" s="598"/>
      <c r="AX215" s="598"/>
      <c r="AY215" s="598"/>
      <c r="AZ215" s="598"/>
      <c r="BA215" s="598"/>
    </row>
    <row r="216" spans="6:53" x14ac:dyDescent="0.35">
      <c r="F216" s="598"/>
      <c r="G216" s="598"/>
      <c r="H216" s="598"/>
      <c r="I216" s="598"/>
      <c r="J216" s="598"/>
      <c r="K216" s="598"/>
      <c r="L216" s="598"/>
      <c r="M216" s="598"/>
      <c r="N216" s="598"/>
      <c r="O216" s="598"/>
      <c r="P216" s="598"/>
      <c r="Q216" s="598"/>
      <c r="R216" s="598"/>
      <c r="S216" s="598"/>
      <c r="T216" s="598"/>
      <c r="U216" s="598"/>
      <c r="V216" s="598"/>
      <c r="W216" s="598"/>
      <c r="X216" s="598"/>
      <c r="Y216" s="598"/>
      <c r="Z216" s="598"/>
      <c r="AA216" s="598"/>
      <c r="AB216" s="598"/>
      <c r="AC216" s="598"/>
      <c r="AD216" s="598"/>
      <c r="AE216" s="598"/>
      <c r="AF216" s="598"/>
      <c r="AG216" s="598"/>
      <c r="AH216" s="598"/>
      <c r="AI216" s="598"/>
      <c r="AJ216" s="598"/>
      <c r="AK216" s="598"/>
      <c r="AL216" s="598"/>
      <c r="AM216" s="598"/>
      <c r="AN216" s="598"/>
      <c r="AO216" s="598"/>
      <c r="AP216" s="598"/>
      <c r="AQ216" s="598"/>
      <c r="AR216" s="598"/>
      <c r="AS216" s="598"/>
      <c r="AT216" s="598"/>
      <c r="AU216" s="598"/>
      <c r="AV216" s="598"/>
      <c r="AW216" s="598"/>
      <c r="AX216" s="598"/>
      <c r="AY216" s="598"/>
      <c r="AZ216" s="598"/>
      <c r="BA216" s="598"/>
    </row>
    <row r="217" spans="6:53" x14ac:dyDescent="0.35">
      <c r="F217" s="598"/>
      <c r="G217" s="598"/>
      <c r="H217" s="598"/>
      <c r="I217" s="598"/>
      <c r="J217" s="598"/>
      <c r="K217" s="598"/>
      <c r="L217" s="598"/>
      <c r="M217" s="598"/>
      <c r="N217" s="598"/>
      <c r="O217" s="598"/>
      <c r="P217" s="598"/>
      <c r="Q217" s="598"/>
      <c r="R217" s="598"/>
      <c r="S217" s="598"/>
      <c r="T217" s="598"/>
      <c r="U217" s="598"/>
      <c r="V217" s="598"/>
      <c r="W217" s="598"/>
      <c r="X217" s="598"/>
      <c r="Y217" s="598"/>
      <c r="Z217" s="598"/>
      <c r="AA217" s="598"/>
      <c r="AB217" s="598"/>
      <c r="AC217" s="598"/>
      <c r="AD217" s="598"/>
      <c r="AE217" s="598"/>
      <c r="AF217" s="598"/>
      <c r="AG217" s="598"/>
      <c r="AH217" s="598"/>
      <c r="AI217" s="598"/>
      <c r="AJ217" s="598"/>
      <c r="AK217" s="598"/>
      <c r="AL217" s="598"/>
      <c r="AM217" s="598"/>
      <c r="AN217" s="598"/>
      <c r="AO217" s="598"/>
      <c r="AP217" s="598"/>
      <c r="AQ217" s="598"/>
      <c r="AR217" s="598"/>
      <c r="AS217" s="598"/>
      <c r="AT217" s="598"/>
      <c r="AU217" s="598"/>
      <c r="AV217" s="598"/>
      <c r="AW217" s="598"/>
      <c r="AX217" s="598"/>
      <c r="AY217" s="598"/>
      <c r="AZ217" s="598"/>
      <c r="BA217" s="598"/>
    </row>
    <row r="218" spans="6:53" x14ac:dyDescent="0.35">
      <c r="F218" s="598"/>
      <c r="G218" s="598"/>
      <c r="H218" s="598"/>
      <c r="I218" s="598"/>
      <c r="J218" s="598"/>
      <c r="K218" s="598"/>
      <c r="L218" s="598"/>
      <c r="M218" s="598"/>
      <c r="N218" s="598"/>
      <c r="O218" s="598"/>
      <c r="P218" s="598"/>
      <c r="Q218" s="598"/>
      <c r="R218" s="598"/>
      <c r="S218" s="598"/>
      <c r="T218" s="598"/>
      <c r="U218" s="598"/>
      <c r="V218" s="598"/>
      <c r="W218" s="598"/>
      <c r="X218" s="598"/>
      <c r="Y218" s="598"/>
      <c r="Z218" s="598"/>
      <c r="AA218" s="598"/>
      <c r="AB218" s="598"/>
      <c r="AC218" s="598"/>
      <c r="AD218" s="598"/>
      <c r="AE218" s="598"/>
      <c r="AF218" s="598"/>
      <c r="AG218" s="598"/>
      <c r="AH218" s="598"/>
      <c r="AI218" s="598"/>
      <c r="AJ218" s="598"/>
      <c r="AK218" s="598"/>
      <c r="AL218" s="598"/>
      <c r="AM218" s="598"/>
      <c r="AN218" s="598"/>
      <c r="AO218" s="598"/>
      <c r="AP218" s="598"/>
      <c r="AQ218" s="598"/>
      <c r="AR218" s="598"/>
      <c r="AS218" s="598"/>
      <c r="AT218" s="598"/>
      <c r="AU218" s="598"/>
      <c r="AV218" s="598"/>
      <c r="AW218" s="598"/>
      <c r="AX218" s="598"/>
      <c r="AY218" s="598"/>
      <c r="AZ218" s="598"/>
      <c r="BA218" s="598"/>
    </row>
    <row r="219" spans="6:53" x14ac:dyDescent="0.35">
      <c r="F219" s="598"/>
      <c r="G219" s="598"/>
      <c r="H219" s="598"/>
      <c r="I219" s="598"/>
      <c r="J219" s="598"/>
      <c r="K219" s="598"/>
      <c r="L219" s="598"/>
      <c r="M219" s="598"/>
      <c r="N219" s="598"/>
      <c r="O219" s="598"/>
      <c r="P219" s="598"/>
      <c r="Q219" s="598"/>
      <c r="R219" s="598"/>
      <c r="S219" s="598"/>
      <c r="T219" s="598"/>
      <c r="U219" s="598"/>
      <c r="V219" s="598"/>
      <c r="W219" s="598"/>
      <c r="X219" s="598"/>
      <c r="Y219" s="598"/>
      <c r="Z219" s="598"/>
      <c r="AA219" s="598"/>
      <c r="AB219" s="598"/>
      <c r="AC219" s="598"/>
      <c r="AD219" s="598"/>
      <c r="AE219" s="598"/>
      <c r="AF219" s="598"/>
      <c r="AG219" s="598"/>
      <c r="AH219" s="598"/>
      <c r="AI219" s="598"/>
      <c r="AJ219" s="598"/>
      <c r="AK219" s="598"/>
      <c r="AL219" s="598"/>
      <c r="AM219" s="598"/>
      <c r="AN219" s="598"/>
      <c r="AO219" s="598"/>
      <c r="AP219" s="598"/>
      <c r="AQ219" s="598"/>
      <c r="AR219" s="598"/>
      <c r="AS219" s="598"/>
      <c r="AT219" s="598"/>
      <c r="AU219" s="598"/>
      <c r="AV219" s="598"/>
      <c r="AW219" s="598"/>
      <c r="AX219" s="598"/>
      <c r="AY219" s="598"/>
      <c r="AZ219" s="598"/>
      <c r="BA219" s="598"/>
    </row>
    <row r="220" spans="6:53" x14ac:dyDescent="0.35">
      <c r="F220" s="598"/>
      <c r="G220" s="598"/>
      <c r="H220" s="598"/>
      <c r="I220" s="598"/>
      <c r="J220" s="598"/>
      <c r="K220" s="598"/>
      <c r="L220" s="598"/>
      <c r="M220" s="598"/>
      <c r="N220" s="598"/>
      <c r="O220" s="598"/>
      <c r="P220" s="598"/>
      <c r="Q220" s="598"/>
      <c r="R220" s="598"/>
      <c r="S220" s="598"/>
      <c r="T220" s="598"/>
      <c r="U220" s="598"/>
      <c r="V220" s="598"/>
      <c r="W220" s="598"/>
      <c r="X220" s="598"/>
      <c r="Y220" s="598"/>
      <c r="Z220" s="598"/>
      <c r="AA220" s="598"/>
      <c r="AB220" s="598"/>
      <c r="AC220" s="598"/>
      <c r="AD220" s="598"/>
      <c r="AE220" s="598"/>
      <c r="AF220" s="598"/>
      <c r="AG220" s="598"/>
      <c r="AH220" s="598"/>
      <c r="AI220" s="598"/>
      <c r="AJ220" s="598"/>
      <c r="AK220" s="598"/>
      <c r="AL220" s="598"/>
      <c r="AM220" s="598"/>
      <c r="AN220" s="598"/>
      <c r="AO220" s="598"/>
      <c r="AP220" s="598"/>
      <c r="AQ220" s="598"/>
      <c r="AR220" s="598"/>
      <c r="AS220" s="598"/>
      <c r="AT220" s="598"/>
      <c r="AU220" s="598"/>
      <c r="AV220" s="598"/>
      <c r="AW220" s="598"/>
      <c r="AX220" s="598"/>
      <c r="AY220" s="598"/>
      <c r="AZ220" s="598"/>
      <c r="BA220" s="598"/>
    </row>
    <row r="221" spans="6:53" x14ac:dyDescent="0.35">
      <c r="F221" s="598"/>
      <c r="G221" s="598"/>
      <c r="H221" s="598"/>
      <c r="I221" s="598"/>
      <c r="J221" s="598"/>
      <c r="K221" s="598"/>
      <c r="L221" s="598"/>
      <c r="M221" s="598"/>
      <c r="N221" s="598"/>
      <c r="O221" s="598"/>
      <c r="P221" s="598"/>
      <c r="Q221" s="598"/>
      <c r="R221" s="598"/>
      <c r="S221" s="598"/>
      <c r="T221" s="598"/>
      <c r="U221" s="598"/>
      <c r="V221" s="598"/>
      <c r="W221" s="598"/>
      <c r="X221" s="598"/>
      <c r="Y221" s="598"/>
      <c r="Z221" s="598"/>
      <c r="AA221" s="598"/>
      <c r="AB221" s="598"/>
      <c r="AC221" s="598"/>
      <c r="AD221" s="598"/>
      <c r="AE221" s="598"/>
      <c r="AF221" s="598"/>
      <c r="AG221" s="598"/>
      <c r="AH221" s="598"/>
      <c r="AI221" s="598"/>
      <c r="AJ221" s="598"/>
      <c r="AK221" s="598"/>
      <c r="AL221" s="598"/>
      <c r="AM221" s="598"/>
      <c r="AN221" s="598"/>
      <c r="AO221" s="598"/>
      <c r="AP221" s="598"/>
      <c r="AQ221" s="598"/>
      <c r="AR221" s="598"/>
      <c r="AS221" s="598"/>
      <c r="AT221" s="598"/>
      <c r="AU221" s="598"/>
      <c r="AV221" s="598"/>
      <c r="AW221" s="598"/>
      <c r="AX221" s="598"/>
      <c r="AY221" s="598"/>
      <c r="AZ221" s="598"/>
      <c r="BA221" s="598"/>
    </row>
    <row r="222" spans="6:53" x14ac:dyDescent="0.35">
      <c r="F222" s="598"/>
      <c r="G222" s="598"/>
      <c r="H222" s="598"/>
      <c r="I222" s="598"/>
      <c r="J222" s="598"/>
      <c r="K222" s="598"/>
      <c r="L222" s="598"/>
      <c r="M222" s="598"/>
      <c r="N222" s="598"/>
      <c r="O222" s="598"/>
      <c r="P222" s="598"/>
      <c r="Q222" s="598"/>
      <c r="R222" s="598"/>
      <c r="S222" s="598"/>
      <c r="T222" s="598"/>
      <c r="U222" s="598"/>
      <c r="V222" s="598"/>
      <c r="W222" s="598"/>
      <c r="X222" s="598"/>
      <c r="Y222" s="598"/>
      <c r="Z222" s="598"/>
      <c r="AA222" s="598"/>
      <c r="AB222" s="598"/>
      <c r="AC222" s="598"/>
      <c r="AD222" s="598"/>
      <c r="AE222" s="598"/>
      <c r="AF222" s="598"/>
      <c r="AG222" s="598"/>
      <c r="AH222" s="598"/>
      <c r="AI222" s="598"/>
      <c r="AJ222" s="598"/>
      <c r="AK222" s="598"/>
      <c r="AL222" s="598"/>
      <c r="AM222" s="598"/>
      <c r="AN222" s="598"/>
      <c r="AO222" s="598"/>
      <c r="AP222" s="598"/>
      <c r="AQ222" s="598"/>
      <c r="AR222" s="598"/>
      <c r="AS222" s="598"/>
      <c r="AT222" s="598"/>
      <c r="AU222" s="598"/>
      <c r="AV222" s="598"/>
      <c r="AW222" s="598"/>
      <c r="AX222" s="598"/>
      <c r="AY222" s="598"/>
      <c r="AZ222" s="598"/>
      <c r="BA222" s="598"/>
    </row>
    <row r="223" spans="6:53" x14ac:dyDescent="0.35">
      <c r="F223" s="598"/>
      <c r="G223" s="598"/>
      <c r="H223" s="598"/>
      <c r="I223" s="598"/>
      <c r="J223" s="598"/>
      <c r="K223" s="598"/>
      <c r="L223" s="598"/>
      <c r="M223" s="598"/>
      <c r="N223" s="598"/>
      <c r="O223" s="598"/>
      <c r="P223" s="598"/>
      <c r="Q223" s="598"/>
      <c r="R223" s="598"/>
      <c r="S223" s="598"/>
      <c r="T223" s="598"/>
      <c r="U223" s="598"/>
      <c r="V223" s="598"/>
      <c r="W223" s="598"/>
      <c r="X223" s="598"/>
      <c r="Y223" s="598"/>
      <c r="Z223" s="598"/>
      <c r="AA223" s="598"/>
      <c r="AB223" s="598"/>
      <c r="AC223" s="598"/>
      <c r="AD223" s="598"/>
      <c r="AE223" s="598"/>
      <c r="AF223" s="598"/>
      <c r="AG223" s="598"/>
      <c r="AH223" s="598"/>
      <c r="AI223" s="598"/>
      <c r="AJ223" s="598"/>
      <c r="AK223" s="598"/>
      <c r="AL223" s="598"/>
      <c r="AM223" s="598"/>
      <c r="AN223" s="598"/>
      <c r="AO223" s="598"/>
      <c r="AP223" s="598"/>
      <c r="AQ223" s="598"/>
      <c r="AR223" s="598"/>
      <c r="AS223" s="598"/>
      <c r="AT223" s="598"/>
      <c r="AU223" s="598"/>
      <c r="AV223" s="598"/>
      <c r="AW223" s="598"/>
      <c r="AX223" s="598"/>
      <c r="AY223" s="598"/>
      <c r="AZ223" s="598"/>
      <c r="BA223" s="598"/>
    </row>
    <row r="224" spans="6:53" x14ac:dyDescent="0.35">
      <c r="F224" s="598"/>
      <c r="G224" s="598"/>
      <c r="H224" s="598"/>
      <c r="I224" s="598"/>
      <c r="J224" s="598"/>
      <c r="K224" s="598"/>
      <c r="L224" s="598"/>
      <c r="M224" s="598"/>
      <c r="N224" s="598"/>
      <c r="O224" s="598"/>
      <c r="P224" s="598"/>
      <c r="Q224" s="598"/>
      <c r="R224" s="598"/>
      <c r="S224" s="598"/>
      <c r="T224" s="598"/>
      <c r="U224" s="598"/>
      <c r="V224" s="598"/>
      <c r="W224" s="598"/>
      <c r="X224" s="598"/>
      <c r="Y224" s="598"/>
      <c r="Z224" s="598"/>
      <c r="AA224" s="598"/>
      <c r="AB224" s="598"/>
      <c r="AC224" s="598"/>
      <c r="AD224" s="598"/>
      <c r="AE224" s="598"/>
      <c r="AF224" s="598"/>
      <c r="AG224" s="598"/>
      <c r="AH224" s="598"/>
      <c r="AI224" s="598"/>
      <c r="AJ224" s="598"/>
      <c r="AK224" s="598"/>
      <c r="AL224" s="598"/>
      <c r="AM224" s="598"/>
      <c r="AN224" s="598"/>
      <c r="AO224" s="598"/>
      <c r="AP224" s="598"/>
      <c r="AQ224" s="598"/>
      <c r="AR224" s="598"/>
      <c r="AS224" s="598"/>
      <c r="AT224" s="598"/>
      <c r="AU224" s="598"/>
      <c r="AV224" s="598"/>
      <c r="AW224" s="598"/>
      <c r="AX224" s="598"/>
      <c r="AY224" s="598"/>
      <c r="AZ224" s="598"/>
      <c r="BA224" s="598"/>
    </row>
    <row r="225" spans="6:53" x14ac:dyDescent="0.35">
      <c r="F225" s="598"/>
      <c r="G225" s="598"/>
      <c r="H225" s="598"/>
      <c r="I225" s="598"/>
      <c r="J225" s="598"/>
      <c r="K225" s="598"/>
      <c r="L225" s="598"/>
      <c r="M225" s="598"/>
      <c r="N225" s="598"/>
      <c r="O225" s="598"/>
      <c r="P225" s="598"/>
      <c r="Q225" s="598"/>
      <c r="R225" s="598"/>
      <c r="S225" s="598"/>
      <c r="T225" s="598"/>
      <c r="U225" s="598"/>
      <c r="V225" s="598"/>
      <c r="W225" s="598"/>
      <c r="X225" s="598"/>
      <c r="Y225" s="598"/>
      <c r="Z225" s="598"/>
      <c r="AA225" s="598"/>
      <c r="AB225" s="598"/>
      <c r="AC225" s="598"/>
      <c r="AD225" s="598"/>
      <c r="AE225" s="598"/>
      <c r="AF225" s="598"/>
      <c r="AG225" s="598"/>
      <c r="AH225" s="598"/>
      <c r="AI225" s="598"/>
      <c r="AJ225" s="598"/>
      <c r="AK225" s="598"/>
      <c r="AL225" s="598"/>
      <c r="AM225" s="598"/>
      <c r="AN225" s="598"/>
      <c r="AO225" s="598"/>
      <c r="AP225" s="598"/>
      <c r="AQ225" s="598"/>
      <c r="AR225" s="598"/>
      <c r="AS225" s="598"/>
      <c r="AT225" s="598"/>
      <c r="AU225" s="598"/>
      <c r="AV225" s="598"/>
      <c r="AW225" s="598"/>
      <c r="AX225" s="598"/>
      <c r="AY225" s="598"/>
      <c r="AZ225" s="598"/>
      <c r="BA225" s="598"/>
    </row>
    <row r="226" spans="6:53" x14ac:dyDescent="0.35">
      <c r="F226" s="598"/>
      <c r="G226" s="598"/>
      <c r="H226" s="598"/>
      <c r="I226" s="598"/>
      <c r="J226" s="598"/>
      <c r="K226" s="598"/>
      <c r="L226" s="598"/>
      <c r="M226" s="598"/>
      <c r="N226" s="598"/>
      <c r="O226" s="598"/>
      <c r="P226" s="598"/>
      <c r="Q226" s="598"/>
      <c r="R226" s="598"/>
      <c r="S226" s="598"/>
      <c r="T226" s="598"/>
      <c r="U226" s="598"/>
      <c r="V226" s="598"/>
      <c r="W226" s="598"/>
      <c r="X226" s="598"/>
      <c r="Y226" s="598"/>
      <c r="Z226" s="598"/>
      <c r="AA226" s="598"/>
      <c r="AB226" s="598"/>
      <c r="AC226" s="598"/>
      <c r="AD226" s="598"/>
      <c r="AE226" s="598"/>
      <c r="AF226" s="598"/>
      <c r="AG226" s="598"/>
      <c r="AH226" s="598"/>
      <c r="AI226" s="598"/>
      <c r="AJ226" s="598"/>
      <c r="AK226" s="598"/>
      <c r="AL226" s="598"/>
      <c r="AM226" s="598"/>
      <c r="AN226" s="598"/>
      <c r="AO226" s="598"/>
      <c r="AP226" s="598"/>
      <c r="AQ226" s="598"/>
      <c r="AR226" s="598"/>
      <c r="AS226" s="598"/>
      <c r="AT226" s="598"/>
      <c r="AU226" s="598"/>
      <c r="AV226" s="598"/>
      <c r="AW226" s="598"/>
      <c r="AX226" s="598"/>
      <c r="AY226" s="598"/>
      <c r="AZ226" s="598"/>
      <c r="BA226" s="598"/>
    </row>
    <row r="227" spans="6:53" x14ac:dyDescent="0.35">
      <c r="F227" s="598"/>
      <c r="G227" s="598"/>
      <c r="H227" s="598"/>
      <c r="I227" s="598"/>
      <c r="J227" s="598"/>
      <c r="K227" s="598"/>
      <c r="L227" s="598"/>
      <c r="M227" s="598"/>
      <c r="N227" s="598"/>
      <c r="O227" s="598"/>
      <c r="P227" s="598"/>
      <c r="Q227" s="598"/>
      <c r="R227" s="598"/>
      <c r="S227" s="598"/>
      <c r="T227" s="598"/>
      <c r="U227" s="598"/>
      <c r="V227" s="598"/>
      <c r="W227" s="598"/>
      <c r="X227" s="598"/>
      <c r="Y227" s="598"/>
      <c r="Z227" s="598"/>
      <c r="AA227" s="598"/>
      <c r="AB227" s="598"/>
      <c r="AC227" s="598"/>
      <c r="AD227" s="598"/>
      <c r="AE227" s="598"/>
      <c r="AF227" s="598"/>
      <c r="AG227" s="598"/>
      <c r="AH227" s="598"/>
      <c r="AI227" s="598"/>
      <c r="AJ227" s="598"/>
      <c r="AK227" s="598"/>
      <c r="AL227" s="598"/>
      <c r="AM227" s="598"/>
      <c r="AN227" s="598"/>
      <c r="AO227" s="598"/>
      <c r="AP227" s="598"/>
      <c r="AQ227" s="598"/>
      <c r="AR227" s="598"/>
      <c r="AS227" s="598"/>
      <c r="AT227" s="598"/>
      <c r="AU227" s="598"/>
      <c r="AV227" s="598"/>
      <c r="AW227" s="598"/>
      <c r="AX227" s="598"/>
      <c r="AY227" s="598"/>
      <c r="AZ227" s="598"/>
      <c r="BA227" s="598"/>
    </row>
    <row r="228" spans="6:53" x14ac:dyDescent="0.35">
      <c r="F228" s="598"/>
      <c r="G228" s="598"/>
      <c r="H228" s="598"/>
      <c r="I228" s="598"/>
      <c r="J228" s="598"/>
      <c r="K228" s="598"/>
      <c r="L228" s="598"/>
      <c r="M228" s="598"/>
      <c r="N228" s="598"/>
      <c r="O228" s="598"/>
      <c r="P228" s="598"/>
      <c r="Q228" s="598"/>
      <c r="R228" s="598"/>
      <c r="S228" s="598"/>
      <c r="T228" s="598"/>
      <c r="U228" s="598"/>
      <c r="V228" s="598"/>
      <c r="W228" s="598"/>
      <c r="X228" s="598"/>
      <c r="Y228" s="598"/>
      <c r="Z228" s="598"/>
      <c r="AA228" s="598"/>
      <c r="AB228" s="598"/>
      <c r="AC228" s="598"/>
      <c r="AD228" s="598"/>
      <c r="AE228" s="598"/>
      <c r="AF228" s="598"/>
      <c r="AG228" s="598"/>
      <c r="AH228" s="598"/>
      <c r="AI228" s="598"/>
      <c r="AJ228" s="598"/>
      <c r="AK228" s="598"/>
      <c r="AL228" s="598"/>
      <c r="AM228" s="598"/>
      <c r="AN228" s="598"/>
      <c r="AO228" s="598"/>
      <c r="AP228" s="598"/>
      <c r="AQ228" s="598"/>
      <c r="AR228" s="598"/>
      <c r="AS228" s="598"/>
      <c r="AT228" s="598"/>
      <c r="AU228" s="598"/>
      <c r="AV228" s="598"/>
      <c r="AW228" s="598"/>
      <c r="AX228" s="598"/>
      <c r="AY228" s="598"/>
      <c r="AZ228" s="598"/>
      <c r="BA228" s="598"/>
    </row>
    <row r="229" spans="6:53" x14ac:dyDescent="0.35">
      <c r="F229" s="598"/>
      <c r="G229" s="598"/>
      <c r="H229" s="598"/>
      <c r="I229" s="598"/>
      <c r="J229" s="598"/>
      <c r="K229" s="598"/>
      <c r="L229" s="598"/>
      <c r="M229" s="598"/>
      <c r="N229" s="598"/>
      <c r="O229" s="598"/>
      <c r="P229" s="598"/>
      <c r="Q229" s="598"/>
      <c r="R229" s="598"/>
      <c r="S229" s="598"/>
      <c r="T229" s="598"/>
      <c r="U229" s="598"/>
      <c r="V229" s="598"/>
      <c r="W229" s="598"/>
      <c r="X229" s="598"/>
      <c r="Y229" s="598"/>
      <c r="Z229" s="598"/>
      <c r="AA229" s="598"/>
      <c r="AB229" s="598"/>
      <c r="AC229" s="598"/>
      <c r="AD229" s="598"/>
      <c r="AE229" s="598"/>
      <c r="AF229" s="598"/>
      <c r="AG229" s="598"/>
      <c r="AH229" s="598"/>
      <c r="AI229" s="598"/>
      <c r="AJ229" s="598"/>
      <c r="AK229" s="598"/>
      <c r="AL229" s="598"/>
      <c r="AM229" s="598"/>
      <c r="AN229" s="598"/>
      <c r="AO229" s="598"/>
      <c r="AP229" s="598"/>
      <c r="AQ229" s="598"/>
      <c r="AR229" s="598"/>
      <c r="AS229" s="598"/>
      <c r="AT229" s="598"/>
      <c r="AU229" s="598"/>
      <c r="AV229" s="598"/>
      <c r="AW229" s="598"/>
      <c r="AX229" s="598"/>
      <c r="AY229" s="598"/>
      <c r="AZ229" s="598"/>
      <c r="BA229" s="598"/>
    </row>
    <row r="230" spans="6:53" x14ac:dyDescent="0.35">
      <c r="F230" s="598"/>
      <c r="G230" s="598"/>
      <c r="H230" s="598"/>
      <c r="I230" s="598"/>
      <c r="J230" s="598"/>
      <c r="K230" s="598"/>
      <c r="L230" s="598"/>
      <c r="M230" s="598"/>
      <c r="N230" s="598"/>
      <c r="O230" s="598"/>
      <c r="P230" s="598"/>
      <c r="Q230" s="598"/>
      <c r="R230" s="598"/>
      <c r="S230" s="598"/>
      <c r="T230" s="598"/>
      <c r="U230" s="598"/>
      <c r="V230" s="598"/>
      <c r="W230" s="598"/>
      <c r="X230" s="598"/>
      <c r="Y230" s="598"/>
      <c r="Z230" s="598"/>
      <c r="AA230" s="598"/>
      <c r="AB230" s="598"/>
      <c r="AC230" s="598"/>
      <c r="AD230" s="598"/>
      <c r="AE230" s="598"/>
      <c r="AF230" s="598"/>
      <c r="AG230" s="598"/>
      <c r="AH230" s="598"/>
      <c r="AI230" s="598"/>
      <c r="AJ230" s="598"/>
      <c r="AK230" s="598"/>
      <c r="AL230" s="598"/>
      <c r="AM230" s="598"/>
      <c r="AN230" s="598"/>
      <c r="AO230" s="598"/>
      <c r="AP230" s="598"/>
      <c r="AQ230" s="598"/>
      <c r="AR230" s="598"/>
      <c r="AS230" s="598"/>
      <c r="AT230" s="598"/>
      <c r="AU230" s="598"/>
      <c r="AV230" s="598"/>
      <c r="AW230" s="598"/>
      <c r="AX230" s="598"/>
      <c r="AY230" s="598"/>
      <c r="AZ230" s="598"/>
      <c r="BA230" s="598"/>
    </row>
    <row r="231" spans="6:53" x14ac:dyDescent="0.35">
      <c r="F231" s="598"/>
      <c r="G231" s="598"/>
      <c r="H231" s="598"/>
      <c r="I231" s="598"/>
      <c r="J231" s="598"/>
      <c r="K231" s="598"/>
      <c r="L231" s="598"/>
      <c r="M231" s="598"/>
      <c r="N231" s="598"/>
      <c r="O231" s="598"/>
      <c r="P231" s="598"/>
      <c r="Q231" s="598"/>
      <c r="R231" s="598"/>
      <c r="S231" s="598"/>
      <c r="T231" s="598"/>
      <c r="U231" s="598"/>
      <c r="V231" s="598"/>
      <c r="W231" s="598"/>
      <c r="X231" s="598"/>
      <c r="Y231" s="598"/>
      <c r="Z231" s="598"/>
      <c r="AA231" s="598"/>
      <c r="AB231" s="598"/>
      <c r="AC231" s="598"/>
      <c r="AD231" s="598"/>
      <c r="AE231" s="598"/>
      <c r="AF231" s="598"/>
      <c r="AG231" s="598"/>
      <c r="AH231" s="598"/>
      <c r="AI231" s="598"/>
      <c r="AJ231" s="598"/>
      <c r="AK231" s="598"/>
      <c r="AL231" s="598"/>
      <c r="AM231" s="598"/>
      <c r="AN231" s="598"/>
      <c r="AO231" s="598"/>
      <c r="AP231" s="598"/>
      <c r="AQ231" s="598"/>
      <c r="AR231" s="598"/>
      <c r="AS231" s="598"/>
      <c r="AT231" s="598"/>
      <c r="AU231" s="598"/>
      <c r="AV231" s="598"/>
      <c r="AW231" s="598"/>
      <c r="AX231" s="598"/>
      <c r="AY231" s="598"/>
      <c r="AZ231" s="598"/>
      <c r="BA231" s="598"/>
    </row>
    <row r="232" spans="6:53" x14ac:dyDescent="0.35">
      <c r="F232" s="598"/>
      <c r="G232" s="598"/>
      <c r="H232" s="598"/>
      <c r="I232" s="598"/>
      <c r="J232" s="598"/>
      <c r="K232" s="598"/>
      <c r="L232" s="598"/>
      <c r="M232" s="598"/>
      <c r="N232" s="598"/>
      <c r="O232" s="598"/>
      <c r="P232" s="598"/>
      <c r="Q232" s="598"/>
      <c r="R232" s="598"/>
      <c r="S232" s="598"/>
      <c r="T232" s="598"/>
      <c r="U232" s="598"/>
      <c r="V232" s="598"/>
      <c r="W232" s="598"/>
      <c r="X232" s="598"/>
      <c r="Y232" s="598"/>
      <c r="Z232" s="598"/>
      <c r="AA232" s="598"/>
      <c r="AB232" s="598"/>
      <c r="AC232" s="598"/>
      <c r="AD232" s="598"/>
      <c r="AE232" s="598"/>
      <c r="AF232" s="598"/>
      <c r="AG232" s="598"/>
      <c r="AH232" s="598"/>
      <c r="AI232" s="598"/>
      <c r="AJ232" s="598"/>
      <c r="AK232" s="598"/>
      <c r="AL232" s="598"/>
      <c r="AM232" s="598"/>
      <c r="AN232" s="598"/>
      <c r="AO232" s="598"/>
      <c r="AP232" s="598"/>
      <c r="AQ232" s="598"/>
      <c r="AR232" s="598"/>
      <c r="AS232" s="598"/>
      <c r="AT232" s="598"/>
      <c r="AU232" s="598"/>
      <c r="AV232" s="598"/>
      <c r="AW232" s="598"/>
      <c r="AX232" s="598"/>
      <c r="AY232" s="598"/>
      <c r="AZ232" s="598"/>
      <c r="BA232" s="598"/>
    </row>
    <row r="233" spans="6:53" x14ac:dyDescent="0.35">
      <c r="F233" s="598"/>
      <c r="G233" s="598"/>
      <c r="H233" s="598"/>
      <c r="I233" s="598"/>
      <c r="J233" s="598"/>
      <c r="K233" s="598"/>
      <c r="L233" s="598"/>
      <c r="M233" s="598"/>
      <c r="N233" s="598"/>
      <c r="O233" s="598"/>
      <c r="P233" s="598"/>
      <c r="Q233" s="598"/>
      <c r="R233" s="598"/>
      <c r="S233" s="598"/>
      <c r="T233" s="598"/>
      <c r="U233" s="598"/>
      <c r="V233" s="598"/>
      <c r="W233" s="598"/>
      <c r="X233" s="598"/>
      <c r="Y233" s="598"/>
      <c r="Z233" s="598"/>
      <c r="AA233" s="598"/>
      <c r="AB233" s="598"/>
      <c r="AC233" s="598"/>
      <c r="AD233" s="598"/>
      <c r="AE233" s="598"/>
      <c r="AF233" s="598"/>
      <c r="AG233" s="598"/>
      <c r="AH233" s="598"/>
      <c r="AI233" s="598"/>
      <c r="AJ233" s="598"/>
      <c r="AK233" s="598"/>
      <c r="AL233" s="598"/>
      <c r="AM233" s="598"/>
      <c r="AN233" s="598"/>
      <c r="AO233" s="598"/>
      <c r="AP233" s="598"/>
      <c r="AQ233" s="598"/>
      <c r="AR233" s="598"/>
      <c r="AS233" s="598"/>
      <c r="AT233" s="598"/>
      <c r="AU233" s="598"/>
      <c r="AV233" s="598"/>
      <c r="AW233" s="598"/>
      <c r="AX233" s="598"/>
      <c r="AY233" s="598"/>
      <c r="AZ233" s="598"/>
      <c r="BA233" s="598"/>
    </row>
    <row r="234" spans="6:53" x14ac:dyDescent="0.35">
      <c r="F234" s="598"/>
      <c r="G234" s="598"/>
      <c r="H234" s="598"/>
      <c r="I234" s="598"/>
      <c r="J234" s="598"/>
      <c r="K234" s="598"/>
      <c r="L234" s="598"/>
      <c r="M234" s="598"/>
      <c r="N234" s="598"/>
      <c r="O234" s="598"/>
      <c r="P234" s="598"/>
      <c r="Q234" s="598"/>
      <c r="R234" s="598"/>
      <c r="S234" s="598"/>
      <c r="T234" s="598"/>
      <c r="U234" s="598"/>
      <c r="V234" s="598"/>
      <c r="W234" s="598"/>
      <c r="X234" s="598"/>
      <c r="Y234" s="598"/>
      <c r="Z234" s="598"/>
      <c r="AA234" s="598"/>
      <c r="AB234" s="598"/>
      <c r="AC234" s="598"/>
      <c r="AD234" s="598"/>
      <c r="AE234" s="598"/>
      <c r="AF234" s="598"/>
      <c r="AG234" s="598"/>
      <c r="AH234" s="598"/>
      <c r="AI234" s="598"/>
      <c r="AJ234" s="598"/>
      <c r="AK234" s="598"/>
      <c r="AL234" s="598"/>
      <c r="AM234" s="598"/>
      <c r="AN234" s="598"/>
      <c r="AO234" s="598"/>
      <c r="AP234" s="598"/>
      <c r="AQ234" s="598"/>
      <c r="AR234" s="598"/>
      <c r="AS234" s="598"/>
      <c r="AT234" s="598"/>
      <c r="AU234" s="598"/>
      <c r="AV234" s="598"/>
      <c r="AW234" s="598"/>
      <c r="AX234" s="598"/>
      <c r="AY234" s="598"/>
      <c r="AZ234" s="598"/>
      <c r="BA234" s="598"/>
    </row>
    <row r="235" spans="6:53" x14ac:dyDescent="0.35">
      <c r="F235" s="598"/>
      <c r="G235" s="598"/>
      <c r="H235" s="598"/>
      <c r="I235" s="598"/>
      <c r="J235" s="598"/>
      <c r="K235" s="598"/>
      <c r="L235" s="598"/>
      <c r="M235" s="598"/>
      <c r="N235" s="598"/>
      <c r="O235" s="598"/>
      <c r="P235" s="598"/>
      <c r="Q235" s="598"/>
      <c r="R235" s="598"/>
      <c r="S235" s="598"/>
      <c r="T235" s="598"/>
      <c r="U235" s="598"/>
      <c r="V235" s="598"/>
      <c r="W235" s="598"/>
      <c r="X235" s="598"/>
      <c r="Y235" s="598"/>
      <c r="Z235" s="598"/>
      <c r="AA235" s="598"/>
      <c r="AB235" s="598"/>
      <c r="AC235" s="598"/>
      <c r="AD235" s="598"/>
      <c r="AE235" s="598"/>
      <c r="AF235" s="598"/>
      <c r="AG235" s="598"/>
      <c r="AH235" s="598"/>
      <c r="AI235" s="598"/>
      <c r="AJ235" s="598"/>
      <c r="AK235" s="598"/>
      <c r="AL235" s="598"/>
      <c r="AM235" s="598"/>
      <c r="AN235" s="598"/>
      <c r="AO235" s="598"/>
      <c r="AP235" s="598"/>
      <c r="AQ235" s="598"/>
      <c r="AR235" s="598"/>
      <c r="AS235" s="598"/>
      <c r="AT235" s="598"/>
      <c r="AU235" s="598"/>
      <c r="AV235" s="598"/>
      <c r="AW235" s="598"/>
      <c r="AX235" s="598"/>
      <c r="AY235" s="598"/>
      <c r="AZ235" s="598"/>
      <c r="BA235" s="598"/>
    </row>
    <row r="236" spans="6:53" x14ac:dyDescent="0.35">
      <c r="F236" s="598"/>
      <c r="G236" s="598"/>
      <c r="H236" s="598"/>
      <c r="I236" s="598"/>
      <c r="J236" s="598"/>
      <c r="K236" s="598"/>
      <c r="L236" s="598"/>
      <c r="M236" s="598"/>
      <c r="N236" s="598"/>
      <c r="O236" s="598"/>
      <c r="P236" s="598"/>
      <c r="Q236" s="598"/>
      <c r="R236" s="598"/>
      <c r="S236" s="598"/>
      <c r="T236" s="598"/>
      <c r="U236" s="598"/>
      <c r="V236" s="598"/>
      <c r="W236" s="598"/>
      <c r="X236" s="598"/>
      <c r="Y236" s="598"/>
      <c r="Z236" s="598"/>
      <c r="AA236" s="598"/>
      <c r="AB236" s="598"/>
      <c r="AC236" s="598"/>
      <c r="AD236" s="598"/>
      <c r="AE236" s="598"/>
      <c r="AF236" s="598"/>
      <c r="AG236" s="598"/>
      <c r="AH236" s="598"/>
      <c r="AI236" s="598"/>
      <c r="AJ236" s="598"/>
      <c r="AK236" s="598"/>
      <c r="AL236" s="598"/>
      <c r="AM236" s="598"/>
      <c r="AN236" s="598"/>
      <c r="AO236" s="598"/>
      <c r="AP236" s="598"/>
      <c r="AQ236" s="598"/>
      <c r="AR236" s="598"/>
      <c r="AS236" s="598"/>
      <c r="AT236" s="598"/>
      <c r="AU236" s="598"/>
      <c r="AV236" s="598"/>
      <c r="AW236" s="598"/>
      <c r="AX236" s="598"/>
      <c r="AY236" s="598"/>
      <c r="AZ236" s="598"/>
      <c r="BA236" s="598"/>
    </row>
    <row r="237" spans="6:53" x14ac:dyDescent="0.35">
      <c r="F237" s="598"/>
      <c r="G237" s="598"/>
      <c r="H237" s="598"/>
      <c r="I237" s="598"/>
      <c r="J237" s="598"/>
      <c r="K237" s="598"/>
      <c r="L237" s="598"/>
      <c r="M237" s="598"/>
      <c r="N237" s="598"/>
      <c r="O237" s="598"/>
      <c r="P237" s="598"/>
      <c r="Q237" s="598"/>
      <c r="R237" s="598"/>
      <c r="S237" s="598"/>
      <c r="T237" s="598"/>
      <c r="U237" s="598"/>
      <c r="V237" s="598"/>
      <c r="W237" s="598"/>
      <c r="X237" s="598"/>
      <c r="Y237" s="598"/>
      <c r="Z237" s="598"/>
      <c r="AA237" s="598"/>
      <c r="AB237" s="598"/>
      <c r="AC237" s="598"/>
      <c r="AD237" s="598"/>
      <c r="AE237" s="598"/>
      <c r="AF237" s="598"/>
      <c r="AG237" s="598"/>
      <c r="AH237" s="598"/>
      <c r="AI237" s="598"/>
      <c r="AJ237" s="598"/>
      <c r="AK237" s="598"/>
      <c r="AL237" s="598"/>
      <c r="AM237" s="598"/>
      <c r="AN237" s="598"/>
      <c r="AO237" s="598"/>
      <c r="AP237" s="598"/>
      <c r="AQ237" s="598"/>
      <c r="AR237" s="598"/>
      <c r="AS237" s="598"/>
      <c r="AT237" s="598"/>
      <c r="AU237" s="598"/>
      <c r="AV237" s="598"/>
      <c r="AW237" s="598"/>
      <c r="AX237" s="598"/>
      <c r="AY237" s="598"/>
      <c r="AZ237" s="598"/>
      <c r="BA237" s="598"/>
    </row>
    <row r="238" spans="6:53" x14ac:dyDescent="0.35">
      <c r="F238" s="598"/>
      <c r="G238" s="598"/>
      <c r="H238" s="598"/>
      <c r="I238" s="598"/>
      <c r="J238" s="598"/>
      <c r="K238" s="598"/>
      <c r="L238" s="598"/>
      <c r="M238" s="598"/>
      <c r="N238" s="598"/>
      <c r="O238" s="598"/>
      <c r="P238" s="598"/>
      <c r="Q238" s="598"/>
      <c r="R238" s="598"/>
      <c r="S238" s="598"/>
      <c r="T238" s="598"/>
      <c r="U238" s="598"/>
      <c r="V238" s="598"/>
      <c r="W238" s="598"/>
      <c r="X238" s="598"/>
      <c r="Y238" s="598"/>
      <c r="Z238" s="598"/>
      <c r="AA238" s="598"/>
      <c r="AB238" s="598"/>
      <c r="AC238" s="598"/>
      <c r="AD238" s="598"/>
      <c r="AE238" s="598"/>
      <c r="AF238" s="598"/>
      <c r="AG238" s="598"/>
      <c r="AH238" s="598"/>
      <c r="AI238" s="598"/>
      <c r="AJ238" s="598"/>
      <c r="AK238" s="598"/>
      <c r="AL238" s="598"/>
      <c r="AM238" s="598"/>
      <c r="AN238" s="598"/>
      <c r="AO238" s="598"/>
      <c r="AP238" s="598"/>
      <c r="AQ238" s="598"/>
      <c r="AR238" s="598"/>
      <c r="AS238" s="598"/>
      <c r="AT238" s="598"/>
      <c r="AU238" s="598"/>
      <c r="AV238" s="598"/>
      <c r="AW238" s="598"/>
      <c r="AX238" s="598"/>
      <c r="AY238" s="598"/>
      <c r="AZ238" s="598"/>
      <c r="BA238" s="598"/>
    </row>
    <row r="239" spans="6:53" x14ac:dyDescent="0.35">
      <c r="F239" s="598"/>
      <c r="G239" s="598"/>
      <c r="H239" s="598"/>
      <c r="I239" s="598"/>
      <c r="J239" s="598"/>
      <c r="K239" s="598"/>
      <c r="L239" s="598"/>
      <c r="M239" s="598"/>
      <c r="N239" s="598"/>
      <c r="O239" s="598"/>
      <c r="P239" s="598"/>
      <c r="Q239" s="598"/>
      <c r="R239" s="598"/>
      <c r="S239" s="598"/>
      <c r="T239" s="598"/>
      <c r="U239" s="598"/>
      <c r="V239" s="598"/>
      <c r="W239" s="598"/>
      <c r="X239" s="598"/>
      <c r="Y239" s="598"/>
      <c r="Z239" s="598"/>
      <c r="AA239" s="598"/>
      <c r="AB239" s="598"/>
      <c r="AC239" s="598"/>
      <c r="AD239" s="598"/>
      <c r="AE239" s="598"/>
      <c r="AF239" s="598"/>
      <c r="AG239" s="598"/>
      <c r="AH239" s="598"/>
      <c r="AI239" s="598"/>
      <c r="AJ239" s="598"/>
      <c r="AK239" s="598"/>
      <c r="AL239" s="598"/>
      <c r="AM239" s="598"/>
      <c r="AN239" s="598"/>
      <c r="AO239" s="598"/>
      <c r="AP239" s="598"/>
      <c r="AQ239" s="598"/>
      <c r="AR239" s="598"/>
      <c r="AS239" s="598"/>
      <c r="AT239" s="598"/>
      <c r="AU239" s="598"/>
      <c r="AV239" s="598"/>
      <c r="AW239" s="598"/>
      <c r="AX239" s="598"/>
      <c r="AY239" s="598"/>
      <c r="AZ239" s="598"/>
      <c r="BA239" s="598"/>
    </row>
    <row r="240" spans="6:53" x14ac:dyDescent="0.35">
      <c r="F240" s="598"/>
      <c r="G240" s="598"/>
      <c r="H240" s="598"/>
      <c r="I240" s="598"/>
      <c r="J240" s="598"/>
      <c r="K240" s="598"/>
      <c r="L240" s="598"/>
      <c r="M240" s="598"/>
      <c r="N240" s="598"/>
      <c r="O240" s="598"/>
      <c r="P240" s="598"/>
      <c r="Q240" s="598"/>
      <c r="R240" s="598"/>
      <c r="S240" s="598"/>
      <c r="T240" s="598"/>
      <c r="U240" s="598"/>
      <c r="V240" s="598"/>
      <c r="W240" s="598"/>
      <c r="X240" s="598"/>
      <c r="Y240" s="598"/>
      <c r="Z240" s="598"/>
      <c r="AA240" s="598"/>
      <c r="AB240" s="598"/>
      <c r="AC240" s="598"/>
      <c r="AD240" s="598"/>
      <c r="AE240" s="598"/>
      <c r="AF240" s="598"/>
      <c r="AG240" s="598"/>
      <c r="AH240" s="598"/>
      <c r="AI240" s="598"/>
      <c r="AJ240" s="598"/>
      <c r="AK240" s="598"/>
      <c r="AL240" s="598"/>
      <c r="AM240" s="598"/>
      <c r="AN240" s="598"/>
      <c r="AO240" s="598"/>
      <c r="AP240" s="598"/>
      <c r="AQ240" s="598"/>
      <c r="AR240" s="598"/>
      <c r="AS240" s="598"/>
      <c r="AT240" s="598"/>
      <c r="AU240" s="598"/>
      <c r="AV240" s="598"/>
      <c r="AW240" s="598"/>
      <c r="AX240" s="598"/>
      <c r="AY240" s="598"/>
      <c r="AZ240" s="598"/>
      <c r="BA240" s="598"/>
    </row>
    <row r="241" spans="6:53" x14ac:dyDescent="0.35">
      <c r="F241" s="598"/>
      <c r="G241" s="598"/>
      <c r="H241" s="598"/>
      <c r="I241" s="598"/>
      <c r="J241" s="598"/>
      <c r="K241" s="598"/>
      <c r="L241" s="598"/>
      <c r="M241" s="598"/>
      <c r="N241" s="598"/>
      <c r="O241" s="598"/>
      <c r="P241" s="598"/>
      <c r="Q241" s="598"/>
      <c r="R241" s="598"/>
      <c r="S241" s="598"/>
      <c r="T241" s="598"/>
      <c r="U241" s="598"/>
      <c r="V241" s="598"/>
      <c r="W241" s="598"/>
      <c r="X241" s="598"/>
      <c r="Y241" s="598"/>
      <c r="Z241" s="598"/>
      <c r="AA241" s="598"/>
      <c r="AB241" s="598"/>
      <c r="AC241" s="598"/>
      <c r="AD241" s="598"/>
      <c r="AE241" s="598"/>
      <c r="AF241" s="598"/>
      <c r="AG241" s="598"/>
      <c r="AH241" s="598"/>
      <c r="AI241" s="598"/>
      <c r="AJ241" s="598"/>
      <c r="AK241" s="598"/>
      <c r="AL241" s="598"/>
      <c r="AM241" s="598"/>
      <c r="AN241" s="598"/>
      <c r="AO241" s="598"/>
      <c r="AP241" s="598"/>
      <c r="AQ241" s="598"/>
      <c r="AR241" s="598"/>
      <c r="AS241" s="598"/>
      <c r="AT241" s="598"/>
      <c r="AU241" s="598"/>
      <c r="AV241" s="598"/>
      <c r="AW241" s="598"/>
      <c r="AX241" s="598"/>
      <c r="AY241" s="598"/>
      <c r="AZ241" s="598"/>
      <c r="BA241" s="598"/>
    </row>
    <row r="242" spans="6:53" x14ac:dyDescent="0.35">
      <c r="F242" s="598"/>
      <c r="G242" s="598"/>
      <c r="H242" s="598"/>
      <c r="I242" s="598"/>
      <c r="J242" s="598"/>
      <c r="K242" s="598"/>
      <c r="L242" s="598"/>
      <c r="M242" s="598"/>
      <c r="N242" s="598"/>
      <c r="O242" s="598"/>
      <c r="P242" s="598"/>
      <c r="Q242" s="598"/>
      <c r="R242" s="598"/>
      <c r="S242" s="598"/>
      <c r="T242" s="598"/>
      <c r="U242" s="598"/>
      <c r="V242" s="598"/>
      <c r="W242" s="598"/>
      <c r="X242" s="598"/>
      <c r="Y242" s="598"/>
      <c r="Z242" s="598"/>
      <c r="AA242" s="598"/>
      <c r="AB242" s="598"/>
      <c r="AC242" s="598"/>
      <c r="AD242" s="598"/>
      <c r="AE242" s="598"/>
      <c r="AF242" s="598"/>
      <c r="AG242" s="598"/>
      <c r="AH242" s="598"/>
      <c r="AI242" s="598"/>
      <c r="AJ242" s="598"/>
      <c r="AK242" s="598"/>
      <c r="AL242" s="598"/>
      <c r="AM242" s="598"/>
      <c r="AN242" s="598"/>
      <c r="AO242" s="598"/>
      <c r="AP242" s="598"/>
      <c r="AQ242" s="598"/>
      <c r="AR242" s="598"/>
      <c r="AS242" s="598"/>
      <c r="AT242" s="598"/>
      <c r="AU242" s="598"/>
      <c r="AV242" s="598"/>
      <c r="AW242" s="598"/>
      <c r="AX242" s="598"/>
      <c r="AY242" s="598"/>
      <c r="AZ242" s="598"/>
      <c r="BA242" s="598"/>
    </row>
    <row r="243" spans="6:53" x14ac:dyDescent="0.35">
      <c r="F243" s="598"/>
      <c r="G243" s="598"/>
      <c r="H243" s="598"/>
      <c r="I243" s="598"/>
      <c r="J243" s="598"/>
      <c r="K243" s="598"/>
      <c r="L243" s="598"/>
      <c r="M243" s="598"/>
      <c r="N243" s="598"/>
      <c r="O243" s="598"/>
      <c r="P243" s="598"/>
      <c r="Q243" s="598"/>
      <c r="R243" s="598"/>
      <c r="S243" s="598"/>
      <c r="T243" s="598"/>
      <c r="U243" s="598"/>
      <c r="V243" s="598"/>
      <c r="W243" s="598"/>
      <c r="X243" s="598"/>
      <c r="Y243" s="598"/>
      <c r="Z243" s="598"/>
      <c r="AA243" s="598"/>
      <c r="AB243" s="598"/>
      <c r="AC243" s="598"/>
      <c r="AD243" s="598"/>
      <c r="AE243" s="598"/>
      <c r="AF243" s="598"/>
      <c r="AG243" s="598"/>
      <c r="AH243" s="598"/>
      <c r="AI243" s="598"/>
      <c r="AJ243" s="598"/>
      <c r="AK243" s="598"/>
      <c r="AL243" s="598"/>
      <c r="AM243" s="598"/>
      <c r="AN243" s="598"/>
      <c r="AO243" s="598"/>
      <c r="AP243" s="598"/>
      <c r="AQ243" s="598"/>
      <c r="AR243" s="598"/>
      <c r="AS243" s="598"/>
      <c r="AT243" s="598"/>
      <c r="AU243" s="598"/>
      <c r="AV243" s="598"/>
      <c r="AW243" s="598"/>
      <c r="AX243" s="598"/>
      <c r="AY243" s="598"/>
      <c r="AZ243" s="598"/>
      <c r="BA243" s="598"/>
    </row>
    <row r="244" spans="6:53" x14ac:dyDescent="0.35">
      <c r="F244" s="598"/>
      <c r="G244" s="598"/>
      <c r="H244" s="598"/>
      <c r="I244" s="598"/>
      <c r="J244" s="598"/>
      <c r="K244" s="598"/>
      <c r="L244" s="598"/>
      <c r="M244" s="598"/>
      <c r="N244" s="598"/>
      <c r="O244" s="598"/>
      <c r="P244" s="598"/>
      <c r="Q244" s="598"/>
      <c r="R244" s="598"/>
      <c r="S244" s="598"/>
      <c r="T244" s="598"/>
      <c r="U244" s="598"/>
      <c r="V244" s="598"/>
      <c r="W244" s="598"/>
      <c r="X244" s="598"/>
      <c r="Y244" s="598"/>
      <c r="Z244" s="598"/>
      <c r="AA244" s="598"/>
      <c r="AB244" s="598"/>
      <c r="AC244" s="598"/>
      <c r="AD244" s="598"/>
      <c r="AE244" s="598"/>
      <c r="AF244" s="598"/>
      <c r="AG244" s="598"/>
      <c r="AH244" s="598"/>
      <c r="AI244" s="598"/>
      <c r="AJ244" s="598"/>
      <c r="AK244" s="598"/>
      <c r="AL244" s="598"/>
      <c r="AM244" s="598"/>
      <c r="AN244" s="598"/>
      <c r="AO244" s="598"/>
      <c r="AP244" s="598"/>
      <c r="AQ244" s="598"/>
      <c r="AR244" s="598"/>
      <c r="AS244" s="598"/>
      <c r="AT244" s="598"/>
      <c r="AU244" s="598"/>
      <c r="AV244" s="598"/>
      <c r="AW244" s="598"/>
      <c r="AX244" s="598"/>
      <c r="AY244" s="598"/>
      <c r="AZ244" s="598"/>
      <c r="BA244" s="598"/>
    </row>
    <row r="245" spans="6:53" x14ac:dyDescent="0.35">
      <c r="F245" s="598"/>
      <c r="G245" s="598"/>
      <c r="H245" s="598"/>
      <c r="I245" s="598"/>
      <c r="J245" s="598"/>
      <c r="K245" s="598"/>
      <c r="L245" s="598"/>
      <c r="M245" s="598"/>
      <c r="N245" s="598"/>
      <c r="O245" s="598"/>
      <c r="P245" s="598"/>
      <c r="Q245" s="598"/>
      <c r="R245" s="598"/>
      <c r="S245" s="598"/>
      <c r="T245" s="598"/>
      <c r="U245" s="598"/>
      <c r="V245" s="598"/>
      <c r="W245" s="598"/>
      <c r="X245" s="598"/>
      <c r="Y245" s="598"/>
      <c r="Z245" s="598"/>
      <c r="AA245" s="598"/>
      <c r="AB245" s="598"/>
      <c r="AC245" s="598"/>
      <c r="AD245" s="598"/>
      <c r="AE245" s="598"/>
      <c r="AF245" s="598"/>
      <c r="AG245" s="598"/>
      <c r="AH245" s="598"/>
      <c r="AI245" s="598"/>
      <c r="AJ245" s="598"/>
      <c r="AK245" s="598"/>
      <c r="AL245" s="598"/>
      <c r="AM245" s="598"/>
      <c r="AN245" s="598"/>
      <c r="AO245" s="598"/>
      <c r="AP245" s="598"/>
      <c r="AQ245" s="598"/>
      <c r="AR245" s="598"/>
      <c r="AS245" s="598"/>
      <c r="AT245" s="598"/>
      <c r="AU245" s="598"/>
      <c r="AV245" s="598"/>
      <c r="AW245" s="598"/>
      <c r="AX245" s="598"/>
      <c r="AY245" s="598"/>
      <c r="AZ245" s="598"/>
      <c r="BA245" s="598"/>
    </row>
    <row r="246" spans="6:53" x14ac:dyDescent="0.35">
      <c r="F246" s="598"/>
      <c r="G246" s="598"/>
      <c r="H246" s="598"/>
      <c r="I246" s="598"/>
      <c r="J246" s="598"/>
      <c r="K246" s="598"/>
      <c r="L246" s="598"/>
      <c r="M246" s="598"/>
      <c r="N246" s="598"/>
      <c r="O246" s="598"/>
      <c r="P246" s="598"/>
      <c r="Q246" s="598"/>
      <c r="R246" s="598"/>
      <c r="S246" s="598"/>
      <c r="T246" s="598"/>
      <c r="U246" s="598"/>
      <c r="V246" s="598"/>
      <c r="W246" s="598"/>
      <c r="X246" s="598"/>
      <c r="Y246" s="598"/>
      <c r="Z246" s="598"/>
      <c r="AA246" s="598"/>
      <c r="AB246" s="598"/>
      <c r="AC246" s="598"/>
      <c r="AD246" s="598"/>
      <c r="AE246" s="598"/>
      <c r="AF246" s="598"/>
      <c r="AG246" s="598"/>
      <c r="AH246" s="598"/>
      <c r="AI246" s="598"/>
      <c r="AJ246" s="598"/>
      <c r="AK246" s="598"/>
      <c r="AL246" s="598"/>
      <c r="AM246" s="598"/>
      <c r="AN246" s="598"/>
      <c r="AO246" s="598"/>
      <c r="AP246" s="598"/>
      <c r="AQ246" s="598"/>
      <c r="AR246" s="598"/>
      <c r="AS246" s="598"/>
      <c r="AT246" s="598"/>
      <c r="AU246" s="598"/>
      <c r="AV246" s="598"/>
      <c r="AW246" s="598"/>
      <c r="AX246" s="598"/>
      <c r="AY246" s="598"/>
      <c r="AZ246" s="598"/>
      <c r="BA246" s="598"/>
    </row>
    <row r="247" spans="6:53" x14ac:dyDescent="0.35">
      <c r="F247" s="598"/>
      <c r="G247" s="598"/>
      <c r="H247" s="598"/>
      <c r="I247" s="598"/>
      <c r="J247" s="598"/>
      <c r="K247" s="598"/>
      <c r="L247" s="598"/>
      <c r="M247" s="598"/>
      <c r="N247" s="598"/>
      <c r="O247" s="598"/>
      <c r="P247" s="598"/>
      <c r="Q247" s="598"/>
      <c r="R247" s="598"/>
      <c r="S247" s="598"/>
      <c r="T247" s="598"/>
      <c r="U247" s="598"/>
      <c r="V247" s="598"/>
      <c r="W247" s="598"/>
      <c r="X247" s="598"/>
      <c r="Y247" s="598"/>
      <c r="Z247" s="598"/>
      <c r="AA247" s="598"/>
      <c r="AB247" s="598"/>
      <c r="AC247" s="598"/>
      <c r="AD247" s="598"/>
      <c r="AE247" s="598"/>
      <c r="AF247" s="598"/>
      <c r="AG247" s="598"/>
      <c r="AH247" s="598"/>
      <c r="AI247" s="598"/>
      <c r="AJ247" s="598"/>
      <c r="AK247" s="598"/>
      <c r="AL247" s="598"/>
      <c r="AM247" s="598"/>
      <c r="AN247" s="598"/>
      <c r="AO247" s="598"/>
      <c r="AP247" s="598"/>
      <c r="AQ247" s="598"/>
      <c r="AR247" s="598"/>
      <c r="AS247" s="598"/>
      <c r="AT247" s="598"/>
      <c r="AU247" s="598"/>
      <c r="AV247" s="598"/>
      <c r="AW247" s="598"/>
      <c r="AX247" s="598"/>
      <c r="AY247" s="598"/>
      <c r="AZ247" s="598"/>
      <c r="BA247" s="598"/>
    </row>
    <row r="248" spans="6:53" x14ac:dyDescent="0.35">
      <c r="F248" s="598"/>
      <c r="G248" s="598"/>
      <c r="H248" s="598"/>
      <c r="I248" s="598"/>
      <c r="J248" s="598"/>
      <c r="K248" s="598"/>
      <c r="L248" s="598"/>
      <c r="M248" s="598"/>
      <c r="N248" s="598"/>
      <c r="O248" s="598"/>
      <c r="P248" s="598"/>
      <c r="Q248" s="598"/>
      <c r="R248" s="598"/>
      <c r="S248" s="598"/>
      <c r="T248" s="598"/>
      <c r="U248" s="598"/>
      <c r="V248" s="598"/>
      <c r="W248" s="598"/>
      <c r="X248" s="598"/>
      <c r="Y248" s="598"/>
      <c r="Z248" s="598"/>
      <c r="AA248" s="598"/>
      <c r="AB248" s="598"/>
      <c r="AC248" s="598"/>
      <c r="AD248" s="598"/>
      <c r="AE248" s="598"/>
      <c r="AF248" s="598"/>
      <c r="AG248" s="598"/>
      <c r="AH248" s="598"/>
      <c r="AI248" s="598"/>
      <c r="AJ248" s="598"/>
      <c r="AK248" s="598"/>
      <c r="AL248" s="598"/>
      <c r="AM248" s="598"/>
      <c r="AN248" s="598"/>
      <c r="AO248" s="598"/>
      <c r="AP248" s="598"/>
      <c r="AQ248" s="598"/>
      <c r="AR248" s="598"/>
      <c r="AS248" s="598"/>
      <c r="AT248" s="598"/>
      <c r="AU248" s="598"/>
      <c r="AV248" s="598"/>
      <c r="AW248" s="598"/>
      <c r="AX248" s="598"/>
      <c r="AY248" s="598"/>
      <c r="AZ248" s="598"/>
      <c r="BA248" s="598"/>
    </row>
    <row r="249" spans="6:53" x14ac:dyDescent="0.35">
      <c r="F249" s="598"/>
      <c r="G249" s="598"/>
      <c r="H249" s="598"/>
      <c r="I249" s="598"/>
      <c r="J249" s="598"/>
      <c r="K249" s="598"/>
      <c r="L249" s="598"/>
      <c r="M249" s="598"/>
      <c r="N249" s="598"/>
      <c r="O249" s="598"/>
      <c r="P249" s="598"/>
      <c r="Q249" s="598"/>
      <c r="R249" s="598"/>
      <c r="S249" s="598"/>
      <c r="T249" s="598"/>
      <c r="U249" s="598"/>
      <c r="V249" s="598"/>
      <c r="W249" s="598"/>
      <c r="X249" s="598"/>
      <c r="Y249" s="598"/>
      <c r="Z249" s="598"/>
      <c r="AA249" s="598"/>
      <c r="AB249" s="598"/>
      <c r="AC249" s="598"/>
      <c r="AD249" s="598"/>
      <c r="AE249" s="598"/>
      <c r="AF249" s="598"/>
      <c r="AG249" s="598"/>
      <c r="AH249" s="598"/>
      <c r="AI249" s="598"/>
      <c r="AJ249" s="598"/>
      <c r="AK249" s="598"/>
      <c r="AL249" s="598"/>
      <c r="AM249" s="598"/>
      <c r="AN249" s="598"/>
      <c r="AO249" s="598"/>
      <c r="AP249" s="598"/>
      <c r="AQ249" s="598"/>
      <c r="AR249" s="598"/>
      <c r="AS249" s="598"/>
      <c r="AT249" s="598"/>
      <c r="AU249" s="598"/>
      <c r="AV249" s="598"/>
      <c r="AW249" s="598"/>
      <c r="AX249" s="598"/>
      <c r="AY249" s="598"/>
      <c r="AZ249" s="598"/>
      <c r="BA249" s="598"/>
    </row>
    <row r="250" spans="6:53" x14ac:dyDescent="0.35">
      <c r="F250" s="598"/>
      <c r="G250" s="598"/>
      <c r="H250" s="598"/>
      <c r="I250" s="598"/>
      <c r="J250" s="598"/>
      <c r="K250" s="598"/>
      <c r="L250" s="598"/>
      <c r="M250" s="598"/>
      <c r="N250" s="598"/>
      <c r="O250" s="598"/>
      <c r="P250" s="598"/>
      <c r="Q250" s="598"/>
      <c r="R250" s="598"/>
      <c r="S250" s="598"/>
      <c r="T250" s="598"/>
      <c r="U250" s="598"/>
      <c r="V250" s="598"/>
      <c r="W250" s="598"/>
      <c r="X250" s="598"/>
      <c r="Y250" s="598"/>
      <c r="Z250" s="598"/>
      <c r="AA250" s="598"/>
      <c r="AB250" s="598"/>
      <c r="AC250" s="598"/>
      <c r="AD250" s="598"/>
      <c r="AE250" s="598"/>
      <c r="AF250" s="598"/>
      <c r="AG250" s="598"/>
      <c r="AH250" s="598"/>
      <c r="AI250" s="598"/>
      <c r="AJ250" s="598"/>
      <c r="AK250" s="598"/>
      <c r="AL250" s="598"/>
      <c r="AM250" s="598"/>
      <c r="AN250" s="598"/>
      <c r="AO250" s="598"/>
      <c r="AP250" s="598"/>
      <c r="AQ250" s="598"/>
      <c r="AR250" s="598"/>
      <c r="AS250" s="598"/>
      <c r="AT250" s="598"/>
      <c r="AU250" s="598"/>
      <c r="AV250" s="598"/>
      <c r="AW250" s="598"/>
      <c r="AX250" s="598"/>
      <c r="AY250" s="598"/>
      <c r="AZ250" s="598"/>
      <c r="BA250" s="598"/>
    </row>
    <row r="251" spans="6:53" x14ac:dyDescent="0.35">
      <c r="F251" s="598"/>
      <c r="G251" s="598"/>
      <c r="H251" s="598"/>
      <c r="I251" s="598"/>
      <c r="J251" s="598"/>
      <c r="K251" s="598"/>
      <c r="L251" s="598"/>
      <c r="M251" s="598"/>
      <c r="N251" s="598"/>
      <c r="O251" s="598"/>
      <c r="P251" s="598"/>
      <c r="Q251" s="598"/>
      <c r="R251" s="598"/>
      <c r="S251" s="598"/>
      <c r="T251" s="598"/>
      <c r="U251" s="598"/>
      <c r="V251" s="598"/>
      <c r="W251" s="598"/>
      <c r="X251" s="598"/>
      <c r="Y251" s="598"/>
      <c r="Z251" s="598"/>
      <c r="AA251" s="598"/>
      <c r="AB251" s="598"/>
      <c r="AC251" s="598"/>
      <c r="AD251" s="598"/>
      <c r="AE251" s="598"/>
      <c r="AF251" s="598"/>
      <c r="AG251" s="598"/>
      <c r="AH251" s="598"/>
      <c r="AI251" s="598"/>
      <c r="AJ251" s="598"/>
      <c r="AK251" s="598"/>
      <c r="AL251" s="598"/>
      <c r="AM251" s="598"/>
      <c r="AN251" s="598"/>
      <c r="AO251" s="598"/>
      <c r="AP251" s="598"/>
      <c r="AQ251" s="598"/>
      <c r="AR251" s="598"/>
      <c r="AS251" s="598"/>
      <c r="AT251" s="598"/>
      <c r="AU251" s="598"/>
      <c r="AV251" s="598"/>
      <c r="AW251" s="598"/>
      <c r="AX251" s="598"/>
      <c r="AY251" s="598"/>
      <c r="AZ251" s="598"/>
      <c r="BA251" s="598"/>
    </row>
    <row r="252" spans="6:53" x14ac:dyDescent="0.35">
      <c r="F252" s="598"/>
      <c r="G252" s="598"/>
      <c r="H252" s="598"/>
      <c r="I252" s="598"/>
      <c r="J252" s="598"/>
      <c r="K252" s="598"/>
      <c r="L252" s="598"/>
      <c r="M252" s="598"/>
      <c r="N252" s="598"/>
      <c r="O252" s="598"/>
      <c r="P252" s="598"/>
      <c r="Q252" s="598"/>
      <c r="R252" s="598"/>
      <c r="S252" s="598"/>
      <c r="T252" s="598"/>
      <c r="U252" s="598"/>
      <c r="V252" s="598"/>
      <c r="W252" s="598"/>
      <c r="X252" s="598"/>
      <c r="Y252" s="598"/>
      <c r="Z252" s="598"/>
      <c r="AA252" s="598"/>
      <c r="AB252" s="598"/>
      <c r="AC252" s="598"/>
      <c r="AD252" s="598"/>
      <c r="AE252" s="598"/>
      <c r="AF252" s="598"/>
      <c r="AG252" s="598"/>
      <c r="AH252" s="598"/>
      <c r="AI252" s="598"/>
      <c r="AJ252" s="598"/>
      <c r="AK252" s="598"/>
      <c r="AL252" s="598"/>
      <c r="AM252" s="598"/>
      <c r="AN252" s="598"/>
      <c r="AO252" s="598"/>
      <c r="AP252" s="598"/>
      <c r="AQ252" s="598"/>
      <c r="AR252" s="598"/>
      <c r="AS252" s="598"/>
      <c r="AT252" s="598"/>
      <c r="AU252" s="598"/>
      <c r="AV252" s="598"/>
      <c r="AW252" s="598"/>
      <c r="AX252" s="598"/>
      <c r="AY252" s="598"/>
      <c r="AZ252" s="598"/>
      <c r="BA252" s="598"/>
    </row>
    <row r="253" spans="6:53" x14ac:dyDescent="0.35">
      <c r="F253" s="598"/>
      <c r="G253" s="598"/>
      <c r="H253" s="598"/>
      <c r="I253" s="598"/>
      <c r="J253" s="598"/>
      <c r="K253" s="598"/>
      <c r="L253" s="598"/>
      <c r="M253" s="598"/>
      <c r="N253" s="598"/>
      <c r="O253" s="598"/>
      <c r="P253" s="598"/>
      <c r="Q253" s="598"/>
      <c r="R253" s="598"/>
      <c r="S253" s="598"/>
      <c r="T253" s="598"/>
      <c r="U253" s="598"/>
      <c r="V253" s="598"/>
      <c r="W253" s="598"/>
      <c r="X253" s="598"/>
      <c r="Y253" s="598"/>
      <c r="Z253" s="598"/>
      <c r="AA253" s="598"/>
      <c r="AB253" s="598"/>
      <c r="AC253" s="598"/>
      <c r="AD253" s="598"/>
      <c r="AE253" s="598"/>
      <c r="AF253" s="598"/>
      <c r="AG253" s="598"/>
      <c r="AH253" s="598"/>
      <c r="AI253" s="598"/>
      <c r="AJ253" s="598"/>
      <c r="AK253" s="598"/>
      <c r="AL253" s="598"/>
      <c r="AM253" s="598"/>
      <c r="AN253" s="598"/>
      <c r="AO253" s="598"/>
      <c r="AP253" s="598"/>
      <c r="AQ253" s="598"/>
      <c r="AR253" s="598"/>
      <c r="AS253" s="598"/>
      <c r="AT253" s="598"/>
      <c r="AU253" s="598"/>
      <c r="AV253" s="598"/>
      <c r="AW253" s="598"/>
      <c r="AX253" s="598"/>
      <c r="AY253" s="598"/>
      <c r="AZ253" s="598"/>
      <c r="BA253" s="598"/>
    </row>
    <row r="254" spans="6:53" x14ac:dyDescent="0.35">
      <c r="F254" s="598"/>
      <c r="G254" s="598"/>
      <c r="H254" s="598"/>
      <c r="I254" s="598"/>
      <c r="J254" s="598"/>
      <c r="K254" s="598"/>
      <c r="L254" s="598"/>
      <c r="M254" s="598"/>
      <c r="N254" s="598"/>
      <c r="O254" s="598"/>
      <c r="P254" s="598"/>
      <c r="Q254" s="598"/>
      <c r="R254" s="598"/>
      <c r="S254" s="598"/>
      <c r="T254" s="598"/>
      <c r="U254" s="598"/>
      <c r="V254" s="598"/>
      <c r="W254" s="598"/>
      <c r="X254" s="598"/>
      <c r="Y254" s="598"/>
      <c r="Z254" s="598"/>
      <c r="AA254" s="598"/>
      <c r="AB254" s="598"/>
      <c r="AC254" s="598"/>
      <c r="AD254" s="598"/>
      <c r="AE254" s="598"/>
      <c r="AF254" s="598"/>
      <c r="AG254" s="598"/>
      <c r="AH254" s="598"/>
      <c r="AI254" s="598"/>
      <c r="AJ254" s="598"/>
      <c r="AK254" s="598"/>
      <c r="AL254" s="598"/>
      <c r="AM254" s="598"/>
      <c r="AN254" s="598"/>
      <c r="AO254" s="598"/>
      <c r="AP254" s="598"/>
      <c r="AQ254" s="598"/>
      <c r="AR254" s="598"/>
      <c r="AS254" s="598"/>
      <c r="AT254" s="598"/>
      <c r="AU254" s="598"/>
      <c r="AV254" s="598"/>
      <c r="AW254" s="598"/>
      <c r="AX254" s="598"/>
      <c r="AY254" s="598"/>
      <c r="AZ254" s="598"/>
      <c r="BA254" s="598"/>
    </row>
    <row r="255" spans="6:53" x14ac:dyDescent="0.35">
      <c r="F255" s="598"/>
      <c r="G255" s="598"/>
      <c r="H255" s="598"/>
      <c r="I255" s="598"/>
      <c r="J255" s="598"/>
      <c r="K255" s="598"/>
      <c r="L255" s="598"/>
      <c r="M255" s="598"/>
      <c r="N255" s="598"/>
      <c r="O255" s="598"/>
      <c r="P255" s="598"/>
      <c r="Q255" s="598"/>
      <c r="R255" s="598"/>
      <c r="S255" s="598"/>
      <c r="T255" s="598"/>
      <c r="U255" s="598"/>
      <c r="V255" s="598"/>
      <c r="W255" s="598"/>
      <c r="X255" s="598"/>
      <c r="Y255" s="598"/>
      <c r="Z255" s="598"/>
      <c r="AA255" s="598"/>
      <c r="AB255" s="598"/>
      <c r="AC255" s="598"/>
      <c r="AD255" s="598"/>
      <c r="AE255" s="598"/>
      <c r="AF255" s="598"/>
      <c r="AG255" s="598"/>
      <c r="AH255" s="598"/>
      <c r="AI255" s="598"/>
      <c r="AJ255" s="598"/>
      <c r="AK255" s="598"/>
      <c r="AL255" s="598"/>
      <c r="AM255" s="598"/>
      <c r="AN255" s="598"/>
      <c r="AO255" s="598"/>
      <c r="AP255" s="598"/>
      <c r="AQ255" s="598"/>
      <c r="AR255" s="598"/>
      <c r="AS255" s="598"/>
      <c r="AT255" s="598"/>
      <c r="AU255" s="598"/>
      <c r="AV255" s="598"/>
      <c r="AW255" s="598"/>
      <c r="AX255" s="598"/>
      <c r="AY255" s="598"/>
      <c r="AZ255" s="598"/>
      <c r="BA255" s="598"/>
    </row>
    <row r="256" spans="6:53" x14ac:dyDescent="0.35">
      <c r="F256" s="598"/>
      <c r="G256" s="598"/>
      <c r="H256" s="598"/>
      <c r="I256" s="598"/>
      <c r="J256" s="598"/>
      <c r="K256" s="598"/>
      <c r="L256" s="598"/>
      <c r="M256" s="598"/>
      <c r="N256" s="598"/>
      <c r="O256" s="598"/>
      <c r="P256" s="598"/>
      <c r="Q256" s="598"/>
      <c r="R256" s="598"/>
      <c r="S256" s="598"/>
      <c r="T256" s="598"/>
      <c r="U256" s="598"/>
      <c r="V256" s="598"/>
      <c r="W256" s="598"/>
      <c r="X256" s="598"/>
      <c r="Y256" s="598"/>
      <c r="Z256" s="598"/>
      <c r="AA256" s="598"/>
      <c r="AB256" s="598"/>
      <c r="AC256" s="598"/>
      <c r="AD256" s="598"/>
      <c r="AE256" s="598"/>
      <c r="AF256" s="598"/>
      <c r="AG256" s="598"/>
      <c r="AH256" s="598"/>
      <c r="AI256" s="598"/>
      <c r="AJ256" s="598"/>
      <c r="AK256" s="598"/>
      <c r="AL256" s="598"/>
      <c r="AM256" s="598"/>
      <c r="AN256" s="598"/>
      <c r="AO256" s="598"/>
      <c r="AP256" s="598"/>
      <c r="AQ256" s="598"/>
      <c r="AR256" s="598"/>
      <c r="AS256" s="598"/>
      <c r="AT256" s="598"/>
      <c r="AU256" s="598"/>
      <c r="AV256" s="598"/>
      <c r="AW256" s="598"/>
      <c r="AX256" s="598"/>
      <c r="AY256" s="598"/>
      <c r="AZ256" s="598"/>
      <c r="BA256" s="598"/>
    </row>
    <row r="257" spans="6:53" x14ac:dyDescent="0.35">
      <c r="F257" s="598"/>
      <c r="G257" s="598"/>
      <c r="H257" s="598"/>
      <c r="I257" s="598"/>
      <c r="J257" s="598"/>
      <c r="K257" s="598"/>
      <c r="L257" s="598"/>
      <c r="M257" s="598"/>
      <c r="N257" s="598"/>
      <c r="O257" s="598"/>
      <c r="P257" s="598"/>
      <c r="Q257" s="598"/>
      <c r="R257" s="598"/>
      <c r="S257" s="598"/>
      <c r="T257" s="598"/>
      <c r="U257" s="598"/>
      <c r="V257" s="598"/>
      <c r="W257" s="598"/>
      <c r="X257" s="598"/>
      <c r="Y257" s="598"/>
      <c r="Z257" s="598"/>
      <c r="AA257" s="598"/>
      <c r="AB257" s="598"/>
      <c r="AC257" s="598"/>
      <c r="AD257" s="598"/>
      <c r="AE257" s="598"/>
      <c r="AF257" s="598"/>
      <c r="AG257" s="598"/>
      <c r="AH257" s="598"/>
      <c r="AI257" s="598"/>
      <c r="AJ257" s="598"/>
      <c r="AK257" s="598"/>
      <c r="AL257" s="598"/>
      <c r="AM257" s="598"/>
      <c r="AN257" s="598"/>
      <c r="AO257" s="598"/>
      <c r="AP257" s="598"/>
      <c r="AQ257" s="598"/>
      <c r="AR257" s="598"/>
      <c r="AS257" s="598"/>
      <c r="AT257" s="598"/>
      <c r="AU257" s="598"/>
      <c r="AV257" s="598"/>
      <c r="AW257" s="598"/>
      <c r="AX257" s="598"/>
      <c r="AY257" s="598"/>
      <c r="AZ257" s="598"/>
      <c r="BA257" s="598"/>
    </row>
    <row r="258" spans="6:53" x14ac:dyDescent="0.35">
      <c r="F258" s="598"/>
      <c r="G258" s="598"/>
      <c r="H258" s="598"/>
      <c r="I258" s="598"/>
      <c r="J258" s="598"/>
      <c r="K258" s="598"/>
      <c r="L258" s="598"/>
      <c r="M258" s="598"/>
      <c r="N258" s="598"/>
      <c r="O258" s="598"/>
      <c r="P258" s="598"/>
      <c r="Q258" s="598"/>
      <c r="R258" s="598"/>
      <c r="S258" s="598"/>
      <c r="T258" s="598"/>
      <c r="U258" s="598"/>
      <c r="V258" s="598"/>
      <c r="W258" s="598"/>
      <c r="X258" s="598"/>
      <c r="Y258" s="598"/>
      <c r="Z258" s="598"/>
      <c r="AA258" s="598"/>
      <c r="AB258" s="598"/>
      <c r="AC258" s="598"/>
      <c r="AD258" s="598"/>
      <c r="AE258" s="598"/>
      <c r="AF258" s="598"/>
      <c r="AG258" s="598"/>
      <c r="AH258" s="598"/>
      <c r="AI258" s="598"/>
      <c r="AJ258" s="598"/>
      <c r="AK258" s="598"/>
      <c r="AL258" s="598"/>
      <c r="AM258" s="598"/>
      <c r="AN258" s="598"/>
      <c r="AO258" s="598"/>
      <c r="AP258" s="598"/>
      <c r="AQ258" s="598"/>
      <c r="AR258" s="598"/>
      <c r="AS258" s="598"/>
      <c r="AT258" s="598"/>
      <c r="AU258" s="598"/>
      <c r="AV258" s="598"/>
      <c r="AW258" s="598"/>
      <c r="AX258" s="598"/>
      <c r="AY258" s="598"/>
      <c r="AZ258" s="598"/>
      <c r="BA258" s="598"/>
    </row>
    <row r="259" spans="6:53" x14ac:dyDescent="0.35">
      <c r="F259" s="598"/>
      <c r="G259" s="598"/>
      <c r="H259" s="598"/>
      <c r="I259" s="598"/>
      <c r="J259" s="598"/>
      <c r="K259" s="598"/>
      <c r="L259" s="598"/>
      <c r="M259" s="598"/>
      <c r="N259" s="598"/>
      <c r="O259" s="598"/>
      <c r="P259" s="598"/>
      <c r="Q259" s="598"/>
      <c r="R259" s="598"/>
      <c r="S259" s="598"/>
      <c r="T259" s="598"/>
      <c r="U259" s="598"/>
      <c r="V259" s="598"/>
      <c r="W259" s="598"/>
      <c r="X259" s="598"/>
      <c r="Y259" s="598"/>
      <c r="Z259" s="598"/>
      <c r="AA259" s="598"/>
      <c r="AB259" s="598"/>
      <c r="AC259" s="598"/>
      <c r="AD259" s="598"/>
      <c r="AE259" s="598"/>
      <c r="AF259" s="598"/>
      <c r="AG259" s="598"/>
      <c r="AH259" s="598"/>
      <c r="AI259" s="598"/>
      <c r="AJ259" s="598"/>
      <c r="AK259" s="598"/>
      <c r="AL259" s="598"/>
      <c r="AM259" s="598"/>
      <c r="AN259" s="598"/>
      <c r="AO259" s="598"/>
      <c r="AP259" s="598"/>
      <c r="AQ259" s="598"/>
      <c r="AR259" s="598"/>
      <c r="AS259" s="598"/>
      <c r="AT259" s="598"/>
      <c r="AU259" s="598"/>
      <c r="AV259" s="598"/>
      <c r="AW259" s="598"/>
      <c r="AX259" s="598"/>
      <c r="AY259" s="598"/>
      <c r="AZ259" s="598"/>
      <c r="BA259" s="598"/>
    </row>
  </sheetData>
  <mergeCells count="3091">
    <mergeCell ref="AL106:AO106"/>
    <mergeCell ref="AP106:AS106"/>
    <mergeCell ref="AX106:BA106"/>
    <mergeCell ref="AT79:AW79"/>
    <mergeCell ref="AX79:BA79"/>
    <mergeCell ref="AD67:AG67"/>
    <mergeCell ref="AT99:AW99"/>
    <mergeCell ref="AX99:BA99"/>
    <mergeCell ref="AL100:AO100"/>
    <mergeCell ref="AP100:AS100"/>
    <mergeCell ref="AT100:AW100"/>
    <mergeCell ref="AX100:BA100"/>
    <mergeCell ref="AL101:AO101"/>
    <mergeCell ref="AP101:AS101"/>
    <mergeCell ref="AT101:AW101"/>
    <mergeCell ref="N26:Q26"/>
    <mergeCell ref="R26:U26"/>
    <mergeCell ref="V26:Y26"/>
    <mergeCell ref="AP29:AS29"/>
    <mergeCell ref="AT29:AW29"/>
    <mergeCell ref="AX29:BA29"/>
    <mergeCell ref="AL27:AO27"/>
    <mergeCell ref="AP27:AS27"/>
    <mergeCell ref="AT27:AW27"/>
    <mergeCell ref="AX27:BA27"/>
    <mergeCell ref="N30:Q30"/>
    <mergeCell ref="R30:U30"/>
    <mergeCell ref="V30:Y30"/>
    <mergeCell ref="Z30:AC30"/>
    <mergeCell ref="AD30:AG30"/>
    <mergeCell ref="AH30:AK30"/>
    <mergeCell ref="AL30:AO30"/>
    <mergeCell ref="N27:Q27"/>
    <mergeCell ref="R27:U27"/>
    <mergeCell ref="V27:Y27"/>
    <mergeCell ref="Z27:AC27"/>
    <mergeCell ref="AD27:AG27"/>
    <mergeCell ref="AH27:AK27"/>
    <mergeCell ref="F82:I82"/>
    <mergeCell ref="J82:M82"/>
    <mergeCell ref="N82:Q82"/>
    <mergeCell ref="R82:U82"/>
    <mergeCell ref="Z29:AC29"/>
    <mergeCell ref="AD29:AG29"/>
    <mergeCell ref="AH29:AK29"/>
    <mergeCell ref="AL29:AO29"/>
    <mergeCell ref="A26:C26"/>
    <mergeCell ref="A27:C27"/>
    <mergeCell ref="A28:C28"/>
    <mergeCell ref="A29:C29"/>
    <mergeCell ref="AH58:AK58"/>
    <mergeCell ref="AL58:AO58"/>
    <mergeCell ref="A30:C30"/>
    <mergeCell ref="A80:C80"/>
    <mergeCell ref="A81:C81"/>
    <mergeCell ref="F30:I30"/>
    <mergeCell ref="J30:M30"/>
    <mergeCell ref="AH28:AK28"/>
    <mergeCell ref="AL28:AO28"/>
    <mergeCell ref="F29:I29"/>
    <mergeCell ref="J29:M29"/>
    <mergeCell ref="N29:Q29"/>
    <mergeCell ref="R29:U29"/>
    <mergeCell ref="V29:Y29"/>
    <mergeCell ref="AT84:AW84"/>
    <mergeCell ref="AP72:AS72"/>
    <mergeCell ref="AH62:AK62"/>
    <mergeCell ref="AX62:BA62"/>
    <mergeCell ref="AD62:AG62"/>
    <mergeCell ref="Z62:AC62"/>
    <mergeCell ref="AP83:AS83"/>
    <mergeCell ref="AP75:AS75"/>
    <mergeCell ref="AH77:AK77"/>
    <mergeCell ref="Z77:AC77"/>
    <mergeCell ref="AX63:BA63"/>
    <mergeCell ref="AH64:AK64"/>
    <mergeCell ref="Z26:AC26"/>
    <mergeCell ref="F26:I26"/>
    <mergeCell ref="J26:M26"/>
    <mergeCell ref="AD26:AG26"/>
    <mergeCell ref="AH59:AK59"/>
    <mergeCell ref="AL59:AO59"/>
    <mergeCell ref="AP59:AS59"/>
    <mergeCell ref="AT59:AW59"/>
    <mergeCell ref="AX59:BA59"/>
    <mergeCell ref="AT78:AW78"/>
    <mergeCell ref="AX78:BA78"/>
    <mergeCell ref="AH79:AK79"/>
    <mergeCell ref="AL79:AO79"/>
    <mergeCell ref="AP79:AS79"/>
    <mergeCell ref="AH75:AK75"/>
    <mergeCell ref="AL75:AO75"/>
    <mergeCell ref="AT26:AW26"/>
    <mergeCell ref="AX26:BA26"/>
    <mergeCell ref="F27:I27"/>
    <mergeCell ref="J27:M27"/>
    <mergeCell ref="Z28:AC28"/>
    <mergeCell ref="AD28:AG28"/>
    <mergeCell ref="AH26:AK26"/>
    <mergeCell ref="AL26:AO26"/>
    <mergeCell ref="AP26:AS26"/>
    <mergeCell ref="AX69:BA69"/>
    <mergeCell ref="Z70:AC70"/>
    <mergeCell ref="AT61:AW61"/>
    <mergeCell ref="AX61:BA61"/>
    <mergeCell ref="AH61:AK61"/>
    <mergeCell ref="AL61:AO61"/>
    <mergeCell ref="AP61:AS61"/>
    <mergeCell ref="AL63:AO63"/>
    <mergeCell ref="AP63:AS63"/>
    <mergeCell ref="AX68:BA68"/>
    <mergeCell ref="AL62:AO62"/>
    <mergeCell ref="AP62:AS62"/>
    <mergeCell ref="AT62:AW62"/>
    <mergeCell ref="AP58:AS58"/>
    <mergeCell ref="AT58:AW58"/>
    <mergeCell ref="AX58:BA58"/>
    <mergeCell ref="AP30:AS30"/>
    <mergeCell ref="AT30:AW30"/>
    <mergeCell ref="AX30:BA30"/>
    <mergeCell ref="AP28:AS28"/>
    <mergeCell ref="AT28:AW28"/>
    <mergeCell ref="AX28:BA28"/>
    <mergeCell ref="Z75:AC75"/>
    <mergeCell ref="AL77:AO77"/>
    <mergeCell ref="AP77:AS77"/>
    <mergeCell ref="AT75:AW75"/>
    <mergeCell ref="AT77:AW77"/>
    <mergeCell ref="AL104:AO104"/>
    <mergeCell ref="AP104:AS104"/>
    <mergeCell ref="AT104:AW104"/>
    <mergeCell ref="AX104:BA104"/>
    <mergeCell ref="AL105:AO105"/>
    <mergeCell ref="AP105:AS105"/>
    <mergeCell ref="AT105:AW105"/>
    <mergeCell ref="AX105:BA105"/>
    <mergeCell ref="AH95:AK95"/>
    <mergeCell ref="AL95:AO95"/>
    <mergeCell ref="F13:I13"/>
    <mergeCell ref="J13:M13"/>
    <mergeCell ref="N13:Q13"/>
    <mergeCell ref="R13:U13"/>
    <mergeCell ref="V13:Y13"/>
    <mergeCell ref="Z13:AC13"/>
    <mergeCell ref="AD13:AG13"/>
    <mergeCell ref="AH13:AK13"/>
    <mergeCell ref="AL13:AO13"/>
    <mergeCell ref="AP13:AS13"/>
    <mergeCell ref="AT13:AW13"/>
    <mergeCell ref="AX13:BA13"/>
    <mergeCell ref="F28:I28"/>
    <mergeCell ref="J28:M28"/>
    <mergeCell ref="N28:Q28"/>
    <mergeCell ref="R28:U28"/>
    <mergeCell ref="V28:Y28"/>
    <mergeCell ref="J75:M75"/>
    <mergeCell ref="J76:M76"/>
    <mergeCell ref="AD77:AG77"/>
    <mergeCell ref="AL73:AO73"/>
    <mergeCell ref="F74:I74"/>
    <mergeCell ref="J74:M74"/>
    <mergeCell ref="V77:Y77"/>
    <mergeCell ref="F83:I83"/>
    <mergeCell ref="J83:M83"/>
    <mergeCell ref="N83:Q83"/>
    <mergeCell ref="R83:U83"/>
    <mergeCell ref="V83:Y83"/>
    <mergeCell ref="Z83:AC83"/>
    <mergeCell ref="AD83:AG83"/>
    <mergeCell ref="AH83:AK83"/>
    <mergeCell ref="AL83:AO83"/>
    <mergeCell ref="AH96:AK96"/>
    <mergeCell ref="AL96:AO96"/>
    <mergeCell ref="AD94:AG94"/>
    <mergeCell ref="AH94:AK94"/>
    <mergeCell ref="AL94:AO94"/>
    <mergeCell ref="R74:U74"/>
    <mergeCell ref="R89:U89"/>
    <mergeCell ref="V89:Y89"/>
    <mergeCell ref="R79:U79"/>
    <mergeCell ref="F95:I95"/>
    <mergeCell ref="R73:U73"/>
    <mergeCell ref="N73:Q73"/>
    <mergeCell ref="N74:Q74"/>
    <mergeCell ref="N75:Q75"/>
    <mergeCell ref="N76:Q76"/>
    <mergeCell ref="V82:Y82"/>
    <mergeCell ref="N100:Q100"/>
    <mergeCell ref="R100:U100"/>
    <mergeCell ref="V100:Y100"/>
    <mergeCell ref="Z100:AC100"/>
    <mergeCell ref="AD100:AG100"/>
    <mergeCell ref="J101:M101"/>
    <mergeCell ref="N101:Q101"/>
    <mergeCell ref="AP96:AS96"/>
    <mergeCell ref="AT96:AW96"/>
    <mergeCell ref="AX96:BA96"/>
    <mergeCell ref="V96:Y96"/>
    <mergeCell ref="N94:Q94"/>
    <mergeCell ref="R94:U94"/>
    <mergeCell ref="V94:Y94"/>
    <mergeCell ref="Z94:AC94"/>
    <mergeCell ref="AD93:AG93"/>
    <mergeCell ref="AH93:AK93"/>
    <mergeCell ref="N96:Q96"/>
    <mergeCell ref="AT95:AW95"/>
    <mergeCell ref="AX95:BA95"/>
    <mergeCell ref="R101:U101"/>
    <mergeCell ref="V101:Y101"/>
    <mergeCell ref="Z101:AC101"/>
    <mergeCell ref="AD101:AG101"/>
    <mergeCell ref="AD97:AG97"/>
    <mergeCell ref="Z96:AC96"/>
    <mergeCell ref="J98:M98"/>
    <mergeCell ref="N98:Q98"/>
    <mergeCell ref="R98:U98"/>
    <mergeCell ref="V98:Y98"/>
    <mergeCell ref="Z98:AC98"/>
    <mergeCell ref="AD98:AG98"/>
    <mergeCell ref="AP95:AS95"/>
    <mergeCell ref="J72:M72"/>
    <mergeCell ref="AT76:AW76"/>
    <mergeCell ref="AH99:AK99"/>
    <mergeCell ref="AH100:AK100"/>
    <mergeCell ref="AL99:AO99"/>
    <mergeCell ref="AT87:AW87"/>
    <mergeCell ref="AH87:AK87"/>
    <mergeCell ref="AL92:AO92"/>
    <mergeCell ref="J99:M99"/>
    <mergeCell ref="N99:Q99"/>
    <mergeCell ref="R99:U99"/>
    <mergeCell ref="V99:Y99"/>
    <mergeCell ref="Z99:AC99"/>
    <mergeCell ref="AD99:AG99"/>
    <mergeCell ref="J100:M100"/>
    <mergeCell ref="AP94:AS94"/>
    <mergeCell ref="AT94:AW94"/>
    <mergeCell ref="AH97:AK97"/>
    <mergeCell ref="AL97:AO97"/>
    <mergeCell ref="AD105:AG105"/>
    <mergeCell ref="J106:M106"/>
    <mergeCell ref="N106:Q106"/>
    <mergeCell ref="R105:U105"/>
    <mergeCell ref="V106:Y106"/>
    <mergeCell ref="Z106:AC106"/>
    <mergeCell ref="AD106:AG106"/>
    <mergeCell ref="AH102:AK102"/>
    <mergeCell ref="AH103:AK103"/>
    <mergeCell ref="AH104:AK104"/>
    <mergeCell ref="AH105:AK105"/>
    <mergeCell ref="AH106:AK106"/>
    <mergeCell ref="J102:M102"/>
    <mergeCell ref="N102:Q102"/>
    <mergeCell ref="R102:U102"/>
    <mergeCell ref="V102:Y102"/>
    <mergeCell ref="Z102:AC102"/>
    <mergeCell ref="AD102:AG102"/>
    <mergeCell ref="J103:M103"/>
    <mergeCell ref="N103:Q103"/>
    <mergeCell ref="Z104:AC104"/>
    <mergeCell ref="AD104:AG104"/>
    <mergeCell ref="R106:U106"/>
    <mergeCell ref="Z103:AC103"/>
    <mergeCell ref="AD103:AG103"/>
    <mergeCell ref="J104:M104"/>
    <mergeCell ref="N104:Q104"/>
    <mergeCell ref="R104:U104"/>
    <mergeCell ref="V104:Y104"/>
    <mergeCell ref="V93:Y93"/>
    <mergeCell ref="AP93:AS93"/>
    <mergeCell ref="AT93:AW93"/>
    <mergeCell ref="AX93:BA93"/>
    <mergeCell ref="AL93:AO93"/>
    <mergeCell ref="R93:U93"/>
    <mergeCell ref="AL71:AO71"/>
    <mergeCell ref="AP71:AS71"/>
    <mergeCell ref="AT71:AW71"/>
    <mergeCell ref="AD74:AG74"/>
    <mergeCell ref="AH74:AK74"/>
    <mergeCell ref="AD88:AG88"/>
    <mergeCell ref="AX75:BA75"/>
    <mergeCell ref="AX76:BA76"/>
    <mergeCell ref="AX77:BA77"/>
    <mergeCell ref="AD75:AG75"/>
    <mergeCell ref="AX74:BA74"/>
    <mergeCell ref="AP73:AS73"/>
    <mergeCell ref="AT73:AW73"/>
    <mergeCell ref="AT74:AW74"/>
    <mergeCell ref="R72:U72"/>
    <mergeCell ref="AH72:AK72"/>
    <mergeCell ref="AL72:AO72"/>
    <mergeCell ref="AT102:AW102"/>
    <mergeCell ref="AX102:BA102"/>
    <mergeCell ref="AH101:AK101"/>
    <mergeCell ref="AX64:BA64"/>
    <mergeCell ref="AX70:BA70"/>
    <mergeCell ref="AH107:AK107"/>
    <mergeCell ref="AL107:AO107"/>
    <mergeCell ref="AP107:AS107"/>
    <mergeCell ref="AT107:AW107"/>
    <mergeCell ref="AX107:BA107"/>
    <mergeCell ref="AH86:AK86"/>
    <mergeCell ref="AL86:AO86"/>
    <mergeCell ref="AP86:AS86"/>
    <mergeCell ref="AT86:AW86"/>
    <mergeCell ref="AX86:BA86"/>
    <mergeCell ref="AT97:AW97"/>
    <mergeCell ref="AX97:BA97"/>
    <mergeCell ref="AH98:AK98"/>
    <mergeCell ref="AL98:AO98"/>
    <mergeCell ref="AP98:AS98"/>
    <mergeCell ref="AT106:AW106"/>
    <mergeCell ref="AL103:AO103"/>
    <mergeCell ref="AL102:AO102"/>
    <mergeCell ref="AX94:BA94"/>
    <mergeCell ref="AX101:BA101"/>
    <mergeCell ref="AP97:AS97"/>
    <mergeCell ref="AH88:AK88"/>
    <mergeCell ref="AL88:AO88"/>
    <mergeCell ref="AH82:AK82"/>
    <mergeCell ref="AL82:AO82"/>
    <mergeCell ref="AP82:AS82"/>
    <mergeCell ref="AT82:AW82"/>
    <mergeCell ref="AX82:BA82"/>
    <mergeCell ref="AL74:AO74"/>
    <mergeCell ref="AH78:AK78"/>
    <mergeCell ref="AD86:AG86"/>
    <mergeCell ref="AD87:AG87"/>
    <mergeCell ref="AD68:AG68"/>
    <mergeCell ref="AT90:AW90"/>
    <mergeCell ref="AX90:BA90"/>
    <mergeCell ref="AD92:AG92"/>
    <mergeCell ref="AL87:AO87"/>
    <mergeCell ref="AX89:BA89"/>
    <mergeCell ref="AP102:AS102"/>
    <mergeCell ref="AD96:AG96"/>
    <mergeCell ref="AX87:BA87"/>
    <mergeCell ref="AP92:AS92"/>
    <mergeCell ref="AP89:AS89"/>
    <mergeCell ref="AT89:AW89"/>
    <mergeCell ref="AT98:AW98"/>
    <mergeCell ref="AX98:BA98"/>
    <mergeCell ref="AP99:AS99"/>
    <mergeCell ref="AX72:BA72"/>
    <mergeCell ref="AX73:BA73"/>
    <mergeCell ref="AT72:AW72"/>
    <mergeCell ref="AX71:BA71"/>
    <mergeCell ref="AT70:AW70"/>
    <mergeCell ref="AD82:AG82"/>
    <mergeCell ref="AD73:AG73"/>
    <mergeCell ref="AL78:AO78"/>
    <mergeCell ref="AP78:AS78"/>
    <mergeCell ref="AT83:AW83"/>
    <mergeCell ref="AX83:BA83"/>
    <mergeCell ref="AX84:BA84"/>
    <mergeCell ref="AH84:AK84"/>
    <mergeCell ref="AL84:AO84"/>
    <mergeCell ref="AP84:AS84"/>
    <mergeCell ref="J61:M61"/>
    <mergeCell ref="Z61:AC61"/>
    <mergeCell ref="AD61:AG61"/>
    <mergeCell ref="R61:U61"/>
    <mergeCell ref="N53:Q53"/>
    <mergeCell ref="AL70:AO70"/>
    <mergeCell ref="AT60:AW60"/>
    <mergeCell ref="V60:Y60"/>
    <mergeCell ref="AP103:AS103"/>
    <mergeCell ref="AT103:AW103"/>
    <mergeCell ref="AX103:BA103"/>
    <mergeCell ref="AP87:AS87"/>
    <mergeCell ref="AP64:AS64"/>
    <mergeCell ref="AT64:AW64"/>
    <mergeCell ref="AD76:AG76"/>
    <mergeCell ref="AH76:AK76"/>
    <mergeCell ref="AL76:AO76"/>
    <mergeCell ref="AT63:AW63"/>
    <mergeCell ref="AH67:AK67"/>
    <mergeCell ref="AL67:AO67"/>
    <mergeCell ref="AP67:AS67"/>
    <mergeCell ref="AT67:AW67"/>
    <mergeCell ref="AH68:AK68"/>
    <mergeCell ref="AL68:AO68"/>
    <mergeCell ref="AP68:AS68"/>
    <mergeCell ref="AT68:AW68"/>
    <mergeCell ref="AP74:AS74"/>
    <mergeCell ref="AP76:AS76"/>
    <mergeCell ref="AD71:AG71"/>
    <mergeCell ref="AH71:AK71"/>
    <mergeCell ref="AD72:AG72"/>
    <mergeCell ref="AX67:BA67"/>
    <mergeCell ref="F69:I69"/>
    <mergeCell ref="F70:I70"/>
    <mergeCell ref="F71:I71"/>
    <mergeCell ref="J62:M62"/>
    <mergeCell ref="J67:M67"/>
    <mergeCell ref="J69:M69"/>
    <mergeCell ref="J70:M70"/>
    <mergeCell ref="J71:M71"/>
    <mergeCell ref="R69:U69"/>
    <mergeCell ref="R70:U70"/>
    <mergeCell ref="R71:U71"/>
    <mergeCell ref="AD69:AG69"/>
    <mergeCell ref="AH69:AK69"/>
    <mergeCell ref="AL69:AO69"/>
    <mergeCell ref="AP69:AS69"/>
    <mergeCell ref="AT69:AW69"/>
    <mergeCell ref="AD70:AG70"/>
    <mergeCell ref="AH70:AK70"/>
    <mergeCell ref="AL64:AO64"/>
    <mergeCell ref="AP70:AS70"/>
    <mergeCell ref="Z41:AC41"/>
    <mergeCell ref="V47:Y47"/>
    <mergeCell ref="AH38:AK38"/>
    <mergeCell ref="AH39:AK39"/>
    <mergeCell ref="AX45:BA45"/>
    <mergeCell ref="AH35:AK35"/>
    <mergeCell ref="AL35:AO35"/>
    <mergeCell ref="AP35:AS35"/>
    <mergeCell ref="AT35:AW35"/>
    <mergeCell ref="AX35:BA35"/>
    <mergeCell ref="AT41:AW41"/>
    <mergeCell ref="AX41:BA41"/>
    <mergeCell ref="AX42:BA42"/>
    <mergeCell ref="AD41:AG41"/>
    <mergeCell ref="AH55:AK55"/>
    <mergeCell ref="AL47:AO47"/>
    <mergeCell ref="AP47:AS47"/>
    <mergeCell ref="V50:Y50"/>
    <mergeCell ref="Z50:AC50"/>
    <mergeCell ref="V52:Y52"/>
    <mergeCell ref="Z52:AC52"/>
    <mergeCell ref="AX55:BA55"/>
    <mergeCell ref="AL54:AO54"/>
    <mergeCell ref="AX36:BA36"/>
    <mergeCell ref="AX43:BA43"/>
    <mergeCell ref="F66:I66"/>
    <mergeCell ref="Z63:AC63"/>
    <mergeCell ref="AD63:AG63"/>
    <mergeCell ref="AL60:AO60"/>
    <mergeCell ref="AP60:AS60"/>
    <mergeCell ref="AL55:AO55"/>
    <mergeCell ref="AP55:AS55"/>
    <mergeCell ref="AT55:AW55"/>
    <mergeCell ref="AX47:BA47"/>
    <mergeCell ref="AX48:BA48"/>
    <mergeCell ref="AX49:BA49"/>
    <mergeCell ref="AX50:BA50"/>
    <mergeCell ref="AX51:BA51"/>
    <mergeCell ref="AX52:BA52"/>
    <mergeCell ref="AX53:BA53"/>
    <mergeCell ref="AX54:BA54"/>
    <mergeCell ref="AH66:AK66"/>
    <mergeCell ref="AL66:AO66"/>
    <mergeCell ref="AP66:AS66"/>
    <mergeCell ref="AT66:AW66"/>
    <mergeCell ref="AX66:BA66"/>
    <mergeCell ref="V66:Y66"/>
    <mergeCell ref="J53:M53"/>
    <mergeCell ref="J51:M51"/>
    <mergeCell ref="J54:M54"/>
    <mergeCell ref="F51:I51"/>
    <mergeCell ref="N47:Q47"/>
    <mergeCell ref="J50:M50"/>
    <mergeCell ref="J52:M52"/>
    <mergeCell ref="F61:I61"/>
    <mergeCell ref="AX60:BA60"/>
    <mergeCell ref="F62:I62"/>
    <mergeCell ref="A59:C59"/>
    <mergeCell ref="F58:I58"/>
    <mergeCell ref="J58:M58"/>
    <mergeCell ref="AH56:AK56"/>
    <mergeCell ref="AL56:AO56"/>
    <mergeCell ref="AP56:AS56"/>
    <mergeCell ref="AT56:AW56"/>
    <mergeCell ref="AX56:BA56"/>
    <mergeCell ref="AH47:AK47"/>
    <mergeCell ref="AH48:AK48"/>
    <mergeCell ref="AH49:AK49"/>
    <mergeCell ref="AH50:AK50"/>
    <mergeCell ref="AH51:AK51"/>
    <mergeCell ref="AH52:AK52"/>
    <mergeCell ref="AH53:AK53"/>
    <mergeCell ref="AH54:AK54"/>
    <mergeCell ref="AX65:BA65"/>
    <mergeCell ref="AH63:AK63"/>
    <mergeCell ref="AH60:AK60"/>
    <mergeCell ref="AD64:AG64"/>
    <mergeCell ref="AH65:AK65"/>
    <mergeCell ref="AL65:AO65"/>
    <mergeCell ref="AP65:AS65"/>
    <mergeCell ref="AT65:AW65"/>
    <mergeCell ref="A51:C51"/>
    <mergeCell ref="A52:C52"/>
    <mergeCell ref="A53:C53"/>
    <mergeCell ref="A54:C54"/>
    <mergeCell ref="J47:M47"/>
    <mergeCell ref="J55:M55"/>
    <mergeCell ref="J56:M56"/>
    <mergeCell ref="F53:I53"/>
    <mergeCell ref="F36:I36"/>
    <mergeCell ref="J36:M36"/>
    <mergeCell ref="N36:Q36"/>
    <mergeCell ref="Z31:AC31"/>
    <mergeCell ref="AD31:AG31"/>
    <mergeCell ref="AH31:AK31"/>
    <mergeCell ref="AX25:BA25"/>
    <mergeCell ref="AX33:BA33"/>
    <mergeCell ref="AP54:AS54"/>
    <mergeCell ref="AT54:AW54"/>
    <mergeCell ref="AX37:BA37"/>
    <mergeCell ref="Z33:AC33"/>
    <mergeCell ref="AT47:AW47"/>
    <mergeCell ref="AL48:AO48"/>
    <mergeCell ref="AH37:AK37"/>
    <mergeCell ref="AH41:AK41"/>
    <mergeCell ref="AD58:AG58"/>
    <mergeCell ref="V36:Y36"/>
    <mergeCell ref="Z36:AC36"/>
    <mergeCell ref="AD36:AG36"/>
    <mergeCell ref="AH36:AK36"/>
    <mergeCell ref="AP40:AS40"/>
    <mergeCell ref="AT40:AW40"/>
    <mergeCell ref="AX40:BA40"/>
    <mergeCell ref="V43:Y43"/>
    <mergeCell ref="Z43:AC43"/>
    <mergeCell ref="AP44:AS44"/>
    <mergeCell ref="AT44:AW44"/>
    <mergeCell ref="AX44:BA44"/>
    <mergeCell ref="AD52:AG52"/>
    <mergeCell ref="Z37:AC37"/>
    <mergeCell ref="Z53:AC53"/>
    <mergeCell ref="J49:M49"/>
    <mergeCell ref="AD50:AG50"/>
    <mergeCell ref="N50:Q50"/>
    <mergeCell ref="R50:U50"/>
    <mergeCell ref="N51:Q51"/>
    <mergeCell ref="R51:U51"/>
    <mergeCell ref="V51:Y51"/>
    <mergeCell ref="Z46:AC46"/>
    <mergeCell ref="AD51:AG51"/>
    <mergeCell ref="N41:Q41"/>
    <mergeCell ref="AP42:AS42"/>
    <mergeCell ref="AT42:AW42"/>
    <mergeCell ref="V34:Y34"/>
    <mergeCell ref="Z45:AC45"/>
    <mergeCell ref="AL37:AO37"/>
    <mergeCell ref="AP37:AS37"/>
    <mergeCell ref="AT37:AW37"/>
    <mergeCell ref="AH45:AK45"/>
    <mergeCell ref="AL45:AO45"/>
    <mergeCell ref="AP45:AS45"/>
    <mergeCell ref="AP38:AS38"/>
    <mergeCell ref="AT38:AW38"/>
    <mergeCell ref="AL36:AO36"/>
    <mergeCell ref="AP36:AS36"/>
    <mergeCell ref="AT36:AW36"/>
    <mergeCell ref="AP43:AS43"/>
    <mergeCell ref="AT43:AW43"/>
    <mergeCell ref="R36:U36"/>
    <mergeCell ref="N39:Q39"/>
    <mergeCell ref="R39:U39"/>
    <mergeCell ref="AP41:AS41"/>
    <mergeCell ref="Z34:AC34"/>
    <mergeCell ref="N54:Q54"/>
    <mergeCell ref="R54:U54"/>
    <mergeCell ref="J34:M34"/>
    <mergeCell ref="N34:Q34"/>
    <mergeCell ref="R37:U37"/>
    <mergeCell ref="V37:Y37"/>
    <mergeCell ref="R35:U35"/>
    <mergeCell ref="V35:Y35"/>
    <mergeCell ref="N40:Q40"/>
    <mergeCell ref="AD56:AG56"/>
    <mergeCell ref="AP23:AS23"/>
    <mergeCell ref="AT23:AW23"/>
    <mergeCell ref="AX23:BA23"/>
    <mergeCell ref="N55:Q55"/>
    <mergeCell ref="F52:I52"/>
    <mergeCell ref="AH46:AK46"/>
    <mergeCell ref="AL46:AO46"/>
    <mergeCell ref="AP46:AS46"/>
    <mergeCell ref="AT46:AW46"/>
    <mergeCell ref="AX46:BA46"/>
    <mergeCell ref="AL50:AO50"/>
    <mergeCell ref="AP50:AS50"/>
    <mergeCell ref="AT50:AW50"/>
    <mergeCell ref="AL51:AO51"/>
    <mergeCell ref="AP51:AS51"/>
    <mergeCell ref="AT51:AW51"/>
    <mergeCell ref="F31:I31"/>
    <mergeCell ref="F32:I32"/>
    <mergeCell ref="F33:I33"/>
    <mergeCell ref="AD25:AG25"/>
    <mergeCell ref="AH25:AK25"/>
    <mergeCell ref="R32:U32"/>
    <mergeCell ref="V32:Y32"/>
    <mergeCell ref="AX38:BA38"/>
    <mergeCell ref="AL39:AO39"/>
    <mergeCell ref="AP39:AS39"/>
    <mergeCell ref="AT39:AW39"/>
    <mergeCell ref="AX39:BA39"/>
    <mergeCell ref="AT45:AW45"/>
    <mergeCell ref="AL41:AO41"/>
    <mergeCell ref="V53:Y53"/>
    <mergeCell ref="J46:M46"/>
    <mergeCell ref="AT21:AW21"/>
    <mergeCell ref="AX21:BA21"/>
    <mergeCell ref="AL52:AO52"/>
    <mergeCell ref="AP52:AS52"/>
    <mergeCell ref="AT52:AW52"/>
    <mergeCell ref="AL53:AO53"/>
    <mergeCell ref="AP53:AS53"/>
    <mergeCell ref="AT53:AW53"/>
    <mergeCell ref="AL23:AO23"/>
    <mergeCell ref="AL24:AO24"/>
    <mergeCell ref="AP24:AS24"/>
    <mergeCell ref="AT24:AW24"/>
    <mergeCell ref="AX24:BA24"/>
    <mergeCell ref="AP49:AS49"/>
    <mergeCell ref="AT49:AW49"/>
    <mergeCell ref="AP48:AS48"/>
    <mergeCell ref="AT48:AW48"/>
    <mergeCell ref="AL49:AO49"/>
    <mergeCell ref="AL33:AO33"/>
    <mergeCell ref="AP33:AS33"/>
    <mergeCell ref="AT33:AW33"/>
    <mergeCell ref="AL38:AO38"/>
    <mergeCell ref="A17:C17"/>
    <mergeCell ref="AH34:AK34"/>
    <mergeCell ref="AL34:AO34"/>
    <mergeCell ref="AP34:AS34"/>
    <mergeCell ref="AT34:AW34"/>
    <mergeCell ref="AX34:BA34"/>
    <mergeCell ref="AH19:AK19"/>
    <mergeCell ref="AL19:AO19"/>
    <mergeCell ref="AP19:AS19"/>
    <mergeCell ref="AT19:AW19"/>
    <mergeCell ref="AX19:BA19"/>
    <mergeCell ref="AH17:AK17"/>
    <mergeCell ref="AL17:AO17"/>
    <mergeCell ref="AP17:AS17"/>
    <mergeCell ref="AT17:AW17"/>
    <mergeCell ref="AX17:BA17"/>
    <mergeCell ref="AH18:AK18"/>
    <mergeCell ref="AL18:AO18"/>
    <mergeCell ref="AP18:AS18"/>
    <mergeCell ref="AL31:AO31"/>
    <mergeCell ref="AP31:AS31"/>
    <mergeCell ref="AT31:AW31"/>
    <mergeCell ref="AX31:BA31"/>
    <mergeCell ref="AL32:AO32"/>
    <mergeCell ref="AP32:AS32"/>
    <mergeCell ref="AD33:AG33"/>
    <mergeCell ref="AH33:AK33"/>
    <mergeCell ref="AT32:AW32"/>
    <mergeCell ref="AX32:BA32"/>
    <mergeCell ref="AL25:AO25"/>
    <mergeCell ref="AP25:AS25"/>
    <mergeCell ref="AT25:AW25"/>
    <mergeCell ref="AX15:BA15"/>
    <mergeCell ref="J112:AG112"/>
    <mergeCell ref="AH112:AO112"/>
    <mergeCell ref="AP112:BA112"/>
    <mergeCell ref="AH113:AK113"/>
    <mergeCell ref="AL113:AO113"/>
    <mergeCell ref="AP113:AS113"/>
    <mergeCell ref="AT113:AW113"/>
    <mergeCell ref="AX113:BA113"/>
    <mergeCell ref="J20:M20"/>
    <mergeCell ref="J23:M23"/>
    <mergeCell ref="J24:M24"/>
    <mergeCell ref="J25:M25"/>
    <mergeCell ref="J31:M31"/>
    <mergeCell ref="J32:M32"/>
    <mergeCell ref="J33:M33"/>
    <mergeCell ref="N23:Q23"/>
    <mergeCell ref="N24:Q24"/>
    <mergeCell ref="N25:Q25"/>
    <mergeCell ref="N31:Q31"/>
    <mergeCell ref="N32:Q32"/>
    <mergeCell ref="N33:Q33"/>
    <mergeCell ref="AT18:AW18"/>
    <mergeCell ref="V21:Y21"/>
    <mergeCell ref="Z21:AC21"/>
    <mergeCell ref="AD21:AG21"/>
    <mergeCell ref="AH21:AK21"/>
    <mergeCell ref="AL21:AO21"/>
    <mergeCell ref="R25:U25"/>
    <mergeCell ref="V25:Y25"/>
    <mergeCell ref="Z25:AC25"/>
    <mergeCell ref="AP21:AS21"/>
    <mergeCell ref="AT12:AW12"/>
    <mergeCell ref="AX12:BA12"/>
    <mergeCell ref="AP1:BA1"/>
    <mergeCell ref="AH5:AK5"/>
    <mergeCell ref="AL5:AO5"/>
    <mergeCell ref="AP5:AS5"/>
    <mergeCell ref="AH10:AK10"/>
    <mergeCell ref="AL10:AO10"/>
    <mergeCell ref="AP10:AS10"/>
    <mergeCell ref="AT10:AW10"/>
    <mergeCell ref="AX10:BA10"/>
    <mergeCell ref="R10:U10"/>
    <mergeCell ref="V10:Y10"/>
    <mergeCell ref="Z32:AC32"/>
    <mergeCell ref="AD32:AG32"/>
    <mergeCell ref="Z15:AC15"/>
    <mergeCell ref="Z10:AC10"/>
    <mergeCell ref="R19:U19"/>
    <mergeCell ref="V19:Y19"/>
    <mergeCell ref="Z19:AC19"/>
    <mergeCell ref="Z23:AC23"/>
    <mergeCell ref="AD15:AG15"/>
    <mergeCell ref="Z12:AC12"/>
    <mergeCell ref="AH32:AK32"/>
    <mergeCell ref="AX18:BA18"/>
    <mergeCell ref="Z17:AC17"/>
    <mergeCell ref="AD17:AG17"/>
    <mergeCell ref="J14:AG14"/>
    <mergeCell ref="Z18:AC18"/>
    <mergeCell ref="J22:M22"/>
    <mergeCell ref="N22:Q22"/>
    <mergeCell ref="R22:U22"/>
    <mergeCell ref="J1:AG1"/>
    <mergeCell ref="AT9:AW9"/>
    <mergeCell ref="N9:Q9"/>
    <mergeCell ref="R9:U9"/>
    <mergeCell ref="AT5:AW5"/>
    <mergeCell ref="J6:M6"/>
    <mergeCell ref="AL6:AO6"/>
    <mergeCell ref="AD6:AG6"/>
    <mergeCell ref="R7:U7"/>
    <mergeCell ref="AL7:AO7"/>
    <mergeCell ref="AD9:AG9"/>
    <mergeCell ref="V6:Y6"/>
    <mergeCell ref="V9:Y9"/>
    <mergeCell ref="Z7:AC7"/>
    <mergeCell ref="J7:M7"/>
    <mergeCell ref="AT2:AW2"/>
    <mergeCell ref="AH1:AO1"/>
    <mergeCell ref="AP4:AS4"/>
    <mergeCell ref="AT4:AW4"/>
    <mergeCell ref="AD5:AG5"/>
    <mergeCell ref="AH6:AK6"/>
    <mergeCell ref="AD8:AG8"/>
    <mergeCell ref="AH4:AK4"/>
    <mergeCell ref="AL4:AO4"/>
    <mergeCell ref="AD23:AG23"/>
    <mergeCell ref="AH23:AK23"/>
    <mergeCell ref="R21:U21"/>
    <mergeCell ref="Z24:AC24"/>
    <mergeCell ref="AD24:AG24"/>
    <mergeCell ref="AH24:AK24"/>
    <mergeCell ref="R33:U33"/>
    <mergeCell ref="V33:Y33"/>
    <mergeCell ref="V49:Y49"/>
    <mergeCell ref="R52:U52"/>
    <mergeCell ref="V69:Y69"/>
    <mergeCell ref="Z69:AC69"/>
    <mergeCell ref="V70:Y70"/>
    <mergeCell ref="AH73:AK73"/>
    <mergeCell ref="V67:Y67"/>
    <mergeCell ref="Z68:AC68"/>
    <mergeCell ref="V39:Y39"/>
    <mergeCell ref="Z39:AC39"/>
    <mergeCell ref="AD39:AG39"/>
    <mergeCell ref="R41:U41"/>
    <mergeCell ref="R53:U53"/>
    <mergeCell ref="Z51:AC51"/>
    <mergeCell ref="Z49:AC49"/>
    <mergeCell ref="AD49:AG49"/>
    <mergeCell ref="Z55:AC55"/>
    <mergeCell ref="AD55:AG55"/>
    <mergeCell ref="AD53:AG53"/>
    <mergeCell ref="AD37:AG37"/>
    <mergeCell ref="V61:Y61"/>
    <mergeCell ref="R62:U62"/>
    <mergeCell ref="Z59:AC59"/>
    <mergeCell ref="Z60:AC60"/>
    <mergeCell ref="R64:U64"/>
    <mergeCell ref="V64:Y64"/>
    <mergeCell ref="Z64:AC64"/>
    <mergeCell ref="R56:U56"/>
    <mergeCell ref="V90:Y90"/>
    <mergeCell ref="R85:U85"/>
    <mergeCell ref="Z80:AC80"/>
    <mergeCell ref="N69:Q69"/>
    <mergeCell ref="N70:Q70"/>
    <mergeCell ref="R63:U63"/>
    <mergeCell ref="N85:Q85"/>
    <mergeCell ref="N84:Q84"/>
    <mergeCell ref="R84:U84"/>
    <mergeCell ref="R75:U75"/>
    <mergeCell ref="R76:U76"/>
    <mergeCell ref="R77:U77"/>
    <mergeCell ref="N78:Q78"/>
    <mergeCell ref="N62:Q62"/>
    <mergeCell ref="V62:Y62"/>
    <mergeCell ref="R90:U90"/>
    <mergeCell ref="Z78:AC78"/>
    <mergeCell ref="R88:U88"/>
    <mergeCell ref="V88:Y88"/>
    <mergeCell ref="Z88:AC88"/>
    <mergeCell ref="R80:U80"/>
    <mergeCell ref="N89:Q89"/>
    <mergeCell ref="Z82:AC82"/>
    <mergeCell ref="V73:Y73"/>
    <mergeCell ref="Z73:AC73"/>
    <mergeCell ref="V74:Y74"/>
    <mergeCell ref="Z74:AC74"/>
    <mergeCell ref="V75:Y75"/>
    <mergeCell ref="Z173:AC173"/>
    <mergeCell ref="Z174:AC174"/>
    <mergeCell ref="Z161:AC161"/>
    <mergeCell ref="R170:U170"/>
    <mergeCell ref="V170:Y170"/>
    <mergeCell ref="R157:U157"/>
    <mergeCell ref="V157:Y157"/>
    <mergeCell ref="V85:Y85"/>
    <mergeCell ref="N119:Q119"/>
    <mergeCell ref="Z119:AC119"/>
    <mergeCell ref="Z162:AC162"/>
    <mergeCell ref="Z166:AC166"/>
    <mergeCell ref="R133:U133"/>
    <mergeCell ref="V133:Y133"/>
    <mergeCell ref="V71:Y71"/>
    <mergeCell ref="Z71:AC71"/>
    <mergeCell ref="V72:Y72"/>
    <mergeCell ref="Z72:AC72"/>
    <mergeCell ref="V76:Y76"/>
    <mergeCell ref="Z76:AC76"/>
    <mergeCell ref="V97:Y97"/>
    <mergeCell ref="V78:Y78"/>
    <mergeCell ref="V79:Y79"/>
    <mergeCell ref="Z91:AC91"/>
    <mergeCell ref="R78:U78"/>
    <mergeCell ref="V115:Y115"/>
    <mergeCell ref="N105:Q105"/>
    <mergeCell ref="V105:Y105"/>
    <mergeCell ref="Z105:AC105"/>
    <mergeCell ref="V174:Y174"/>
    <mergeCell ref="R151:U151"/>
    <mergeCell ref="V151:Y151"/>
    <mergeCell ref="N71:Q71"/>
    <mergeCell ref="N72:Q72"/>
    <mergeCell ref="N77:Q77"/>
    <mergeCell ref="N189:Q189"/>
    <mergeCell ref="R189:U189"/>
    <mergeCell ref="V189:Y189"/>
    <mergeCell ref="N178:Q178"/>
    <mergeCell ref="R178:U178"/>
    <mergeCell ref="N154:Q154"/>
    <mergeCell ref="R154:U154"/>
    <mergeCell ref="V154:Y154"/>
    <mergeCell ref="V181:Y181"/>
    <mergeCell ref="V183:Y183"/>
    <mergeCell ref="V124:Y124"/>
    <mergeCell ref="J105:M105"/>
    <mergeCell ref="J84:M84"/>
    <mergeCell ref="J94:M94"/>
    <mergeCell ref="N167:Q167"/>
    <mergeCell ref="R167:U167"/>
    <mergeCell ref="V160:Y160"/>
    <mergeCell ref="J161:M161"/>
    <mergeCell ref="N161:Q161"/>
    <mergeCell ref="R161:U161"/>
    <mergeCell ref="V161:Y161"/>
    <mergeCell ref="J127:M127"/>
    <mergeCell ref="R95:U95"/>
    <mergeCell ref="J95:M95"/>
    <mergeCell ref="R97:U97"/>
    <mergeCell ref="N107:Q107"/>
    <mergeCell ref="R107:U107"/>
    <mergeCell ref="R103:U103"/>
    <mergeCell ref="V103:Y103"/>
    <mergeCell ref="F135:I135"/>
    <mergeCell ref="Z90:AC90"/>
    <mergeCell ref="Z79:AC79"/>
    <mergeCell ref="V65:Y65"/>
    <mergeCell ref="V68:Y68"/>
    <mergeCell ref="V80:Y80"/>
    <mergeCell ref="J77:M77"/>
    <mergeCell ref="Z97:AC97"/>
    <mergeCell ref="R168:U168"/>
    <mergeCell ref="V168:Y168"/>
    <mergeCell ref="V169:Y169"/>
    <mergeCell ref="R142:U142"/>
    <mergeCell ref="R141:U141"/>
    <mergeCell ref="N141:Q141"/>
    <mergeCell ref="N144:Q144"/>
    <mergeCell ref="J65:M65"/>
    <mergeCell ref="N65:Q65"/>
    <mergeCell ref="R65:U65"/>
    <mergeCell ref="J115:M115"/>
    <mergeCell ref="N115:Q115"/>
    <mergeCell ref="R115:U115"/>
    <mergeCell ref="R92:U92"/>
    <mergeCell ref="V92:Y92"/>
    <mergeCell ref="N68:Q68"/>
    <mergeCell ref="Z118:AC118"/>
    <mergeCell ref="Z67:AC67"/>
    <mergeCell ref="Z65:AC65"/>
    <mergeCell ref="Z66:AC66"/>
    <mergeCell ref="F84:I84"/>
    <mergeCell ref="F94:I94"/>
    <mergeCell ref="F167:I167"/>
    <mergeCell ref="J167:M167"/>
    <mergeCell ref="J162:M162"/>
    <mergeCell ref="N162:Q162"/>
    <mergeCell ref="R166:U166"/>
    <mergeCell ref="V166:Y166"/>
    <mergeCell ref="F175:I175"/>
    <mergeCell ref="J175:M175"/>
    <mergeCell ref="N175:Q175"/>
    <mergeCell ref="R175:U175"/>
    <mergeCell ref="V175:Y175"/>
    <mergeCell ref="F172:I172"/>
    <mergeCell ref="F173:I173"/>
    <mergeCell ref="F174:I174"/>
    <mergeCell ref="J172:M172"/>
    <mergeCell ref="J173:M173"/>
    <mergeCell ref="J174:M174"/>
    <mergeCell ref="F163:I163"/>
    <mergeCell ref="J163:M163"/>
    <mergeCell ref="N163:Q163"/>
    <mergeCell ref="R163:U163"/>
    <mergeCell ref="V163:Y163"/>
    <mergeCell ref="J166:M166"/>
    <mergeCell ref="N166:Q166"/>
    <mergeCell ref="N174:Q174"/>
    <mergeCell ref="A173:C173"/>
    <mergeCell ref="J181:M181"/>
    <mergeCell ref="N181:Q181"/>
    <mergeCell ref="R181:U181"/>
    <mergeCell ref="N173:Q173"/>
    <mergeCell ref="A172:C172"/>
    <mergeCell ref="A179:C179"/>
    <mergeCell ref="A180:C180"/>
    <mergeCell ref="A181:C181"/>
    <mergeCell ref="A183:C183"/>
    <mergeCell ref="A198:C198"/>
    <mergeCell ref="V180:Y180"/>
    <mergeCell ref="F161:I161"/>
    <mergeCell ref="F166:I166"/>
    <mergeCell ref="F179:I179"/>
    <mergeCell ref="J179:M179"/>
    <mergeCell ref="N180:Q180"/>
    <mergeCell ref="R180:U180"/>
    <mergeCell ref="F185:I185"/>
    <mergeCell ref="J185:M185"/>
    <mergeCell ref="N185:Q185"/>
    <mergeCell ref="R185:U185"/>
    <mergeCell ref="V185:Y185"/>
    <mergeCell ref="F183:I183"/>
    <mergeCell ref="J183:M183"/>
    <mergeCell ref="N183:Q183"/>
    <mergeCell ref="R183:U183"/>
    <mergeCell ref="J178:M178"/>
    <mergeCell ref="F177:I177"/>
    <mergeCell ref="J177:M177"/>
    <mergeCell ref="N176:Q176"/>
    <mergeCell ref="R176:U176"/>
    <mergeCell ref="N198:Q198"/>
    <mergeCell ref="R198:U198"/>
    <mergeCell ref="V198:Y198"/>
    <mergeCell ref="F184:I184"/>
    <mergeCell ref="Z151:AC151"/>
    <mergeCell ref="Z152:AC152"/>
    <mergeCell ref="Z176:AC176"/>
    <mergeCell ref="Z186:AC186"/>
    <mergeCell ref="Z187:AC187"/>
    <mergeCell ref="F189:I189"/>
    <mergeCell ref="J189:M189"/>
    <mergeCell ref="R171:U171"/>
    <mergeCell ref="R172:U172"/>
    <mergeCell ref="R173:U173"/>
    <mergeCell ref="R174:U174"/>
    <mergeCell ref="V171:Y171"/>
    <mergeCell ref="V172:Y172"/>
    <mergeCell ref="V173:Y173"/>
    <mergeCell ref="J197:M197"/>
    <mergeCell ref="V176:Y176"/>
    <mergeCell ref="R179:U179"/>
    <mergeCell ref="V179:Y179"/>
    <mergeCell ref="F178:I178"/>
    <mergeCell ref="N177:Q177"/>
    <mergeCell ref="R177:U177"/>
    <mergeCell ref="V177:Y177"/>
    <mergeCell ref="J184:M184"/>
    <mergeCell ref="N184:Q184"/>
    <mergeCell ref="F176:I176"/>
    <mergeCell ref="J176:M176"/>
    <mergeCell ref="F181:I181"/>
    <mergeCell ref="F162:I162"/>
    <mergeCell ref="A189:C189"/>
    <mergeCell ref="A143:C143"/>
    <mergeCell ref="F97:I97"/>
    <mergeCell ref="J97:M97"/>
    <mergeCell ref="N97:Q97"/>
    <mergeCell ref="F92:I92"/>
    <mergeCell ref="N92:Q92"/>
    <mergeCell ref="R184:U184"/>
    <mergeCell ref="V184:Y184"/>
    <mergeCell ref="F147:I147"/>
    <mergeCell ref="J147:M147"/>
    <mergeCell ref="R143:U143"/>
    <mergeCell ref="V143:Y143"/>
    <mergeCell ref="R144:U144"/>
    <mergeCell ref="V144:Y144"/>
    <mergeCell ref="R145:U145"/>
    <mergeCell ref="V145:Y145"/>
    <mergeCell ref="R146:U146"/>
    <mergeCell ref="V146:Y146"/>
    <mergeCell ref="V147:Y147"/>
    <mergeCell ref="F145:I145"/>
    <mergeCell ref="J145:M145"/>
    <mergeCell ref="F171:I171"/>
    <mergeCell ref="A140:B140"/>
    <mergeCell ref="A154:C154"/>
    <mergeCell ref="J151:M151"/>
    <mergeCell ref="N151:Q151"/>
    <mergeCell ref="F153:I153"/>
    <mergeCell ref="J153:M153"/>
    <mergeCell ref="N150:Q150"/>
    <mergeCell ref="R150:U150"/>
    <mergeCell ref="A174:C174"/>
    <mergeCell ref="J96:M96"/>
    <mergeCell ref="J18:M18"/>
    <mergeCell ref="A147:C147"/>
    <mergeCell ref="A149:C149"/>
    <mergeCell ref="A97:C97"/>
    <mergeCell ref="A106:C106"/>
    <mergeCell ref="A107:C107"/>
    <mergeCell ref="A100:C100"/>
    <mergeCell ref="A101:C101"/>
    <mergeCell ref="A102:C102"/>
    <mergeCell ref="A103:C103"/>
    <mergeCell ref="A104:C104"/>
    <mergeCell ref="A105:C105"/>
    <mergeCell ref="A98:C98"/>
    <mergeCell ref="A99:C99"/>
    <mergeCell ref="A145:C145"/>
    <mergeCell ref="A144:C144"/>
    <mergeCell ref="A49:C49"/>
    <mergeCell ref="A50:C50"/>
    <mergeCell ref="A141:C141"/>
    <mergeCell ref="A142:C142"/>
    <mergeCell ref="A18:C18"/>
    <mergeCell ref="A19:C19"/>
    <mergeCell ref="A20:C20"/>
    <mergeCell ref="A23:C23"/>
    <mergeCell ref="F20:I20"/>
    <mergeCell ref="F21:I21"/>
    <mergeCell ref="F23:I23"/>
    <mergeCell ref="F24:I24"/>
    <mergeCell ref="F25:I25"/>
    <mergeCell ref="A79:C79"/>
    <mergeCell ref="A64:C64"/>
    <mergeCell ref="A63:C63"/>
    <mergeCell ref="A65:C65"/>
    <mergeCell ref="A66:C66"/>
    <mergeCell ref="A69:C69"/>
    <mergeCell ref="A47:C47"/>
    <mergeCell ref="A48:C48"/>
    <mergeCell ref="A55:C55"/>
    <mergeCell ref="A60:C60"/>
    <mergeCell ref="F1:I1"/>
    <mergeCell ref="F10:I10"/>
    <mergeCell ref="J10:M10"/>
    <mergeCell ref="N10:Q10"/>
    <mergeCell ref="F14:I14"/>
    <mergeCell ref="N170:Q170"/>
    <mergeCell ref="F63:I63"/>
    <mergeCell ref="J63:M63"/>
    <mergeCell ref="F80:I80"/>
    <mergeCell ref="F54:I54"/>
    <mergeCell ref="J131:M131"/>
    <mergeCell ref="J132:M132"/>
    <mergeCell ref="F49:I49"/>
    <mergeCell ref="J17:M17"/>
    <mergeCell ref="F107:I107"/>
    <mergeCell ref="F98:I98"/>
    <mergeCell ref="F99:I99"/>
    <mergeCell ref="F100:I100"/>
    <mergeCell ref="F101:I101"/>
    <mergeCell ref="F102:I102"/>
    <mergeCell ref="F103:I103"/>
    <mergeCell ref="F104:I104"/>
    <mergeCell ref="F105:I105"/>
    <mergeCell ref="N19:Q19"/>
    <mergeCell ref="F188:I188"/>
    <mergeCell ref="J188:M188"/>
    <mergeCell ref="N188:Q188"/>
    <mergeCell ref="R188:U188"/>
    <mergeCell ref="V188:Y188"/>
    <mergeCell ref="F186:I186"/>
    <mergeCell ref="J186:M186"/>
    <mergeCell ref="N186:Q186"/>
    <mergeCell ref="R186:U186"/>
    <mergeCell ref="V186:Y186"/>
    <mergeCell ref="F187:I187"/>
    <mergeCell ref="J187:M187"/>
    <mergeCell ref="N187:Q187"/>
    <mergeCell ref="R187:U187"/>
    <mergeCell ref="V187:Y187"/>
    <mergeCell ref="A67:C67"/>
    <mergeCell ref="A70:C70"/>
    <mergeCell ref="A71:C71"/>
    <mergeCell ref="A68:C68"/>
    <mergeCell ref="A78:C78"/>
    <mergeCell ref="A73:C73"/>
    <mergeCell ref="A74:C74"/>
    <mergeCell ref="A75:C75"/>
    <mergeCell ref="A76:C76"/>
    <mergeCell ref="F106:I106"/>
    <mergeCell ref="J143:M143"/>
    <mergeCell ref="F144:I144"/>
    <mergeCell ref="J144:M144"/>
    <mergeCell ref="F146:I146"/>
    <mergeCell ref="J146:M146"/>
    <mergeCell ref="F154:I154"/>
    <mergeCell ref="F151:I151"/>
    <mergeCell ref="J19:M19"/>
    <mergeCell ref="Z175:AC175"/>
    <mergeCell ref="F72:I72"/>
    <mergeCell ref="F77:I77"/>
    <mergeCell ref="N145:Q145"/>
    <mergeCell ref="N146:Q146"/>
    <mergeCell ref="N149:Q149"/>
    <mergeCell ref="R149:U149"/>
    <mergeCell ref="V149:Y149"/>
    <mergeCell ref="F112:I112"/>
    <mergeCell ref="F139:I139"/>
    <mergeCell ref="F138:I138"/>
    <mergeCell ref="J138:M138"/>
    <mergeCell ref="J136:M136"/>
    <mergeCell ref="F137:I137"/>
    <mergeCell ref="J137:M137"/>
    <mergeCell ref="F120:I120"/>
    <mergeCell ref="J120:M120"/>
    <mergeCell ref="N120:Q120"/>
    <mergeCell ref="R120:U120"/>
    <mergeCell ref="J135:M135"/>
    <mergeCell ref="F118:I118"/>
    <mergeCell ref="J118:M118"/>
    <mergeCell ref="N118:Q118"/>
    <mergeCell ref="R118:U118"/>
    <mergeCell ref="V118:Y118"/>
    <mergeCell ref="F125:I125"/>
    <mergeCell ref="N140:Q140"/>
    <mergeCell ref="N143:Q143"/>
    <mergeCell ref="V141:Y141"/>
    <mergeCell ref="V127:Y127"/>
    <mergeCell ref="R124:U124"/>
    <mergeCell ref="AT115:AW115"/>
    <mergeCell ref="AX115:BA115"/>
    <mergeCell ref="AD116:AG116"/>
    <mergeCell ref="F119:I119"/>
    <mergeCell ref="J119:M119"/>
    <mergeCell ref="R119:U119"/>
    <mergeCell ref="V119:Y119"/>
    <mergeCell ref="AD118:AG118"/>
    <mergeCell ref="AH118:AK118"/>
    <mergeCell ref="AL118:AO118"/>
    <mergeCell ref="AP118:AS118"/>
    <mergeCell ref="AT118:AW118"/>
    <mergeCell ref="AX118:BA118"/>
    <mergeCell ref="AH119:AK119"/>
    <mergeCell ref="AD119:AG119"/>
    <mergeCell ref="F116:I116"/>
    <mergeCell ref="J116:M116"/>
    <mergeCell ref="N116:Q116"/>
    <mergeCell ref="AX119:BA119"/>
    <mergeCell ref="F108:I108"/>
    <mergeCell ref="AD115:AG115"/>
    <mergeCell ref="Z84:AC84"/>
    <mergeCell ref="AD84:AG84"/>
    <mergeCell ref="AD107:AG107"/>
    <mergeCell ref="A146:C146"/>
    <mergeCell ref="J139:M139"/>
    <mergeCell ref="J107:M107"/>
    <mergeCell ref="N52:Q52"/>
    <mergeCell ref="J80:M80"/>
    <mergeCell ref="N67:Q67"/>
    <mergeCell ref="N91:Q91"/>
    <mergeCell ref="A72:C72"/>
    <mergeCell ref="F34:I34"/>
    <mergeCell ref="V87:Y87"/>
    <mergeCell ref="V91:Y91"/>
    <mergeCell ref="R55:U55"/>
    <mergeCell ref="N125:Q125"/>
    <mergeCell ref="R125:U125"/>
    <mergeCell ref="V125:Y125"/>
    <mergeCell ref="F55:I55"/>
    <mergeCell ref="F65:I65"/>
    <mergeCell ref="F67:I67"/>
    <mergeCell ref="F68:I68"/>
    <mergeCell ref="F45:I45"/>
    <mergeCell ref="J45:M45"/>
    <mergeCell ref="N45:Q45"/>
    <mergeCell ref="R45:U45"/>
    <mergeCell ref="R46:U46"/>
    <mergeCell ref="F48:I48"/>
    <mergeCell ref="V46:Y46"/>
    <mergeCell ref="A62:C62"/>
    <mergeCell ref="J66:M66"/>
    <mergeCell ref="J68:M68"/>
    <mergeCell ref="N35:Q35"/>
    <mergeCell ref="N48:Q48"/>
    <mergeCell ref="R48:U48"/>
    <mergeCell ref="AD12:AG12"/>
    <mergeCell ref="J78:M78"/>
    <mergeCell ref="V120:Y120"/>
    <mergeCell ref="V55:Y55"/>
    <mergeCell ref="F56:I56"/>
    <mergeCell ref="F47:I47"/>
    <mergeCell ref="N56:Q56"/>
    <mergeCell ref="V4:Y4"/>
    <mergeCell ref="Z4:AC4"/>
    <mergeCell ref="V56:Y56"/>
    <mergeCell ref="F73:I73"/>
    <mergeCell ref="J73:M73"/>
    <mergeCell ref="V63:Y63"/>
    <mergeCell ref="F91:I91"/>
    <mergeCell ref="F11:I11"/>
    <mergeCell ref="J11:M11"/>
    <mergeCell ref="N11:Q11"/>
    <mergeCell ref="R11:U11"/>
    <mergeCell ref="V11:Y11"/>
    <mergeCell ref="Z11:AC11"/>
    <mergeCell ref="J35:M35"/>
    <mergeCell ref="N46:Q46"/>
    <mergeCell ref="F46:I46"/>
    <mergeCell ref="F15:I15"/>
    <mergeCell ref="J15:M15"/>
    <mergeCell ref="N15:Q15"/>
    <mergeCell ref="V107:Y107"/>
    <mergeCell ref="V84:Y84"/>
    <mergeCell ref="A110:BF110"/>
    <mergeCell ref="N113:Q113"/>
    <mergeCell ref="V59:Y59"/>
    <mergeCell ref="F12:I12"/>
    <mergeCell ref="F2:I2"/>
    <mergeCell ref="J2:M2"/>
    <mergeCell ref="N2:Q2"/>
    <mergeCell ref="R2:U2"/>
    <mergeCell ref="V2:Y2"/>
    <mergeCell ref="Z2:AC2"/>
    <mergeCell ref="AD2:AG2"/>
    <mergeCell ref="F7:I7"/>
    <mergeCell ref="F6:I6"/>
    <mergeCell ref="N6:Q6"/>
    <mergeCell ref="R6:U6"/>
    <mergeCell ref="Z6:AC6"/>
    <mergeCell ref="J5:M5"/>
    <mergeCell ref="N5:Q5"/>
    <mergeCell ref="R5:U5"/>
    <mergeCell ref="V5:Y5"/>
    <mergeCell ref="AD10:AG10"/>
    <mergeCell ref="V7:Y7"/>
    <mergeCell ref="F5:I5"/>
    <mergeCell ref="F8:I8"/>
    <mergeCell ref="J8:M8"/>
    <mergeCell ref="N8:Q8"/>
    <mergeCell ref="R8:U8"/>
    <mergeCell ref="V8:Y8"/>
    <mergeCell ref="Z9:AC9"/>
    <mergeCell ref="J9:M9"/>
    <mergeCell ref="V113:Y113"/>
    <mergeCell ref="F9:I9"/>
    <mergeCell ref="F4:I4"/>
    <mergeCell ref="J4:M4"/>
    <mergeCell ref="N4:Q4"/>
    <mergeCell ref="R4:U4"/>
    <mergeCell ref="N7:Q7"/>
    <mergeCell ref="AP90:AS90"/>
    <mergeCell ref="AD91:AG91"/>
    <mergeCell ref="J12:M12"/>
    <mergeCell ref="N12:Q12"/>
    <mergeCell ref="R12:U12"/>
    <mergeCell ref="V12:Y12"/>
    <mergeCell ref="F17:I17"/>
    <mergeCell ref="J60:M60"/>
    <mergeCell ref="F18:I18"/>
    <mergeCell ref="F19:I19"/>
    <mergeCell ref="F35:I35"/>
    <mergeCell ref="V23:Y23"/>
    <mergeCell ref="N59:Q59"/>
    <mergeCell ref="V45:Y45"/>
    <mergeCell ref="R34:U34"/>
    <mergeCell ref="V18:Y18"/>
    <mergeCell ref="R15:U15"/>
    <mergeCell ref="V15:Y15"/>
    <mergeCell ref="R17:U17"/>
    <mergeCell ref="V17:Y17"/>
    <mergeCell ref="R23:U23"/>
    <mergeCell ref="R24:U24"/>
    <mergeCell ref="V24:Y24"/>
    <mergeCell ref="R31:U31"/>
    <mergeCell ref="V31:Y31"/>
    <mergeCell ref="F50:I50"/>
    <mergeCell ref="R38:U38"/>
    <mergeCell ref="V38:Y38"/>
    <mergeCell ref="N20:Q20"/>
    <mergeCell ref="N49:Q49"/>
    <mergeCell ref="R47:U47"/>
    <mergeCell ref="F113:I113"/>
    <mergeCell ref="J113:M113"/>
    <mergeCell ref="V41:Y41"/>
    <mergeCell ref="AD45:AG45"/>
    <mergeCell ref="AD48:AG48"/>
    <mergeCell ref="R49:U49"/>
    <mergeCell ref="V48:Y48"/>
    <mergeCell ref="V54:Y54"/>
    <mergeCell ref="Z54:AC54"/>
    <mergeCell ref="AD54:AG54"/>
    <mergeCell ref="AD95:AG95"/>
    <mergeCell ref="AD80:AG80"/>
    <mergeCell ref="AD90:AG90"/>
    <mergeCell ref="Z85:AC85"/>
    <mergeCell ref="AD85:AG85"/>
    <mergeCell ref="F86:I86"/>
    <mergeCell ref="J86:M86"/>
    <mergeCell ref="N86:Q86"/>
    <mergeCell ref="R86:U86"/>
    <mergeCell ref="V86:Y86"/>
    <mergeCell ref="Z86:AC86"/>
    <mergeCell ref="Z87:AC87"/>
    <mergeCell ref="Z95:AC95"/>
    <mergeCell ref="N58:Q58"/>
    <mergeCell ref="R58:U58"/>
    <mergeCell ref="F75:I75"/>
    <mergeCell ref="J79:M79"/>
    <mergeCell ref="V58:Y58"/>
    <mergeCell ref="Z58:AC58"/>
    <mergeCell ref="AD65:AG65"/>
    <mergeCell ref="AD66:AG66"/>
    <mergeCell ref="Z56:AC56"/>
    <mergeCell ref="F134:I134"/>
    <mergeCell ref="J134:M134"/>
    <mergeCell ref="N134:Q134"/>
    <mergeCell ref="R134:U134"/>
    <mergeCell ref="V134:Y134"/>
    <mergeCell ref="J125:M125"/>
    <mergeCell ref="V122:Y122"/>
    <mergeCell ref="F126:I126"/>
    <mergeCell ref="J126:M126"/>
    <mergeCell ref="N126:Q126"/>
    <mergeCell ref="R126:U126"/>
    <mergeCell ref="R129:U129"/>
    <mergeCell ref="V129:Y129"/>
    <mergeCell ref="Z129:AC129"/>
    <mergeCell ref="N132:Q132"/>
    <mergeCell ref="R132:U132"/>
    <mergeCell ref="V132:Y132"/>
    <mergeCell ref="F130:I130"/>
    <mergeCell ref="F131:I131"/>
    <mergeCell ref="J129:M129"/>
    <mergeCell ref="J130:M130"/>
    <mergeCell ref="N129:Q129"/>
    <mergeCell ref="F128:I128"/>
    <mergeCell ref="J128:M128"/>
    <mergeCell ref="N128:Q128"/>
    <mergeCell ref="R128:U128"/>
    <mergeCell ref="J59:M59"/>
    <mergeCell ref="V128:Y128"/>
    <mergeCell ref="Z128:AC128"/>
    <mergeCell ref="Z134:AC134"/>
    <mergeCell ref="V126:Y126"/>
    <mergeCell ref="Z126:AC126"/>
    <mergeCell ref="F127:I127"/>
    <mergeCell ref="F122:I122"/>
    <mergeCell ref="J122:M122"/>
    <mergeCell ref="N122:Q122"/>
    <mergeCell ref="R122:U122"/>
    <mergeCell ref="R113:U113"/>
    <mergeCell ref="F88:I88"/>
    <mergeCell ref="F89:I89"/>
    <mergeCell ref="F93:I93"/>
    <mergeCell ref="J93:M93"/>
    <mergeCell ref="Z107:AC107"/>
    <mergeCell ref="F96:I96"/>
    <mergeCell ref="R96:U96"/>
    <mergeCell ref="F109:I109"/>
    <mergeCell ref="J108:M108"/>
    <mergeCell ref="N108:Q108"/>
    <mergeCell ref="R108:U108"/>
    <mergeCell ref="V108:Y108"/>
    <mergeCell ref="Z108:AC108"/>
    <mergeCell ref="N95:Q95"/>
    <mergeCell ref="V95:Y95"/>
    <mergeCell ref="N93:Q93"/>
    <mergeCell ref="Z93:AC93"/>
    <mergeCell ref="J89:M89"/>
    <mergeCell ref="Z92:AC92"/>
    <mergeCell ref="J88:M88"/>
    <mergeCell ref="N88:Q88"/>
    <mergeCell ref="F115:I115"/>
    <mergeCell ref="Z115:AC115"/>
    <mergeCell ref="A95:C95"/>
    <mergeCell ref="A85:C85"/>
    <mergeCell ref="F87:I87"/>
    <mergeCell ref="J87:M87"/>
    <mergeCell ref="N87:Q87"/>
    <mergeCell ref="F85:I85"/>
    <mergeCell ref="Z48:AC48"/>
    <mergeCell ref="AH80:AK80"/>
    <mergeCell ref="AL80:AO80"/>
    <mergeCell ref="N66:Q66"/>
    <mergeCell ref="AD59:AG59"/>
    <mergeCell ref="Z89:AC89"/>
    <mergeCell ref="AD89:AG89"/>
    <mergeCell ref="AH89:AK89"/>
    <mergeCell ref="AL89:AO89"/>
    <mergeCell ref="AH90:AK90"/>
    <mergeCell ref="AL90:AO90"/>
    <mergeCell ref="A86:C86"/>
    <mergeCell ref="A87:C87"/>
    <mergeCell ref="A88:C88"/>
    <mergeCell ref="A89:C89"/>
    <mergeCell ref="A90:C90"/>
    <mergeCell ref="R87:U87"/>
    <mergeCell ref="N61:Q61"/>
    <mergeCell ref="AH92:AK92"/>
    <mergeCell ref="J91:M91"/>
    <mergeCell ref="R91:U91"/>
    <mergeCell ref="F78:I78"/>
    <mergeCell ref="F79:I79"/>
    <mergeCell ref="F76:I76"/>
    <mergeCell ref="F59:I59"/>
    <mergeCell ref="F90:I90"/>
    <mergeCell ref="J48:M48"/>
    <mergeCell ref="AP88:AS88"/>
    <mergeCell ref="AT88:AW88"/>
    <mergeCell ref="AX88:BA88"/>
    <mergeCell ref="AP80:AS80"/>
    <mergeCell ref="AT80:AW80"/>
    <mergeCell ref="AX80:BA80"/>
    <mergeCell ref="J85:M85"/>
    <mergeCell ref="J90:M90"/>
    <mergeCell ref="N90:Q90"/>
    <mergeCell ref="J92:M92"/>
    <mergeCell ref="R20:U20"/>
    <mergeCell ref="V20:Y20"/>
    <mergeCell ref="N18:Q18"/>
    <mergeCell ref="AD46:AG46"/>
    <mergeCell ref="N64:Q64"/>
    <mergeCell ref="AD78:AG78"/>
    <mergeCell ref="AT92:AW92"/>
    <mergeCell ref="AX92:BA92"/>
    <mergeCell ref="AH91:AK91"/>
    <mergeCell ref="AL91:AO91"/>
    <mergeCell ref="AP91:AS91"/>
    <mergeCell ref="AT91:AW91"/>
    <mergeCell ref="AX91:BA91"/>
    <mergeCell ref="AH85:AK85"/>
    <mergeCell ref="AL85:AO85"/>
    <mergeCell ref="AP85:AS85"/>
    <mergeCell ref="AT85:AW85"/>
    <mergeCell ref="AX85:BA85"/>
    <mergeCell ref="N80:Q80"/>
    <mergeCell ref="R18:U18"/>
    <mergeCell ref="Z20:AC20"/>
    <mergeCell ref="AD20:AG20"/>
    <mergeCell ref="Z38:AC38"/>
    <mergeCell ref="AD38:AG38"/>
    <mergeCell ref="AD79:AG79"/>
    <mergeCell ref="A21:C21"/>
    <mergeCell ref="J21:M21"/>
    <mergeCell ref="N21:Q21"/>
    <mergeCell ref="F64:I64"/>
    <mergeCell ref="R59:U59"/>
    <mergeCell ref="N79:Q79"/>
    <mergeCell ref="R66:U66"/>
    <mergeCell ref="R67:U67"/>
    <mergeCell ref="R68:U68"/>
    <mergeCell ref="N63:Q63"/>
    <mergeCell ref="R60:U60"/>
    <mergeCell ref="J64:M64"/>
    <mergeCell ref="N60:Q60"/>
    <mergeCell ref="Z35:AC35"/>
    <mergeCell ref="A46:C46"/>
    <mergeCell ref="AD35:AG35"/>
    <mergeCell ref="AD60:AG60"/>
    <mergeCell ref="AD34:AG34"/>
    <mergeCell ref="Z47:AC47"/>
    <mergeCell ref="AD47:AG47"/>
    <mergeCell ref="F60:I60"/>
    <mergeCell ref="A22:C22"/>
    <mergeCell ref="A61:C61"/>
    <mergeCell ref="A24:C24"/>
    <mergeCell ref="A25:C25"/>
    <mergeCell ref="A31:C31"/>
    <mergeCell ref="A32:C32"/>
    <mergeCell ref="A33:C33"/>
    <mergeCell ref="A77:C77"/>
    <mergeCell ref="F40:I40"/>
    <mergeCell ref="J40:M40"/>
    <mergeCell ref="AH20:AK20"/>
    <mergeCell ref="AL20:AO20"/>
    <mergeCell ref="AP20:AS20"/>
    <mergeCell ref="AH2:AK2"/>
    <mergeCell ref="AL2:AO2"/>
    <mergeCell ref="AP2:AS2"/>
    <mergeCell ref="Z8:AC8"/>
    <mergeCell ref="AD7:AG7"/>
    <mergeCell ref="AD11:AG11"/>
    <mergeCell ref="AD18:AG18"/>
    <mergeCell ref="AD19:AG19"/>
    <mergeCell ref="AL9:AO9"/>
    <mergeCell ref="AH14:AO14"/>
    <mergeCell ref="N17:Q17"/>
    <mergeCell ref="Z5:AC5"/>
    <mergeCell ref="AH12:AK12"/>
    <mergeCell ref="AL12:AO12"/>
    <mergeCell ref="AP12:AS12"/>
    <mergeCell ref="AP14:BA14"/>
    <mergeCell ref="AH15:AK15"/>
    <mergeCell ref="AL15:AO15"/>
    <mergeCell ref="AP15:AS15"/>
    <mergeCell ref="AT15:AW15"/>
    <mergeCell ref="AT20:AW20"/>
    <mergeCell ref="AX20:BA20"/>
    <mergeCell ref="AD4:AG4"/>
    <mergeCell ref="AX2:BA2"/>
    <mergeCell ref="AX4:BA4"/>
    <mergeCell ref="AL116:AO116"/>
    <mergeCell ref="AP116:AS116"/>
    <mergeCell ref="AT116:AW116"/>
    <mergeCell ref="AX116:BA116"/>
    <mergeCell ref="F117:I117"/>
    <mergeCell ref="J117:M117"/>
    <mergeCell ref="N117:Q117"/>
    <mergeCell ref="R117:U117"/>
    <mergeCell ref="V117:Y117"/>
    <mergeCell ref="Z117:AC117"/>
    <mergeCell ref="AD117:AG117"/>
    <mergeCell ref="AH117:AK117"/>
    <mergeCell ref="AL117:AO117"/>
    <mergeCell ref="AP117:AS117"/>
    <mergeCell ref="AT117:AW117"/>
    <mergeCell ref="AX117:BA117"/>
    <mergeCell ref="Z116:AC116"/>
    <mergeCell ref="R116:U116"/>
    <mergeCell ref="V116:Y116"/>
    <mergeCell ref="AD108:AG108"/>
    <mergeCell ref="AH108:AK108"/>
    <mergeCell ref="AL108:AO108"/>
    <mergeCell ref="AP108:AS108"/>
    <mergeCell ref="F39:I39"/>
    <mergeCell ref="J39:M39"/>
    <mergeCell ref="F38:I38"/>
    <mergeCell ref="J38:M38"/>
    <mergeCell ref="N38:Q38"/>
    <mergeCell ref="F37:I37"/>
    <mergeCell ref="J37:M37"/>
    <mergeCell ref="N37:Q37"/>
    <mergeCell ref="AH120:AK120"/>
    <mergeCell ref="AL120:AO120"/>
    <mergeCell ref="AP120:AS120"/>
    <mergeCell ref="AT120:AW120"/>
    <mergeCell ref="AX120:BA120"/>
    <mergeCell ref="Z120:AC120"/>
    <mergeCell ref="AD120:AG120"/>
    <mergeCell ref="AL119:AO119"/>
    <mergeCell ref="AP119:AS119"/>
    <mergeCell ref="AT119:AW119"/>
    <mergeCell ref="J109:M109"/>
    <mergeCell ref="N109:Q109"/>
    <mergeCell ref="R109:U109"/>
    <mergeCell ref="V109:Y109"/>
    <mergeCell ref="Z109:AC109"/>
    <mergeCell ref="AD109:AG109"/>
    <mergeCell ref="AH109:AK109"/>
    <mergeCell ref="AL109:AO109"/>
    <mergeCell ref="AP109:AS109"/>
    <mergeCell ref="AT109:AW109"/>
    <mergeCell ref="R111:U111"/>
    <mergeCell ref="V111:Y111"/>
    <mergeCell ref="Z111:AC111"/>
    <mergeCell ref="AD111:AG111"/>
    <mergeCell ref="AH111:AK111"/>
    <mergeCell ref="AL111:AO111"/>
    <mergeCell ref="AH116:AK116"/>
    <mergeCell ref="AH115:AK115"/>
    <mergeCell ref="AL115:AO115"/>
    <mergeCell ref="AP115:AS115"/>
    <mergeCell ref="AD113:AG113"/>
    <mergeCell ref="Z113:AC113"/>
    <mergeCell ref="AX122:BA122"/>
    <mergeCell ref="AH125:AK125"/>
    <mergeCell ref="AL125:AO125"/>
    <mergeCell ref="AP125:AS125"/>
    <mergeCell ref="AT125:AW125"/>
    <mergeCell ref="AX125:BA125"/>
    <mergeCell ref="AH126:AK126"/>
    <mergeCell ref="AL126:AO126"/>
    <mergeCell ref="AP126:AS126"/>
    <mergeCell ref="AT126:AW126"/>
    <mergeCell ref="AX126:BA126"/>
    <mergeCell ref="AH122:AK122"/>
    <mergeCell ref="AL122:AO122"/>
    <mergeCell ref="AP122:AS122"/>
    <mergeCell ref="AT122:AW122"/>
    <mergeCell ref="Z122:AC122"/>
    <mergeCell ref="AD122:AG122"/>
    <mergeCell ref="Z125:AC125"/>
    <mergeCell ref="AD125:AG125"/>
    <mergeCell ref="AD126:AG126"/>
    <mergeCell ref="Z124:AC124"/>
    <mergeCell ref="AD124:AG124"/>
    <mergeCell ref="AX124:BA124"/>
    <mergeCell ref="AP124:AS124"/>
    <mergeCell ref="AT124:AW124"/>
    <mergeCell ref="AX128:BA128"/>
    <mergeCell ref="AX127:BA127"/>
    <mergeCell ref="F140:I140"/>
    <mergeCell ref="J140:M140"/>
    <mergeCell ref="A148:C148"/>
    <mergeCell ref="F148:I148"/>
    <mergeCell ref="J148:M148"/>
    <mergeCell ref="F152:I152"/>
    <mergeCell ref="J152:M152"/>
    <mergeCell ref="N148:Q148"/>
    <mergeCell ref="R148:U148"/>
    <mergeCell ref="V148:Y148"/>
    <mergeCell ref="N153:Q153"/>
    <mergeCell ref="R153:U153"/>
    <mergeCell ref="V153:Y153"/>
    <mergeCell ref="R140:U140"/>
    <mergeCell ref="V140:Y140"/>
    <mergeCell ref="N152:Q152"/>
    <mergeCell ref="R152:U152"/>
    <mergeCell ref="V152:Y152"/>
    <mergeCell ref="Z150:AC150"/>
    <mergeCell ref="Z140:AC140"/>
    <mergeCell ref="Z141:AC141"/>
    <mergeCell ref="Z142:AC142"/>
    <mergeCell ref="Z143:AC143"/>
    <mergeCell ref="Z144:AC144"/>
    <mergeCell ref="Z145:AC145"/>
    <mergeCell ref="Z146:AC146"/>
    <mergeCell ref="F129:I129"/>
    <mergeCell ref="F132:I132"/>
    <mergeCell ref="F133:I133"/>
    <mergeCell ref="J133:M133"/>
    <mergeCell ref="A155:C155"/>
    <mergeCell ref="A156:C156"/>
    <mergeCell ref="A168:C168"/>
    <mergeCell ref="F170:I170"/>
    <mergeCell ref="J170:M170"/>
    <mergeCell ref="F168:I168"/>
    <mergeCell ref="J168:M168"/>
    <mergeCell ref="N168:Q168"/>
    <mergeCell ref="N169:Q169"/>
    <mergeCell ref="R169:U169"/>
    <mergeCell ref="F157:I157"/>
    <mergeCell ref="J157:M157"/>
    <mergeCell ref="N157:Q157"/>
    <mergeCell ref="V167:Y167"/>
    <mergeCell ref="Z164:AC164"/>
    <mergeCell ref="A157:C157"/>
    <mergeCell ref="A158:C158"/>
    <mergeCell ref="A159:C159"/>
    <mergeCell ref="A160:C160"/>
    <mergeCell ref="A161:C161"/>
    <mergeCell ref="A162:C162"/>
    <mergeCell ref="A163:C163"/>
    <mergeCell ref="A164:C164"/>
    <mergeCell ref="Z163:AC163"/>
    <mergeCell ref="A169:C169"/>
    <mergeCell ref="J165:M165"/>
    <mergeCell ref="N165:Q165"/>
    <mergeCell ref="R165:U165"/>
    <mergeCell ref="Z155:AC155"/>
    <mergeCell ref="Z156:AC156"/>
    <mergeCell ref="Z168:AC168"/>
    <mergeCell ref="Z169:AC169"/>
    <mergeCell ref="A166:C166"/>
    <mergeCell ref="Z167:AC167"/>
    <mergeCell ref="R162:U162"/>
    <mergeCell ref="A165:C165"/>
    <mergeCell ref="F165:I165"/>
    <mergeCell ref="Z157:AC157"/>
    <mergeCell ref="A167:C167"/>
    <mergeCell ref="V162:Y162"/>
    <mergeCell ref="Z171:AC171"/>
    <mergeCell ref="Z172:AC172"/>
    <mergeCell ref="F169:I169"/>
    <mergeCell ref="J169:M169"/>
    <mergeCell ref="Z170:AC170"/>
    <mergeCell ref="Z165:AC165"/>
    <mergeCell ref="A170:C170"/>
    <mergeCell ref="A171:C171"/>
    <mergeCell ref="F158:I158"/>
    <mergeCell ref="J158:M158"/>
    <mergeCell ref="N158:Q158"/>
    <mergeCell ref="R158:U158"/>
    <mergeCell ref="V158:Y158"/>
    <mergeCell ref="Z158:AC158"/>
    <mergeCell ref="F159:I159"/>
    <mergeCell ref="J159:M159"/>
    <mergeCell ref="N159:Q159"/>
    <mergeCell ref="N172:Q172"/>
    <mergeCell ref="J171:M171"/>
    <mergeCell ref="N171:Q171"/>
    <mergeCell ref="F160:I160"/>
    <mergeCell ref="J160:M160"/>
    <mergeCell ref="N160:Q160"/>
    <mergeCell ref="R160:U160"/>
    <mergeCell ref="R159:U159"/>
    <mergeCell ref="V159:Y159"/>
    <mergeCell ref="Z159:AC159"/>
    <mergeCell ref="Z153:AC153"/>
    <mergeCell ref="Z154:AC154"/>
    <mergeCell ref="N147:Q147"/>
    <mergeCell ref="R147:U147"/>
    <mergeCell ref="V150:Y150"/>
    <mergeCell ref="Z136:AC136"/>
    <mergeCell ref="Z137:AC137"/>
    <mergeCell ref="Z138:AC138"/>
    <mergeCell ref="Z139:AC139"/>
    <mergeCell ref="J141:M141"/>
    <mergeCell ref="J149:M149"/>
    <mergeCell ref="J142:M142"/>
    <mergeCell ref="N142:Q142"/>
    <mergeCell ref="V142:Y142"/>
    <mergeCell ref="J150:M150"/>
    <mergeCell ref="J156:M156"/>
    <mergeCell ref="N156:Q156"/>
    <mergeCell ref="R156:U156"/>
    <mergeCell ref="V156:Y156"/>
    <mergeCell ref="J154:M154"/>
    <mergeCell ref="Z160:AC160"/>
    <mergeCell ref="F164:I164"/>
    <mergeCell ref="J164:M164"/>
    <mergeCell ref="N164:Q164"/>
    <mergeCell ref="R164:U164"/>
    <mergeCell ref="V164:Y164"/>
    <mergeCell ref="F155:I155"/>
    <mergeCell ref="J155:M155"/>
    <mergeCell ref="N155:Q155"/>
    <mergeCell ref="R155:U155"/>
    <mergeCell ref="V155:Y155"/>
    <mergeCell ref="V165:Y165"/>
    <mergeCell ref="N136:Q136"/>
    <mergeCell ref="R136:U136"/>
    <mergeCell ref="R137:U137"/>
    <mergeCell ref="V137:Y137"/>
    <mergeCell ref="N138:Q138"/>
    <mergeCell ref="R138:U138"/>
    <mergeCell ref="V138:Y138"/>
    <mergeCell ref="N139:Q139"/>
    <mergeCell ref="R139:U139"/>
    <mergeCell ref="V139:Y139"/>
    <mergeCell ref="F141:I141"/>
    <mergeCell ref="F149:I149"/>
    <mergeCell ref="F143:I143"/>
    <mergeCell ref="F142:I142"/>
    <mergeCell ref="F150:I150"/>
    <mergeCell ref="F156:I156"/>
    <mergeCell ref="F136:I136"/>
    <mergeCell ref="Z147:AC147"/>
    <mergeCell ref="Z148:AC148"/>
    <mergeCell ref="Z149:AC149"/>
    <mergeCell ref="AD129:AG129"/>
    <mergeCell ref="AH129:AK129"/>
    <mergeCell ref="AD132:AG132"/>
    <mergeCell ref="AH132:AK132"/>
    <mergeCell ref="AD136:AG136"/>
    <mergeCell ref="AD137:AG137"/>
    <mergeCell ref="AD138:AG138"/>
    <mergeCell ref="AD139:AG139"/>
    <mergeCell ref="AH136:AK136"/>
    <mergeCell ref="AX129:BA129"/>
    <mergeCell ref="N130:Q130"/>
    <mergeCell ref="R130:U130"/>
    <mergeCell ref="V130:Y130"/>
    <mergeCell ref="Z130:AC130"/>
    <mergeCell ref="AD130:AG130"/>
    <mergeCell ref="AH130:AK130"/>
    <mergeCell ref="AL130:AO130"/>
    <mergeCell ref="AP130:AS130"/>
    <mergeCell ref="AT130:AW130"/>
    <mergeCell ref="AX130:BA130"/>
    <mergeCell ref="N131:Q131"/>
    <mergeCell ref="R131:U131"/>
    <mergeCell ref="V131:Y131"/>
    <mergeCell ref="Z131:AC131"/>
    <mergeCell ref="AD131:AG131"/>
    <mergeCell ref="AH131:AK131"/>
    <mergeCell ref="AL131:AO131"/>
    <mergeCell ref="AP131:AS131"/>
    <mergeCell ref="AT131:AW131"/>
    <mergeCell ref="AX131:BA131"/>
    <mergeCell ref="AX132:BA132"/>
    <mergeCell ref="N133:Q133"/>
    <mergeCell ref="Z133:AC133"/>
    <mergeCell ref="AD133:AG133"/>
    <mergeCell ref="AH133:AK133"/>
    <mergeCell ref="AL133:AO133"/>
    <mergeCell ref="AP133:AS133"/>
    <mergeCell ref="AT133:AW133"/>
    <mergeCell ref="AX133:BA133"/>
    <mergeCell ref="AD135:AG135"/>
    <mergeCell ref="Z132:AC132"/>
    <mergeCell ref="AD134:AG134"/>
    <mergeCell ref="Z135:AC135"/>
    <mergeCell ref="AH134:AK134"/>
    <mergeCell ref="AL134:AO134"/>
    <mergeCell ref="AP134:AS134"/>
    <mergeCell ref="AT134:AW134"/>
    <mergeCell ref="AX134:BA134"/>
    <mergeCell ref="AH135:AK135"/>
    <mergeCell ref="AL135:AO135"/>
    <mergeCell ref="AP135:AS135"/>
    <mergeCell ref="AT135:AW135"/>
    <mergeCell ref="AX135:BA135"/>
    <mergeCell ref="R135:U135"/>
    <mergeCell ref="V135:Y135"/>
    <mergeCell ref="AX140:BA140"/>
    <mergeCell ref="AD141:AG141"/>
    <mergeCell ref="AH141:AK141"/>
    <mergeCell ref="AL141:AO141"/>
    <mergeCell ref="AP141:AS141"/>
    <mergeCell ref="AT141:AW141"/>
    <mergeCell ref="AX141:BA141"/>
    <mergeCell ref="AD142:AG142"/>
    <mergeCell ref="AH142:AK142"/>
    <mergeCell ref="AL142:AO142"/>
    <mergeCell ref="AP142:AS142"/>
    <mergeCell ref="AT142:AW142"/>
    <mergeCell ref="AX142:BA142"/>
    <mergeCell ref="AL136:AO136"/>
    <mergeCell ref="AP136:AS136"/>
    <mergeCell ref="AT136:AW136"/>
    <mergeCell ref="AX136:BA136"/>
    <mergeCell ref="AH137:AK137"/>
    <mergeCell ref="AL137:AO137"/>
    <mergeCell ref="AP137:AS137"/>
    <mergeCell ref="AT137:AW137"/>
    <mergeCell ref="AX137:BA137"/>
    <mergeCell ref="AH138:AK138"/>
    <mergeCell ref="AL138:AO138"/>
    <mergeCell ref="AP138:AS138"/>
    <mergeCell ref="AT138:AW138"/>
    <mergeCell ref="AX138:BA138"/>
    <mergeCell ref="AH139:AK139"/>
    <mergeCell ref="AL139:AO139"/>
    <mergeCell ref="AX139:BA139"/>
    <mergeCell ref="AX146:BA146"/>
    <mergeCell ref="AD147:AG147"/>
    <mergeCell ref="AH147:AK147"/>
    <mergeCell ref="AL147:AO147"/>
    <mergeCell ref="AP147:AS147"/>
    <mergeCell ref="AT147:AW147"/>
    <mergeCell ref="AX147:BA147"/>
    <mergeCell ref="AD148:AG148"/>
    <mergeCell ref="AH148:AK148"/>
    <mergeCell ref="AL148:AO148"/>
    <mergeCell ref="AP148:AS148"/>
    <mergeCell ref="AT148:AW148"/>
    <mergeCell ref="AX148:BA148"/>
    <mergeCell ref="AD143:AG143"/>
    <mergeCell ref="AH143:AK143"/>
    <mergeCell ref="AL143:AO143"/>
    <mergeCell ref="AP143:AS143"/>
    <mergeCell ref="AT143:AW143"/>
    <mergeCell ref="AX143:BA143"/>
    <mergeCell ref="AD144:AG144"/>
    <mergeCell ref="AH144:AK144"/>
    <mergeCell ref="AL144:AO144"/>
    <mergeCell ref="AP144:AS144"/>
    <mergeCell ref="AT144:AW144"/>
    <mergeCell ref="AX144:BA144"/>
    <mergeCell ref="AD145:AG145"/>
    <mergeCell ref="AH145:AK145"/>
    <mergeCell ref="AL145:AO145"/>
    <mergeCell ref="AP145:AS145"/>
    <mergeCell ref="AX145:BA145"/>
    <mergeCell ref="AD149:AG149"/>
    <mergeCell ref="AH149:AK149"/>
    <mergeCell ref="AL149:AO149"/>
    <mergeCell ref="AP149:AS149"/>
    <mergeCell ref="AT149:AW149"/>
    <mergeCell ref="AX149:BA149"/>
    <mergeCell ref="AD153:AG153"/>
    <mergeCell ref="AH153:AK153"/>
    <mergeCell ref="AL153:AO153"/>
    <mergeCell ref="AP153:AS153"/>
    <mergeCell ref="AT153:AW153"/>
    <mergeCell ref="AX153:BA153"/>
    <mergeCell ref="AD154:AG154"/>
    <mergeCell ref="AH154:AK154"/>
    <mergeCell ref="AL154:AO154"/>
    <mergeCell ref="AP154:AS154"/>
    <mergeCell ref="AT154:AW154"/>
    <mergeCell ref="AX154:BA154"/>
    <mergeCell ref="AD150:AG150"/>
    <mergeCell ref="AH150:AK150"/>
    <mergeCell ref="AL150:AO150"/>
    <mergeCell ref="AP150:AS150"/>
    <mergeCell ref="AT150:AW150"/>
    <mergeCell ref="AX150:BA150"/>
    <mergeCell ref="AD151:AG151"/>
    <mergeCell ref="AH151:AK151"/>
    <mergeCell ref="AL151:AO151"/>
    <mergeCell ref="AP151:AS151"/>
    <mergeCell ref="AT151:AW151"/>
    <mergeCell ref="AX151:BA151"/>
    <mergeCell ref="AD152:AG152"/>
    <mergeCell ref="AX158:BA158"/>
    <mergeCell ref="AD159:AG159"/>
    <mergeCell ref="AH159:AK159"/>
    <mergeCell ref="AL159:AO159"/>
    <mergeCell ref="AP159:AS159"/>
    <mergeCell ref="AT159:AW159"/>
    <mergeCell ref="AX159:BA159"/>
    <mergeCell ref="AD160:AG160"/>
    <mergeCell ref="AH160:AK160"/>
    <mergeCell ref="AL160:AO160"/>
    <mergeCell ref="AP160:AS160"/>
    <mergeCell ref="AT160:AW160"/>
    <mergeCell ref="AX160:BA160"/>
    <mergeCell ref="AL152:AO152"/>
    <mergeCell ref="AP152:AS152"/>
    <mergeCell ref="AT152:AW152"/>
    <mergeCell ref="AX152:BA152"/>
    <mergeCell ref="AD155:AG155"/>
    <mergeCell ref="AH155:AK155"/>
    <mergeCell ref="AL155:AO155"/>
    <mergeCell ref="AP155:AS155"/>
    <mergeCell ref="AT155:AW155"/>
    <mergeCell ref="AX155:BA155"/>
    <mergeCell ref="AD156:AG156"/>
    <mergeCell ref="AH156:AK156"/>
    <mergeCell ref="AL156:AO156"/>
    <mergeCell ref="AP156:AS156"/>
    <mergeCell ref="AT156:AW156"/>
    <mergeCell ref="AX156:BA156"/>
    <mergeCell ref="AD157:AG157"/>
    <mergeCell ref="AX157:BA157"/>
    <mergeCell ref="AX166:BA166"/>
    <mergeCell ref="AD161:AG161"/>
    <mergeCell ref="AH161:AK161"/>
    <mergeCell ref="AL161:AO161"/>
    <mergeCell ref="AP161:AS161"/>
    <mergeCell ref="AT161:AW161"/>
    <mergeCell ref="AX161:BA161"/>
    <mergeCell ref="AD162:AG162"/>
    <mergeCell ref="AH162:AK162"/>
    <mergeCell ref="AL162:AO162"/>
    <mergeCell ref="AP162:AS162"/>
    <mergeCell ref="AT162:AW162"/>
    <mergeCell ref="AX162:BA162"/>
    <mergeCell ref="AD163:AG163"/>
    <mergeCell ref="AH163:AK163"/>
    <mergeCell ref="AL163:AO163"/>
    <mergeCell ref="AP163:AS163"/>
    <mergeCell ref="AT163:AW163"/>
    <mergeCell ref="AX163:BA163"/>
    <mergeCell ref="AP164:AS164"/>
    <mergeCell ref="AT164:AW164"/>
    <mergeCell ref="AP165:AS165"/>
    <mergeCell ref="AT165:AW165"/>
    <mergeCell ref="AP166:AS166"/>
    <mergeCell ref="AT166:AW166"/>
    <mergeCell ref="Z188:AC188"/>
    <mergeCell ref="AD188:AG188"/>
    <mergeCell ref="AH188:AK188"/>
    <mergeCell ref="AL188:AO188"/>
    <mergeCell ref="AP188:AS188"/>
    <mergeCell ref="AT188:AW188"/>
    <mergeCell ref="AX188:BA188"/>
    <mergeCell ref="AD178:AG178"/>
    <mergeCell ref="AH178:AK178"/>
    <mergeCell ref="AL178:AO178"/>
    <mergeCell ref="AP178:AS178"/>
    <mergeCell ref="AT178:AW178"/>
    <mergeCell ref="AX178:BA178"/>
    <mergeCell ref="AD179:AG179"/>
    <mergeCell ref="AH179:AK179"/>
    <mergeCell ref="AL179:AO179"/>
    <mergeCell ref="AP179:AS179"/>
    <mergeCell ref="AT179:AW179"/>
    <mergeCell ref="AX179:BA179"/>
    <mergeCell ref="AD180:AG180"/>
    <mergeCell ref="AH180:AK180"/>
    <mergeCell ref="AL180:AO180"/>
    <mergeCell ref="AP180:AS180"/>
    <mergeCell ref="AT180:AW180"/>
    <mergeCell ref="AX180:BA180"/>
    <mergeCell ref="AD181:AG181"/>
    <mergeCell ref="AH181:AK181"/>
    <mergeCell ref="AL181:AO181"/>
    <mergeCell ref="AP181:AS181"/>
    <mergeCell ref="AT181:AW181"/>
    <mergeCell ref="AX181:BA181"/>
    <mergeCell ref="AD183:AG183"/>
    <mergeCell ref="AD200:AG200"/>
    <mergeCell ref="AH200:AK200"/>
    <mergeCell ref="AL200:AO200"/>
    <mergeCell ref="AP200:AS200"/>
    <mergeCell ref="AT200:AW200"/>
    <mergeCell ref="AX200:BA200"/>
    <mergeCell ref="AH183:AK183"/>
    <mergeCell ref="AL183:AO183"/>
    <mergeCell ref="AP183:AS183"/>
    <mergeCell ref="AT183:AW183"/>
    <mergeCell ref="AX183:BA183"/>
    <mergeCell ref="AD184:AG184"/>
    <mergeCell ref="AH184:AK184"/>
    <mergeCell ref="AL184:AO184"/>
    <mergeCell ref="AP184:AS184"/>
    <mergeCell ref="AT184:AW184"/>
    <mergeCell ref="AX184:BA184"/>
    <mergeCell ref="AD185:AG185"/>
    <mergeCell ref="AH185:AK185"/>
    <mergeCell ref="AL185:AO185"/>
    <mergeCell ref="AP185:AS185"/>
    <mergeCell ref="AT185:AW185"/>
    <mergeCell ref="AX185:BA185"/>
    <mergeCell ref="AH187:AK187"/>
    <mergeCell ref="AL187:AO187"/>
    <mergeCell ref="AL192:AO192"/>
    <mergeCell ref="AP192:AS192"/>
    <mergeCell ref="AT192:AW192"/>
    <mergeCell ref="AX192:BA192"/>
    <mergeCell ref="AX186:BA186"/>
    <mergeCell ref="AD187:AG187"/>
    <mergeCell ref="AD199:AG199"/>
    <mergeCell ref="AD189:AG189"/>
    <mergeCell ref="AH189:AK189"/>
    <mergeCell ref="AL189:AO189"/>
    <mergeCell ref="AP189:AS189"/>
    <mergeCell ref="AT189:AW189"/>
    <mergeCell ref="AX189:BA189"/>
    <mergeCell ref="Z190:AC190"/>
    <mergeCell ref="AD190:AG190"/>
    <mergeCell ref="AH190:AK190"/>
    <mergeCell ref="AL190:AO190"/>
    <mergeCell ref="AP190:AS190"/>
    <mergeCell ref="AT190:AW190"/>
    <mergeCell ref="AX190:BA190"/>
    <mergeCell ref="Z197:AC197"/>
    <mergeCell ref="AD197:AG197"/>
    <mergeCell ref="AH197:AK197"/>
    <mergeCell ref="AL197:AO197"/>
    <mergeCell ref="AP197:AS197"/>
    <mergeCell ref="AT197:AW197"/>
    <mergeCell ref="AX197:BA197"/>
    <mergeCell ref="AD193:AG193"/>
    <mergeCell ref="AH193:AK193"/>
    <mergeCell ref="AL193:AO193"/>
    <mergeCell ref="AP193:AS193"/>
    <mergeCell ref="AT193:AW193"/>
    <mergeCell ref="AX193:BA193"/>
    <mergeCell ref="AX194:BA194"/>
    <mergeCell ref="AD191:AG191"/>
    <mergeCell ref="AH191:AK191"/>
    <mergeCell ref="AL191:AO191"/>
    <mergeCell ref="AP191:AS191"/>
    <mergeCell ref="AT191:AW191"/>
    <mergeCell ref="AD201:AG201"/>
    <mergeCell ref="AD202:AG202"/>
    <mergeCell ref="AH201:AK201"/>
    <mergeCell ref="AL201:AO201"/>
    <mergeCell ref="AP201:AS201"/>
    <mergeCell ref="AT201:AW201"/>
    <mergeCell ref="AX201:BA201"/>
    <mergeCell ref="AH202:AK202"/>
    <mergeCell ref="AL202:AO202"/>
    <mergeCell ref="AP202:AS202"/>
    <mergeCell ref="AT202:AW202"/>
    <mergeCell ref="AX202:BA202"/>
    <mergeCell ref="V202:Y202"/>
    <mergeCell ref="F202:I202"/>
    <mergeCell ref="J202:M202"/>
    <mergeCell ref="N202:Q202"/>
    <mergeCell ref="R202:U202"/>
    <mergeCell ref="J201:M201"/>
    <mergeCell ref="Z201:AC201"/>
    <mergeCell ref="Z202:AC202"/>
    <mergeCell ref="R201:U201"/>
    <mergeCell ref="V201:Y201"/>
    <mergeCell ref="N201:Q201"/>
    <mergeCell ref="F201:I201"/>
    <mergeCell ref="F203:I203"/>
    <mergeCell ref="J203:M203"/>
    <mergeCell ref="N203:Q203"/>
    <mergeCell ref="R203:U203"/>
    <mergeCell ref="V203:Y203"/>
    <mergeCell ref="Z203:AC203"/>
    <mergeCell ref="AD203:AG203"/>
    <mergeCell ref="AH203:AK203"/>
    <mergeCell ref="AL203:AO203"/>
    <mergeCell ref="AP203:AS203"/>
    <mergeCell ref="AT203:AW203"/>
    <mergeCell ref="AX203:BA203"/>
    <mergeCell ref="F204:I204"/>
    <mergeCell ref="J204:M204"/>
    <mergeCell ref="N204:Q204"/>
    <mergeCell ref="R204:U204"/>
    <mergeCell ref="V204:Y204"/>
    <mergeCell ref="Z204:AC204"/>
    <mergeCell ref="AD204:AG204"/>
    <mergeCell ref="AH204:AK204"/>
    <mergeCell ref="AL204:AO204"/>
    <mergeCell ref="AP204:AS204"/>
    <mergeCell ref="AT204:AW204"/>
    <mergeCell ref="AX204:BA204"/>
    <mergeCell ref="F205:I205"/>
    <mergeCell ref="J205:M205"/>
    <mergeCell ref="N205:Q205"/>
    <mergeCell ref="R205:U205"/>
    <mergeCell ref="V205:Y205"/>
    <mergeCell ref="Z205:AC205"/>
    <mergeCell ref="AD205:AG205"/>
    <mergeCell ref="AH205:AK205"/>
    <mergeCell ref="AL205:AO205"/>
    <mergeCell ref="AP205:AS205"/>
    <mergeCell ref="AT205:AW205"/>
    <mergeCell ref="AX205:BA205"/>
    <mergeCell ref="F206:I206"/>
    <mergeCell ref="J206:M206"/>
    <mergeCell ref="N206:Q206"/>
    <mergeCell ref="R206:U206"/>
    <mergeCell ref="V206:Y206"/>
    <mergeCell ref="Z206:AC206"/>
    <mergeCell ref="AD206:AG206"/>
    <mergeCell ref="AH206:AK206"/>
    <mergeCell ref="AL206:AO206"/>
    <mergeCell ref="AP206:AS206"/>
    <mergeCell ref="AT206:AW206"/>
    <mergeCell ref="AX206:BA206"/>
    <mergeCell ref="F207:I207"/>
    <mergeCell ref="J207:M207"/>
    <mergeCell ref="N207:Q207"/>
    <mergeCell ref="R207:U207"/>
    <mergeCell ref="V207:Y207"/>
    <mergeCell ref="Z207:AC207"/>
    <mergeCell ref="AD207:AG207"/>
    <mergeCell ref="AH207:AK207"/>
    <mergeCell ref="AL207:AO207"/>
    <mergeCell ref="AP207:AS207"/>
    <mergeCell ref="AT207:AW207"/>
    <mergeCell ref="AX207:BA207"/>
    <mergeCell ref="F208:I208"/>
    <mergeCell ref="J208:M208"/>
    <mergeCell ref="N208:Q208"/>
    <mergeCell ref="R208:U208"/>
    <mergeCell ref="V208:Y208"/>
    <mergeCell ref="Z208:AC208"/>
    <mergeCell ref="AD208:AG208"/>
    <mergeCell ref="AH208:AK208"/>
    <mergeCell ref="AL208:AO208"/>
    <mergeCell ref="AP208:AS208"/>
    <mergeCell ref="AT208:AW208"/>
    <mergeCell ref="AX208:BA208"/>
    <mergeCell ref="F209:I209"/>
    <mergeCell ref="J209:M209"/>
    <mergeCell ref="N209:Q209"/>
    <mergeCell ref="R209:U209"/>
    <mergeCell ref="V209:Y209"/>
    <mergeCell ref="Z209:AC209"/>
    <mergeCell ref="AD209:AG209"/>
    <mergeCell ref="AH209:AK209"/>
    <mergeCell ref="AL209:AO209"/>
    <mergeCell ref="AP209:AS209"/>
    <mergeCell ref="AT209:AW209"/>
    <mergeCell ref="AX209:BA209"/>
    <mergeCell ref="F210:I210"/>
    <mergeCell ref="J210:M210"/>
    <mergeCell ref="N210:Q210"/>
    <mergeCell ref="R210:U210"/>
    <mergeCell ref="V210:Y210"/>
    <mergeCell ref="Z210:AC210"/>
    <mergeCell ref="AD210:AG210"/>
    <mergeCell ref="AH210:AK210"/>
    <mergeCell ref="AL210:AO210"/>
    <mergeCell ref="AP210:AS210"/>
    <mergeCell ref="AT210:AW210"/>
    <mergeCell ref="AX210:BA210"/>
    <mergeCell ref="F211:I211"/>
    <mergeCell ref="J211:M211"/>
    <mergeCell ref="N211:Q211"/>
    <mergeCell ref="R211:U211"/>
    <mergeCell ref="V211:Y211"/>
    <mergeCell ref="Z211:AC211"/>
    <mergeCell ref="AD211:AG211"/>
    <mergeCell ref="AH211:AK211"/>
    <mergeCell ref="AL211:AO211"/>
    <mergeCell ref="AP211:AS211"/>
    <mergeCell ref="AT211:AW211"/>
    <mergeCell ref="AX211:BA211"/>
    <mergeCell ref="F212:I212"/>
    <mergeCell ref="J212:M212"/>
    <mergeCell ref="N212:Q212"/>
    <mergeCell ref="R212:U212"/>
    <mergeCell ref="V212:Y212"/>
    <mergeCell ref="Z212:AC212"/>
    <mergeCell ref="AD212:AG212"/>
    <mergeCell ref="AH212:AK212"/>
    <mergeCell ref="AL212:AO212"/>
    <mergeCell ref="AP212:AS212"/>
    <mergeCell ref="AT212:AW212"/>
    <mergeCell ref="AX212:BA212"/>
    <mergeCell ref="F213:I213"/>
    <mergeCell ref="J213:M213"/>
    <mergeCell ref="N213:Q213"/>
    <mergeCell ref="R213:U213"/>
    <mergeCell ref="V213:Y213"/>
    <mergeCell ref="Z213:AC213"/>
    <mergeCell ref="AD213:AG213"/>
    <mergeCell ref="AH213:AK213"/>
    <mergeCell ref="AL213:AO213"/>
    <mergeCell ref="AP213:AS213"/>
    <mergeCell ref="AT213:AW213"/>
    <mergeCell ref="AX213:BA213"/>
    <mergeCell ref="F214:I214"/>
    <mergeCell ref="J214:M214"/>
    <mergeCell ref="N214:Q214"/>
    <mergeCell ref="R214:U214"/>
    <mergeCell ref="V214:Y214"/>
    <mergeCell ref="Z214:AC214"/>
    <mergeCell ref="AD214:AG214"/>
    <mergeCell ref="AH214:AK214"/>
    <mergeCell ref="AL214:AO214"/>
    <mergeCell ref="AP214:AS214"/>
    <mergeCell ref="AT214:AW214"/>
    <mergeCell ref="AX214:BA214"/>
    <mergeCell ref="F215:I215"/>
    <mergeCell ref="J215:M215"/>
    <mergeCell ref="N215:Q215"/>
    <mergeCell ref="R215:U215"/>
    <mergeCell ref="V215:Y215"/>
    <mergeCell ref="Z215:AC215"/>
    <mergeCell ref="AD215:AG215"/>
    <mergeCell ref="AH215:AK215"/>
    <mergeCell ref="AL215:AO215"/>
    <mergeCell ref="AP215:AS215"/>
    <mergeCell ref="AT215:AW215"/>
    <mergeCell ref="AX215:BA215"/>
    <mergeCell ref="F216:I216"/>
    <mergeCell ref="J216:M216"/>
    <mergeCell ref="N216:Q216"/>
    <mergeCell ref="R216:U216"/>
    <mergeCell ref="V216:Y216"/>
    <mergeCell ref="Z216:AC216"/>
    <mergeCell ref="AD216:AG216"/>
    <mergeCell ref="AH216:AK216"/>
    <mergeCell ref="AL216:AO216"/>
    <mergeCell ref="AP216:AS216"/>
    <mergeCell ref="AT216:AW216"/>
    <mergeCell ref="AX216:BA216"/>
    <mergeCell ref="F217:I217"/>
    <mergeCell ref="J217:M217"/>
    <mergeCell ref="N217:Q217"/>
    <mergeCell ref="R217:U217"/>
    <mergeCell ref="V217:Y217"/>
    <mergeCell ref="Z217:AC217"/>
    <mergeCell ref="AD217:AG217"/>
    <mergeCell ref="AH217:AK217"/>
    <mergeCell ref="AL217:AO217"/>
    <mergeCell ref="AP217:AS217"/>
    <mergeCell ref="AT217:AW217"/>
    <mergeCell ref="AX217:BA217"/>
    <mergeCell ref="F218:I218"/>
    <mergeCell ref="J218:M218"/>
    <mergeCell ref="N218:Q218"/>
    <mergeCell ref="R218:U218"/>
    <mergeCell ref="V218:Y218"/>
    <mergeCell ref="Z218:AC218"/>
    <mergeCell ref="AD218:AG218"/>
    <mergeCell ref="AH218:AK218"/>
    <mergeCell ref="AL218:AO218"/>
    <mergeCell ref="AP218:AS218"/>
    <mergeCell ref="AT218:AW218"/>
    <mergeCell ref="AX218:BA218"/>
    <mergeCell ref="F219:I219"/>
    <mergeCell ref="J219:M219"/>
    <mergeCell ref="N219:Q219"/>
    <mergeCell ref="R219:U219"/>
    <mergeCell ref="V219:Y219"/>
    <mergeCell ref="Z219:AC219"/>
    <mergeCell ref="AD219:AG219"/>
    <mergeCell ref="AH219:AK219"/>
    <mergeCell ref="AL219:AO219"/>
    <mergeCell ref="AP219:AS219"/>
    <mergeCell ref="AT219:AW219"/>
    <mergeCell ref="AX219:BA219"/>
    <mergeCell ref="F220:I220"/>
    <mergeCell ref="J220:M220"/>
    <mergeCell ref="N220:Q220"/>
    <mergeCell ref="R220:U220"/>
    <mergeCell ref="V220:Y220"/>
    <mergeCell ref="Z220:AC220"/>
    <mergeCell ref="AD220:AG220"/>
    <mergeCell ref="AH220:AK220"/>
    <mergeCell ref="AL220:AO220"/>
    <mergeCell ref="AP220:AS220"/>
    <mergeCell ref="AT220:AW220"/>
    <mergeCell ref="AX220:BA220"/>
    <mergeCell ref="F221:I221"/>
    <mergeCell ref="J221:M221"/>
    <mergeCell ref="N221:Q221"/>
    <mergeCell ref="R221:U221"/>
    <mergeCell ref="V221:Y221"/>
    <mergeCell ref="Z221:AC221"/>
    <mergeCell ref="AD221:AG221"/>
    <mergeCell ref="AH221:AK221"/>
    <mergeCell ref="AL221:AO221"/>
    <mergeCell ref="AP221:AS221"/>
    <mergeCell ref="AT221:AW221"/>
    <mergeCell ref="AX221:BA221"/>
    <mergeCell ref="F222:I222"/>
    <mergeCell ref="J222:M222"/>
    <mergeCell ref="N222:Q222"/>
    <mergeCell ref="R222:U222"/>
    <mergeCell ref="V222:Y222"/>
    <mergeCell ref="Z222:AC222"/>
    <mergeCell ref="AD222:AG222"/>
    <mergeCell ref="AH222:AK222"/>
    <mergeCell ref="AL222:AO222"/>
    <mergeCell ref="AP222:AS222"/>
    <mergeCell ref="AT222:AW222"/>
    <mergeCell ref="AX222:BA222"/>
    <mergeCell ref="F223:I223"/>
    <mergeCell ref="J223:M223"/>
    <mergeCell ref="N223:Q223"/>
    <mergeCell ref="R223:U223"/>
    <mergeCell ref="V223:Y223"/>
    <mergeCell ref="Z223:AC223"/>
    <mergeCell ref="AD223:AG223"/>
    <mergeCell ref="AH223:AK223"/>
    <mergeCell ref="AL223:AO223"/>
    <mergeCell ref="AP223:AS223"/>
    <mergeCell ref="AT223:AW223"/>
    <mergeCell ref="AX223:BA223"/>
    <mergeCell ref="F224:I224"/>
    <mergeCell ref="J224:M224"/>
    <mergeCell ref="N224:Q224"/>
    <mergeCell ref="R224:U224"/>
    <mergeCell ref="V224:Y224"/>
    <mergeCell ref="Z224:AC224"/>
    <mergeCell ref="AD224:AG224"/>
    <mergeCell ref="AH224:AK224"/>
    <mergeCell ref="AL224:AO224"/>
    <mergeCell ref="AP224:AS224"/>
    <mergeCell ref="AT224:AW224"/>
    <mergeCell ref="AX224:BA224"/>
    <mergeCell ref="F225:I225"/>
    <mergeCell ref="J225:M225"/>
    <mergeCell ref="N225:Q225"/>
    <mergeCell ref="R225:U225"/>
    <mergeCell ref="V225:Y225"/>
    <mergeCell ref="Z225:AC225"/>
    <mergeCell ref="AD225:AG225"/>
    <mergeCell ref="AH225:AK225"/>
    <mergeCell ref="AL225:AO225"/>
    <mergeCell ref="AP225:AS225"/>
    <mergeCell ref="AT225:AW225"/>
    <mergeCell ref="AX225:BA225"/>
    <mergeCell ref="F226:I226"/>
    <mergeCell ref="J226:M226"/>
    <mergeCell ref="N226:Q226"/>
    <mergeCell ref="R226:U226"/>
    <mergeCell ref="V226:Y226"/>
    <mergeCell ref="Z226:AC226"/>
    <mergeCell ref="AD226:AG226"/>
    <mergeCell ref="AH226:AK226"/>
    <mergeCell ref="AL226:AO226"/>
    <mergeCell ref="AP226:AS226"/>
    <mergeCell ref="AT226:AW226"/>
    <mergeCell ref="AX226:BA226"/>
    <mergeCell ref="F227:I227"/>
    <mergeCell ref="J227:M227"/>
    <mergeCell ref="N227:Q227"/>
    <mergeCell ref="R227:U227"/>
    <mergeCell ref="V227:Y227"/>
    <mergeCell ref="Z227:AC227"/>
    <mergeCell ref="AD227:AG227"/>
    <mergeCell ref="AH227:AK227"/>
    <mergeCell ref="AL227:AO227"/>
    <mergeCell ref="AP227:AS227"/>
    <mergeCell ref="AT227:AW227"/>
    <mergeCell ref="AX227:BA227"/>
    <mergeCell ref="F228:I228"/>
    <mergeCell ref="J228:M228"/>
    <mergeCell ref="N228:Q228"/>
    <mergeCell ref="R228:U228"/>
    <mergeCell ref="V228:Y228"/>
    <mergeCell ref="Z228:AC228"/>
    <mergeCell ref="AD228:AG228"/>
    <mergeCell ref="AH228:AK228"/>
    <mergeCell ref="AL228:AO228"/>
    <mergeCell ref="AP228:AS228"/>
    <mergeCell ref="AT228:AW228"/>
    <mergeCell ref="AX228:BA228"/>
    <mergeCell ref="F229:I229"/>
    <mergeCell ref="J229:M229"/>
    <mergeCell ref="N229:Q229"/>
    <mergeCell ref="R229:U229"/>
    <mergeCell ref="V229:Y229"/>
    <mergeCell ref="Z229:AC229"/>
    <mergeCell ref="AD229:AG229"/>
    <mergeCell ref="AH229:AK229"/>
    <mergeCell ref="AL229:AO229"/>
    <mergeCell ref="AP229:AS229"/>
    <mergeCell ref="AT229:AW229"/>
    <mergeCell ref="AX229:BA229"/>
    <mergeCell ref="F230:I230"/>
    <mergeCell ref="J230:M230"/>
    <mergeCell ref="N230:Q230"/>
    <mergeCell ref="R230:U230"/>
    <mergeCell ref="V230:Y230"/>
    <mergeCell ref="Z230:AC230"/>
    <mergeCell ref="AD230:AG230"/>
    <mergeCell ref="AH230:AK230"/>
    <mergeCell ref="AL230:AO230"/>
    <mergeCell ref="AP230:AS230"/>
    <mergeCell ref="AT230:AW230"/>
    <mergeCell ref="AX230:BA230"/>
    <mergeCell ref="F231:I231"/>
    <mergeCell ref="J231:M231"/>
    <mergeCell ref="N231:Q231"/>
    <mergeCell ref="R231:U231"/>
    <mergeCell ref="V231:Y231"/>
    <mergeCell ref="Z231:AC231"/>
    <mergeCell ref="AD231:AG231"/>
    <mergeCell ref="AH231:AK231"/>
    <mergeCell ref="AL231:AO231"/>
    <mergeCell ref="AP231:AS231"/>
    <mergeCell ref="AT231:AW231"/>
    <mergeCell ref="AX231:BA231"/>
    <mergeCell ref="F232:I232"/>
    <mergeCell ref="J232:M232"/>
    <mergeCell ref="N232:Q232"/>
    <mergeCell ref="R232:U232"/>
    <mergeCell ref="V232:Y232"/>
    <mergeCell ref="Z232:AC232"/>
    <mergeCell ref="AD232:AG232"/>
    <mergeCell ref="AH232:AK232"/>
    <mergeCell ref="AL232:AO232"/>
    <mergeCell ref="AP232:AS232"/>
    <mergeCell ref="AT232:AW232"/>
    <mergeCell ref="AX232:BA232"/>
    <mergeCell ref="F233:I233"/>
    <mergeCell ref="J233:M233"/>
    <mergeCell ref="N233:Q233"/>
    <mergeCell ref="R233:U233"/>
    <mergeCell ref="V233:Y233"/>
    <mergeCell ref="Z233:AC233"/>
    <mergeCell ref="AD233:AG233"/>
    <mergeCell ref="AH233:AK233"/>
    <mergeCell ref="AL233:AO233"/>
    <mergeCell ref="AP233:AS233"/>
    <mergeCell ref="AT233:AW233"/>
    <mergeCell ref="AX233:BA233"/>
    <mergeCell ref="F234:I234"/>
    <mergeCell ref="J234:M234"/>
    <mergeCell ref="N234:Q234"/>
    <mergeCell ref="R234:U234"/>
    <mergeCell ref="V234:Y234"/>
    <mergeCell ref="Z234:AC234"/>
    <mergeCell ref="AD234:AG234"/>
    <mergeCell ref="AH234:AK234"/>
    <mergeCell ref="AL234:AO234"/>
    <mergeCell ref="AP234:AS234"/>
    <mergeCell ref="AT234:AW234"/>
    <mergeCell ref="AX234:BA234"/>
    <mergeCell ref="F235:I235"/>
    <mergeCell ref="J235:M235"/>
    <mergeCell ref="N235:Q235"/>
    <mergeCell ref="R235:U235"/>
    <mergeCell ref="V235:Y235"/>
    <mergeCell ref="Z235:AC235"/>
    <mergeCell ref="AD235:AG235"/>
    <mergeCell ref="AH235:AK235"/>
    <mergeCell ref="AL235:AO235"/>
    <mergeCell ref="AP235:AS235"/>
    <mergeCell ref="AT235:AW235"/>
    <mergeCell ref="AX235:BA235"/>
    <mergeCell ref="F236:I236"/>
    <mergeCell ref="J236:M236"/>
    <mergeCell ref="N236:Q236"/>
    <mergeCell ref="R236:U236"/>
    <mergeCell ref="V236:Y236"/>
    <mergeCell ref="Z236:AC236"/>
    <mergeCell ref="AD236:AG236"/>
    <mergeCell ref="AH236:AK236"/>
    <mergeCell ref="AL236:AO236"/>
    <mergeCell ref="AP236:AS236"/>
    <mergeCell ref="AT236:AW236"/>
    <mergeCell ref="AX236:BA236"/>
    <mergeCell ref="F237:I237"/>
    <mergeCell ref="J237:M237"/>
    <mergeCell ref="N237:Q237"/>
    <mergeCell ref="R237:U237"/>
    <mergeCell ref="V237:Y237"/>
    <mergeCell ref="Z237:AC237"/>
    <mergeCell ref="AD237:AG237"/>
    <mergeCell ref="AH237:AK237"/>
    <mergeCell ref="AL237:AO237"/>
    <mergeCell ref="AP237:AS237"/>
    <mergeCell ref="AT237:AW237"/>
    <mergeCell ref="AX237:BA237"/>
    <mergeCell ref="F238:I238"/>
    <mergeCell ref="J238:M238"/>
    <mergeCell ref="N238:Q238"/>
    <mergeCell ref="R238:U238"/>
    <mergeCell ref="V238:Y238"/>
    <mergeCell ref="Z238:AC238"/>
    <mergeCell ref="AD238:AG238"/>
    <mergeCell ref="AH238:AK238"/>
    <mergeCell ref="AL238:AO238"/>
    <mergeCell ref="AP238:AS238"/>
    <mergeCell ref="AT238:AW238"/>
    <mergeCell ref="AX238:BA238"/>
    <mergeCell ref="F239:I239"/>
    <mergeCell ref="J239:M239"/>
    <mergeCell ref="N239:Q239"/>
    <mergeCell ref="R239:U239"/>
    <mergeCell ref="V239:Y239"/>
    <mergeCell ref="Z239:AC239"/>
    <mergeCell ref="AD239:AG239"/>
    <mergeCell ref="AH239:AK239"/>
    <mergeCell ref="AL239:AO239"/>
    <mergeCell ref="AP239:AS239"/>
    <mergeCell ref="AT239:AW239"/>
    <mergeCell ref="AX239:BA239"/>
    <mergeCell ref="F240:I240"/>
    <mergeCell ref="J240:M240"/>
    <mergeCell ref="N240:Q240"/>
    <mergeCell ref="R240:U240"/>
    <mergeCell ref="V240:Y240"/>
    <mergeCell ref="Z240:AC240"/>
    <mergeCell ref="AD240:AG240"/>
    <mergeCell ref="AH240:AK240"/>
    <mergeCell ref="AL240:AO240"/>
    <mergeCell ref="AP240:AS240"/>
    <mergeCell ref="AT240:AW240"/>
    <mergeCell ref="AX240:BA240"/>
    <mergeCell ref="F241:I241"/>
    <mergeCell ref="J241:M241"/>
    <mergeCell ref="N241:Q241"/>
    <mergeCell ref="R241:U241"/>
    <mergeCell ref="V241:Y241"/>
    <mergeCell ref="Z241:AC241"/>
    <mergeCell ref="AD241:AG241"/>
    <mergeCell ref="AH241:AK241"/>
    <mergeCell ref="AL241:AO241"/>
    <mergeCell ref="AP241:AS241"/>
    <mergeCell ref="AT241:AW241"/>
    <mergeCell ref="AX241:BA241"/>
    <mergeCell ref="F242:I242"/>
    <mergeCell ref="J242:M242"/>
    <mergeCell ref="N242:Q242"/>
    <mergeCell ref="R242:U242"/>
    <mergeCell ref="V242:Y242"/>
    <mergeCell ref="Z242:AC242"/>
    <mergeCell ref="AD242:AG242"/>
    <mergeCell ref="AH242:AK242"/>
    <mergeCell ref="AL242:AO242"/>
    <mergeCell ref="AP242:AS242"/>
    <mergeCell ref="AT242:AW242"/>
    <mergeCell ref="AX242:BA242"/>
    <mergeCell ref="F243:I243"/>
    <mergeCell ref="J243:M243"/>
    <mergeCell ref="N243:Q243"/>
    <mergeCell ref="R243:U243"/>
    <mergeCell ref="V243:Y243"/>
    <mergeCell ref="Z243:AC243"/>
    <mergeCell ref="AD243:AG243"/>
    <mergeCell ref="AH243:AK243"/>
    <mergeCell ref="AL243:AO243"/>
    <mergeCell ref="AP243:AS243"/>
    <mergeCell ref="AT243:AW243"/>
    <mergeCell ref="AX243:BA243"/>
    <mergeCell ref="F244:I244"/>
    <mergeCell ref="J244:M244"/>
    <mergeCell ref="N244:Q244"/>
    <mergeCell ref="R244:U244"/>
    <mergeCell ref="V244:Y244"/>
    <mergeCell ref="Z244:AC244"/>
    <mergeCell ref="AD244:AG244"/>
    <mergeCell ref="AH244:AK244"/>
    <mergeCell ref="AL244:AO244"/>
    <mergeCell ref="AP244:AS244"/>
    <mergeCell ref="AT244:AW244"/>
    <mergeCell ref="AX244:BA244"/>
    <mergeCell ref="F245:I245"/>
    <mergeCell ref="J245:M245"/>
    <mergeCell ref="N245:Q245"/>
    <mergeCell ref="R245:U245"/>
    <mergeCell ref="V245:Y245"/>
    <mergeCell ref="Z245:AC245"/>
    <mergeCell ref="AD245:AG245"/>
    <mergeCell ref="AH245:AK245"/>
    <mergeCell ref="AL245:AO245"/>
    <mergeCell ref="AP245:AS245"/>
    <mergeCell ref="AT245:AW245"/>
    <mergeCell ref="AX245:BA245"/>
    <mergeCell ref="F246:I246"/>
    <mergeCell ref="J246:M246"/>
    <mergeCell ref="N246:Q246"/>
    <mergeCell ref="R246:U246"/>
    <mergeCell ref="V246:Y246"/>
    <mergeCell ref="Z246:AC246"/>
    <mergeCell ref="AD246:AG246"/>
    <mergeCell ref="AH246:AK246"/>
    <mergeCell ref="AL246:AO246"/>
    <mergeCell ref="AP246:AS246"/>
    <mergeCell ref="AT246:AW246"/>
    <mergeCell ref="AX246:BA246"/>
    <mergeCell ref="F247:I247"/>
    <mergeCell ref="J247:M247"/>
    <mergeCell ref="N247:Q247"/>
    <mergeCell ref="R247:U247"/>
    <mergeCell ref="V247:Y247"/>
    <mergeCell ref="Z247:AC247"/>
    <mergeCell ref="AD247:AG247"/>
    <mergeCell ref="AH247:AK247"/>
    <mergeCell ref="AL247:AO247"/>
    <mergeCell ref="AP247:AS247"/>
    <mergeCell ref="AT247:AW247"/>
    <mergeCell ref="AX247:BA247"/>
    <mergeCell ref="F248:I248"/>
    <mergeCell ref="J248:M248"/>
    <mergeCell ref="N248:Q248"/>
    <mergeCell ref="R248:U248"/>
    <mergeCell ref="V248:Y248"/>
    <mergeCell ref="Z248:AC248"/>
    <mergeCell ref="AD248:AG248"/>
    <mergeCell ref="AH248:AK248"/>
    <mergeCell ref="AL248:AO248"/>
    <mergeCell ref="AP248:AS248"/>
    <mergeCell ref="AT248:AW248"/>
    <mergeCell ref="AX248:BA248"/>
    <mergeCell ref="F249:I249"/>
    <mergeCell ref="J249:M249"/>
    <mergeCell ref="N249:Q249"/>
    <mergeCell ref="R249:U249"/>
    <mergeCell ref="V249:Y249"/>
    <mergeCell ref="Z249:AC249"/>
    <mergeCell ref="AD249:AG249"/>
    <mergeCell ref="AH249:AK249"/>
    <mergeCell ref="AL249:AO249"/>
    <mergeCell ref="AP249:AS249"/>
    <mergeCell ref="AT249:AW249"/>
    <mergeCell ref="AX249:BA249"/>
    <mergeCell ref="F250:I250"/>
    <mergeCell ref="J250:M250"/>
    <mergeCell ref="N250:Q250"/>
    <mergeCell ref="R250:U250"/>
    <mergeCell ref="V250:Y250"/>
    <mergeCell ref="Z250:AC250"/>
    <mergeCell ref="AD250:AG250"/>
    <mergeCell ref="AH250:AK250"/>
    <mergeCell ref="AL250:AO250"/>
    <mergeCell ref="AP250:AS250"/>
    <mergeCell ref="AT250:AW250"/>
    <mergeCell ref="AX250:BA250"/>
    <mergeCell ref="F251:I251"/>
    <mergeCell ref="J251:M251"/>
    <mergeCell ref="N251:Q251"/>
    <mergeCell ref="R251:U251"/>
    <mergeCell ref="V251:Y251"/>
    <mergeCell ref="Z251:AC251"/>
    <mergeCell ref="AD251:AG251"/>
    <mergeCell ref="AH251:AK251"/>
    <mergeCell ref="AL251:AO251"/>
    <mergeCell ref="AP251:AS251"/>
    <mergeCell ref="AT251:AW251"/>
    <mergeCell ref="AX251:BA251"/>
    <mergeCell ref="F252:I252"/>
    <mergeCell ref="J252:M252"/>
    <mergeCell ref="N252:Q252"/>
    <mergeCell ref="R252:U252"/>
    <mergeCell ref="V252:Y252"/>
    <mergeCell ref="Z252:AC252"/>
    <mergeCell ref="AD252:AG252"/>
    <mergeCell ref="AH252:AK252"/>
    <mergeCell ref="AL252:AO252"/>
    <mergeCell ref="AP252:AS252"/>
    <mergeCell ref="AT252:AW252"/>
    <mergeCell ref="AX252:BA252"/>
    <mergeCell ref="F253:I253"/>
    <mergeCell ref="J253:M253"/>
    <mergeCell ref="N253:Q253"/>
    <mergeCell ref="R253:U253"/>
    <mergeCell ref="V253:Y253"/>
    <mergeCell ref="Z253:AC253"/>
    <mergeCell ref="AD253:AG253"/>
    <mergeCell ref="AH253:AK253"/>
    <mergeCell ref="AL253:AO253"/>
    <mergeCell ref="AP253:AS253"/>
    <mergeCell ref="AT253:AW253"/>
    <mergeCell ref="AX253:BA253"/>
    <mergeCell ref="F254:I254"/>
    <mergeCell ref="J254:M254"/>
    <mergeCell ref="N254:Q254"/>
    <mergeCell ref="R254:U254"/>
    <mergeCell ref="V254:Y254"/>
    <mergeCell ref="Z254:AC254"/>
    <mergeCell ref="AD254:AG254"/>
    <mergeCell ref="AH254:AK254"/>
    <mergeCell ref="AL254:AO254"/>
    <mergeCell ref="AP254:AS254"/>
    <mergeCell ref="AT254:AW254"/>
    <mergeCell ref="AX254:BA254"/>
    <mergeCell ref="Z258:AC258"/>
    <mergeCell ref="AD258:AG258"/>
    <mergeCell ref="AH258:AK258"/>
    <mergeCell ref="AL258:AO258"/>
    <mergeCell ref="AP258:AS258"/>
    <mergeCell ref="AT258:AW258"/>
    <mergeCell ref="AX258:BA258"/>
    <mergeCell ref="F255:I255"/>
    <mergeCell ref="J255:M255"/>
    <mergeCell ref="N255:Q255"/>
    <mergeCell ref="R255:U255"/>
    <mergeCell ref="V255:Y255"/>
    <mergeCell ref="Z256:AC256"/>
    <mergeCell ref="AD256:AG256"/>
    <mergeCell ref="AH256:AK256"/>
    <mergeCell ref="AL256:AO256"/>
    <mergeCell ref="AP256:AS256"/>
    <mergeCell ref="AT256:AW256"/>
    <mergeCell ref="AX256:BA256"/>
    <mergeCell ref="F259:I259"/>
    <mergeCell ref="J259:M259"/>
    <mergeCell ref="N259:Q259"/>
    <mergeCell ref="R259:U259"/>
    <mergeCell ref="V259:Y259"/>
    <mergeCell ref="Z259:AC259"/>
    <mergeCell ref="AD259:AG259"/>
    <mergeCell ref="AH259:AK259"/>
    <mergeCell ref="AL259:AO259"/>
    <mergeCell ref="F41:I41"/>
    <mergeCell ref="J41:M41"/>
    <mergeCell ref="AD43:AG43"/>
    <mergeCell ref="AH43:AK43"/>
    <mergeCell ref="AL43:AO43"/>
    <mergeCell ref="R40:U40"/>
    <mergeCell ref="V40:Y40"/>
    <mergeCell ref="Z40:AC40"/>
    <mergeCell ref="AD40:AG40"/>
    <mergeCell ref="AH40:AK40"/>
    <mergeCell ref="AL40:AO40"/>
    <mergeCell ref="N43:Q43"/>
    <mergeCell ref="F43:I43"/>
    <mergeCell ref="J43:M43"/>
    <mergeCell ref="R43:U43"/>
    <mergeCell ref="AH124:AK124"/>
    <mergeCell ref="AL124:AO124"/>
    <mergeCell ref="AD164:AG164"/>
    <mergeCell ref="AH164:AK164"/>
    <mergeCell ref="AL164:AO164"/>
    <mergeCell ref="AD165:AG165"/>
    <mergeCell ref="AH165:AK165"/>
    <mergeCell ref="AL165:AO165"/>
    <mergeCell ref="AP259:AS259"/>
    <mergeCell ref="AT259:AW259"/>
    <mergeCell ref="AX259:BA259"/>
    <mergeCell ref="Z255:AC255"/>
    <mergeCell ref="AD255:AG255"/>
    <mergeCell ref="AH255:AK255"/>
    <mergeCell ref="AL255:AO255"/>
    <mergeCell ref="AP255:AS255"/>
    <mergeCell ref="AT255:AW255"/>
    <mergeCell ref="AX255:BA255"/>
    <mergeCell ref="F256:I256"/>
    <mergeCell ref="J256:M256"/>
    <mergeCell ref="N256:Q256"/>
    <mergeCell ref="R256:U256"/>
    <mergeCell ref="V256:Y256"/>
    <mergeCell ref="F257:I257"/>
    <mergeCell ref="J257:M257"/>
    <mergeCell ref="N257:Q257"/>
    <mergeCell ref="R257:U257"/>
    <mergeCell ref="V257:Y257"/>
    <mergeCell ref="Z257:AC257"/>
    <mergeCell ref="AD257:AG257"/>
    <mergeCell ref="AH257:AK257"/>
    <mergeCell ref="AL257:AO257"/>
    <mergeCell ref="AP257:AS257"/>
    <mergeCell ref="AT257:AW257"/>
    <mergeCell ref="AX257:BA257"/>
    <mergeCell ref="F258:I258"/>
    <mergeCell ref="J258:M258"/>
    <mergeCell ref="N258:Q258"/>
    <mergeCell ref="R258:U258"/>
    <mergeCell ref="V258:Y258"/>
    <mergeCell ref="A184:C184"/>
    <mergeCell ref="F180:I180"/>
    <mergeCell ref="J180:M180"/>
    <mergeCell ref="F182:I182"/>
    <mergeCell ref="J182:M182"/>
    <mergeCell ref="N182:Q182"/>
    <mergeCell ref="R182:U182"/>
    <mergeCell ref="V182:Y182"/>
    <mergeCell ref="Z182:AC182"/>
    <mergeCell ref="AD182:AG182"/>
    <mergeCell ref="AH182:AK182"/>
    <mergeCell ref="AL182:AO182"/>
    <mergeCell ref="F44:I44"/>
    <mergeCell ref="J44:M44"/>
    <mergeCell ref="N44:Q44"/>
    <mergeCell ref="R44:U44"/>
    <mergeCell ref="V44:Y44"/>
    <mergeCell ref="Z44:AC44"/>
    <mergeCell ref="AD44:AG44"/>
    <mergeCell ref="AH44:AK44"/>
    <mergeCell ref="AL44:AO44"/>
    <mergeCell ref="Z127:AC127"/>
    <mergeCell ref="AH158:AK158"/>
    <mergeCell ref="AL158:AO158"/>
    <mergeCell ref="AH152:AK152"/>
    <mergeCell ref="AD146:AG146"/>
    <mergeCell ref="AH146:AK146"/>
    <mergeCell ref="AL146:AO146"/>
    <mergeCell ref="AD140:AG140"/>
    <mergeCell ref="AH140:AK140"/>
    <mergeCell ref="AL140:AO140"/>
    <mergeCell ref="AL132:AO132"/>
    <mergeCell ref="F42:I42"/>
    <mergeCell ref="J42:M42"/>
    <mergeCell ref="N42:Q42"/>
    <mergeCell ref="R42:U42"/>
    <mergeCell ref="V42:Y42"/>
    <mergeCell ref="Z42:AC42"/>
    <mergeCell ref="AD42:AG42"/>
    <mergeCell ref="AH42:AK42"/>
    <mergeCell ref="AL42:AO42"/>
    <mergeCell ref="A182:C182"/>
    <mergeCell ref="AP158:AS158"/>
    <mergeCell ref="AT158:AW158"/>
    <mergeCell ref="AP157:AS157"/>
    <mergeCell ref="AT157:AW157"/>
    <mergeCell ref="AP146:AS146"/>
    <mergeCell ref="AT146:AW146"/>
    <mergeCell ref="AP140:AS140"/>
    <mergeCell ref="AT140:AW140"/>
    <mergeCell ref="AP132:AS132"/>
    <mergeCell ref="AT132:AW132"/>
    <mergeCell ref="AL129:AO129"/>
    <mergeCell ref="AP129:AS129"/>
    <mergeCell ref="AT129:AW129"/>
    <mergeCell ref="V136:Y136"/>
    <mergeCell ref="N137:Q137"/>
    <mergeCell ref="AH157:AK157"/>
    <mergeCell ref="AL157:AO157"/>
    <mergeCell ref="AD158:AG158"/>
    <mergeCell ref="AT145:AW145"/>
    <mergeCell ref="AP139:AS139"/>
    <mergeCell ref="AT139:AW139"/>
    <mergeCell ref="N135:Q135"/>
    <mergeCell ref="F111:I111"/>
    <mergeCell ref="J111:M111"/>
    <mergeCell ref="N111:Q111"/>
    <mergeCell ref="AT108:AW108"/>
    <mergeCell ref="AX108:BA108"/>
    <mergeCell ref="AP111:AS111"/>
    <mergeCell ref="AT111:AW111"/>
    <mergeCell ref="AX111:BA111"/>
    <mergeCell ref="AX169:BA169"/>
    <mergeCell ref="BN182:BQ182"/>
    <mergeCell ref="F123:I123"/>
    <mergeCell ref="J123:M123"/>
    <mergeCell ref="N123:Q123"/>
    <mergeCell ref="R123:U123"/>
    <mergeCell ref="V123:Y123"/>
    <mergeCell ref="Z123:AC123"/>
    <mergeCell ref="AD123:AG123"/>
    <mergeCell ref="AH123:AK123"/>
    <mergeCell ref="AL123:AO123"/>
    <mergeCell ref="AP123:AS123"/>
    <mergeCell ref="AT123:AW123"/>
    <mergeCell ref="AX123:BA123"/>
    <mergeCell ref="F124:I124"/>
    <mergeCell ref="J124:M124"/>
    <mergeCell ref="N124:Q124"/>
    <mergeCell ref="Z177:AC177"/>
    <mergeCell ref="AX170:BA170"/>
    <mergeCell ref="AT170:AW170"/>
    <mergeCell ref="AP174:AS174"/>
    <mergeCell ref="AD127:AG127"/>
    <mergeCell ref="AH127:AK127"/>
    <mergeCell ref="AL127:AO127"/>
    <mergeCell ref="BF182:BI182"/>
    <mergeCell ref="BJ182:BM182"/>
    <mergeCell ref="AL167:AO167"/>
    <mergeCell ref="AP167:AS167"/>
    <mergeCell ref="AT167:AW167"/>
    <mergeCell ref="AX167:BA167"/>
    <mergeCell ref="AD168:AG168"/>
    <mergeCell ref="AH168:AK168"/>
    <mergeCell ref="AL168:AO168"/>
    <mergeCell ref="AP168:AS168"/>
    <mergeCell ref="AT168:AW168"/>
    <mergeCell ref="AX168:BA168"/>
    <mergeCell ref="AD169:AG169"/>
    <mergeCell ref="AH169:AK169"/>
    <mergeCell ref="AL169:AO169"/>
    <mergeCell ref="AP169:AS169"/>
    <mergeCell ref="AT169:AW169"/>
    <mergeCell ref="AX182:BA182"/>
    <mergeCell ref="AX187:BA187"/>
    <mergeCell ref="AD175:AG175"/>
    <mergeCell ref="AH175:AK175"/>
    <mergeCell ref="AL175:AO175"/>
    <mergeCell ref="AP175:AS175"/>
    <mergeCell ref="AT175:AW175"/>
    <mergeCell ref="AX175:BA175"/>
    <mergeCell ref="AD176:AG176"/>
    <mergeCell ref="AH176:AK176"/>
    <mergeCell ref="AL176:AO176"/>
    <mergeCell ref="AP176:AS176"/>
    <mergeCell ref="AT176:AW176"/>
    <mergeCell ref="AX176:BA176"/>
    <mergeCell ref="AD177:AG177"/>
    <mergeCell ref="AD171:AG171"/>
    <mergeCell ref="AH171:AK171"/>
    <mergeCell ref="AL171:AO171"/>
    <mergeCell ref="AP171:AS171"/>
    <mergeCell ref="AT171:AW171"/>
    <mergeCell ref="AX171:BA171"/>
    <mergeCell ref="AD172:AG172"/>
    <mergeCell ref="AH172:AK172"/>
    <mergeCell ref="AL172:AO172"/>
    <mergeCell ref="AP172:AS172"/>
    <mergeCell ref="AT172:AW172"/>
    <mergeCell ref="AX172:BA172"/>
    <mergeCell ref="N127:Q127"/>
    <mergeCell ref="R127:U127"/>
    <mergeCell ref="V178:Y178"/>
    <mergeCell ref="Z179:AC179"/>
    <mergeCell ref="Z180:AC180"/>
    <mergeCell ref="Z181:AC181"/>
    <mergeCell ref="Z183:AC183"/>
    <mergeCell ref="Z184:AC184"/>
    <mergeCell ref="AD186:AG186"/>
    <mergeCell ref="AH186:AK186"/>
    <mergeCell ref="AL186:AO186"/>
    <mergeCell ref="AP186:AS186"/>
    <mergeCell ref="AT186:AW186"/>
    <mergeCell ref="AX164:BA164"/>
    <mergeCell ref="AX165:BA165"/>
    <mergeCell ref="AD166:AG166"/>
    <mergeCell ref="AH166:AK166"/>
    <mergeCell ref="AL166:AO166"/>
    <mergeCell ref="AP182:AS182"/>
    <mergeCell ref="AT182:AW182"/>
    <mergeCell ref="AH170:AK170"/>
    <mergeCell ref="AL170:AO170"/>
    <mergeCell ref="AP170:AS170"/>
    <mergeCell ref="AD167:AG167"/>
    <mergeCell ref="AH167:AK167"/>
    <mergeCell ref="AH128:AK128"/>
    <mergeCell ref="AL128:AO128"/>
    <mergeCell ref="AP128:AS128"/>
    <mergeCell ref="AT128:AW128"/>
    <mergeCell ref="AD128:AG128"/>
    <mergeCell ref="AP127:AS127"/>
    <mergeCell ref="AT127:AW127"/>
    <mergeCell ref="AL195:AO195"/>
    <mergeCell ref="AP195:AS195"/>
    <mergeCell ref="AT195:AW195"/>
    <mergeCell ref="AX195:BA195"/>
    <mergeCell ref="AD194:AG194"/>
    <mergeCell ref="AH194:AK194"/>
    <mergeCell ref="AL194:AO194"/>
    <mergeCell ref="AP194:AS194"/>
    <mergeCell ref="AT194:AW194"/>
    <mergeCell ref="AX109:BA109"/>
    <mergeCell ref="Z185:AC185"/>
    <mergeCell ref="AP187:AS187"/>
    <mergeCell ref="AT187:AW187"/>
    <mergeCell ref="AX191:BA191"/>
    <mergeCell ref="AT174:AW174"/>
    <mergeCell ref="AX174:BA174"/>
    <mergeCell ref="AD170:AG170"/>
    <mergeCell ref="Z178:AC178"/>
    <mergeCell ref="AH177:AK177"/>
    <mergeCell ref="AL177:AO177"/>
    <mergeCell ref="AP177:AS177"/>
    <mergeCell ref="AT177:AW177"/>
    <mergeCell ref="AX177:BA177"/>
    <mergeCell ref="AD173:AG173"/>
    <mergeCell ref="AH173:AK173"/>
    <mergeCell ref="AL173:AO173"/>
    <mergeCell ref="AP173:AS173"/>
    <mergeCell ref="AT173:AW173"/>
    <mergeCell ref="AX173:BA173"/>
    <mergeCell ref="AD174:AG174"/>
    <mergeCell ref="AH174:AK174"/>
    <mergeCell ref="AL174:AO174"/>
    <mergeCell ref="AD192:AG192"/>
    <mergeCell ref="AH192:AK192"/>
    <mergeCell ref="F196:I196"/>
    <mergeCell ref="A190:C190"/>
    <mergeCell ref="A191:C191"/>
    <mergeCell ref="A192:C192"/>
    <mergeCell ref="A193:C193"/>
    <mergeCell ref="A194:C194"/>
    <mergeCell ref="A195:C195"/>
    <mergeCell ref="A196:C196"/>
    <mergeCell ref="J194:M194"/>
    <mergeCell ref="N194:Q194"/>
    <mergeCell ref="R194:U194"/>
    <mergeCell ref="V194:Y194"/>
    <mergeCell ref="Z194:AC194"/>
    <mergeCell ref="J191:M191"/>
    <mergeCell ref="N191:Q191"/>
    <mergeCell ref="R191:U191"/>
    <mergeCell ref="V191:Y191"/>
    <mergeCell ref="Z191:AC191"/>
    <mergeCell ref="F190:I190"/>
    <mergeCell ref="V190:Y190"/>
    <mergeCell ref="R190:U190"/>
    <mergeCell ref="J190:M190"/>
    <mergeCell ref="N190:Q190"/>
    <mergeCell ref="J193:M193"/>
    <mergeCell ref="Z195:AC195"/>
    <mergeCell ref="AD195:AG195"/>
    <mergeCell ref="AH195:AK195"/>
    <mergeCell ref="A197:C197"/>
    <mergeCell ref="F200:I200"/>
    <mergeCell ref="J200:M200"/>
    <mergeCell ref="F199:I199"/>
    <mergeCell ref="J199:M199"/>
    <mergeCell ref="N199:Q199"/>
    <mergeCell ref="R199:U199"/>
    <mergeCell ref="V199:Y199"/>
    <mergeCell ref="Z199:AC199"/>
    <mergeCell ref="F191:I191"/>
    <mergeCell ref="N200:Q200"/>
    <mergeCell ref="R200:U200"/>
    <mergeCell ref="V200:Y200"/>
    <mergeCell ref="Z200:AC200"/>
    <mergeCell ref="F197:I197"/>
    <mergeCell ref="F198:I198"/>
    <mergeCell ref="J198:M198"/>
    <mergeCell ref="F192:I192"/>
    <mergeCell ref="F193:I193"/>
    <mergeCell ref="F194:I194"/>
    <mergeCell ref="F195:I195"/>
    <mergeCell ref="N193:Q193"/>
    <mergeCell ref="R193:U193"/>
    <mergeCell ref="V193:Y193"/>
    <mergeCell ref="J192:M192"/>
    <mergeCell ref="N192:Q192"/>
    <mergeCell ref="R192:U192"/>
    <mergeCell ref="V192:Y192"/>
    <mergeCell ref="Z192:AC192"/>
    <mergeCell ref="N197:Q197"/>
    <mergeCell ref="R197:U197"/>
    <mergeCell ref="V197:Y197"/>
    <mergeCell ref="V22:Y22"/>
    <mergeCell ref="Z22:AC22"/>
    <mergeCell ref="AH199:AK199"/>
    <mergeCell ref="AL199:AO199"/>
    <mergeCell ref="AP199:AS199"/>
    <mergeCell ref="AT199:AW199"/>
    <mergeCell ref="AX199:BA199"/>
    <mergeCell ref="J196:M196"/>
    <mergeCell ref="N196:Q196"/>
    <mergeCell ref="R196:U196"/>
    <mergeCell ref="V196:Y196"/>
    <mergeCell ref="Z196:AC196"/>
    <mergeCell ref="AD196:AG196"/>
    <mergeCell ref="AH196:AK196"/>
    <mergeCell ref="AL196:AO196"/>
    <mergeCell ref="AP196:AS196"/>
    <mergeCell ref="AT196:AW196"/>
    <mergeCell ref="AX196:BA196"/>
    <mergeCell ref="Z198:AC198"/>
    <mergeCell ref="AD198:AG198"/>
    <mergeCell ref="AH198:AK198"/>
    <mergeCell ref="AL198:AO198"/>
    <mergeCell ref="AP198:AS198"/>
    <mergeCell ref="AT198:AW198"/>
    <mergeCell ref="AX198:BA198"/>
    <mergeCell ref="Z193:AC193"/>
    <mergeCell ref="J195:M195"/>
    <mergeCell ref="N195:Q195"/>
    <mergeCell ref="R195:U195"/>
    <mergeCell ref="V195:Y195"/>
    <mergeCell ref="Z189:AC189"/>
    <mergeCell ref="N179:Q179"/>
  </mergeCells>
  <phoneticPr fontId="5" type="noConversion"/>
  <conditionalFormatting sqref="D56">
    <cfRule type="cellIs" dxfId="273" priority="294" operator="greaterThan">
      <formula>$D$37</formula>
    </cfRule>
    <cfRule type="cellIs" dxfId="272" priority="295" operator="lessThan">
      <formula>$D$37</formula>
    </cfRule>
    <cfRule type="cellIs" dxfId="271" priority="296" operator="equal">
      <formula>$D$37</formula>
    </cfRule>
  </conditionalFormatting>
  <conditionalFormatting sqref="D80">
    <cfRule type="cellIs" dxfId="270" priority="280" operator="equal">
      <formula>$D$38</formula>
    </cfRule>
    <cfRule type="cellIs" dxfId="269" priority="281" operator="lessThan">
      <formula>$D$38</formula>
    </cfRule>
    <cfRule type="cellIs" dxfId="268" priority="282" operator="greaterThan">
      <formula>$D$38</formula>
    </cfRule>
  </conditionalFormatting>
  <conditionalFormatting sqref="D91">
    <cfRule type="cellIs" dxfId="267" priority="1" operator="notEqual">
      <formula>$D$39</formula>
    </cfRule>
    <cfRule type="cellIs" dxfId="266" priority="2" operator="equal">
      <formula>$D$39</formula>
    </cfRule>
  </conditionalFormatting>
  <conditionalFormatting sqref="D107">
    <cfRule type="cellIs" dxfId="265" priority="52" operator="equal">
      <formula>$D$40</formula>
    </cfRule>
    <cfRule type="cellIs" dxfId="264" priority="53" operator="lessThan">
      <formula>$D$40</formula>
    </cfRule>
    <cfRule type="cellIs" dxfId="263" priority="54" operator="greaterThan">
      <formula>$D$40</formula>
    </cfRule>
  </conditionalFormatting>
  <conditionalFormatting sqref="E42">
    <cfRule type="expression" dxfId="262" priority="143">
      <formula>E42=" Error"</formula>
    </cfRule>
    <cfRule type="expression" dxfId="261" priority="142">
      <formula>E42="OK"</formula>
    </cfRule>
  </conditionalFormatting>
  <conditionalFormatting sqref="E127">
    <cfRule type="expression" dxfId="260" priority="125">
      <formula>E127=" Error"</formula>
    </cfRule>
    <cfRule type="expression" dxfId="259" priority="124">
      <formula>E127="OK"</formula>
    </cfRule>
  </conditionalFormatting>
  <conditionalFormatting sqref="E135">
    <cfRule type="expression" dxfId="258" priority="37">
      <formula>E135="OK"</formula>
    </cfRule>
    <cfRule type="expression" dxfId="257" priority="38">
      <formula>E135=" Error"</formula>
    </cfRule>
  </conditionalFormatting>
  <conditionalFormatting sqref="E150">
    <cfRule type="cellIs" dxfId="256" priority="263" operator="equal">
      <formula>$E$138</formula>
    </cfRule>
    <cfRule type="cellIs" dxfId="255" priority="123" operator="notEqual">
      <formula>$E$138</formula>
    </cfRule>
  </conditionalFormatting>
  <conditionalFormatting sqref="E175">
    <cfRule type="cellIs" dxfId="254" priority="30" operator="equal">
      <formula>$E$153</formula>
    </cfRule>
    <cfRule type="cellIs" dxfId="253" priority="29" operator="notEqual">
      <formula>$E$153</formula>
    </cfRule>
  </conditionalFormatting>
  <conditionalFormatting sqref="E185">
    <cfRule type="cellIs" dxfId="252" priority="22" operator="notEqual">
      <formula>$E$178</formula>
    </cfRule>
    <cfRule type="cellIs" dxfId="251" priority="23" operator="equal">
      <formula>$E$178</formula>
    </cfRule>
  </conditionalFormatting>
  <conditionalFormatting sqref="E200">
    <cfRule type="cellIs" dxfId="250" priority="14" operator="notEqual">
      <formula>$E$188</formula>
    </cfRule>
    <cfRule type="cellIs" dxfId="249" priority="15" operator="equal">
      <formula>$E$188</formula>
    </cfRule>
  </conditionalFormatting>
  <conditionalFormatting sqref="F80:I80">
    <cfRule type="cellIs" dxfId="248" priority="242" operator="equal">
      <formula>$F$59</formula>
    </cfRule>
    <cfRule type="cellIs" dxfId="247" priority="243" operator="notEqual">
      <formula>$F$59</formula>
    </cfRule>
  </conditionalFormatting>
  <conditionalFormatting sqref="F91:I91">
    <cfRule type="cellIs" dxfId="246" priority="165" operator="notEqual">
      <formula>$F$84</formula>
    </cfRule>
    <cfRule type="cellIs" dxfId="245" priority="166" operator="equal">
      <formula>$F$84</formula>
    </cfRule>
  </conditionalFormatting>
  <conditionalFormatting sqref="F107:I107">
    <cfRule type="cellIs" dxfId="244" priority="80" operator="notEqual">
      <formula>$F$95</formula>
    </cfRule>
    <cfRule type="cellIs" dxfId="243" priority="81" operator="equal">
      <formula>$F$95</formula>
    </cfRule>
  </conditionalFormatting>
  <conditionalFormatting sqref="F150:I150">
    <cfRule type="cellIs" dxfId="242" priority="32" operator="notEqual">
      <formula>$F$138</formula>
    </cfRule>
    <cfRule type="cellIs" dxfId="241" priority="33" operator="equal">
      <formula>$F$138</formula>
    </cfRule>
  </conditionalFormatting>
  <conditionalFormatting sqref="F175:I175">
    <cfRule type="cellIs" dxfId="240" priority="27" operator="notEqual">
      <formula>$F$153</formula>
    </cfRule>
    <cfRule type="cellIs" dxfId="239" priority="28" operator="equal">
      <formula>$F$153</formula>
    </cfRule>
  </conditionalFormatting>
  <conditionalFormatting sqref="F185:I185">
    <cfRule type="cellIs" dxfId="238" priority="20" operator="notEqual">
      <formula>$F$178</formula>
    </cfRule>
    <cfRule type="cellIs" dxfId="237" priority="21" operator="equal">
      <formula>$F$178</formula>
    </cfRule>
  </conditionalFormatting>
  <conditionalFormatting sqref="F200:I200">
    <cfRule type="cellIs" dxfId="236" priority="12" operator="equal">
      <formula>$F$188</formula>
    </cfRule>
    <cfRule type="cellIs" dxfId="235" priority="11" operator="notEqual">
      <formula>$F$188</formula>
    </cfRule>
  </conditionalFormatting>
  <conditionalFormatting sqref="F56:Q56">
    <cfRule type="cellIs" dxfId="234" priority="304" operator="equal">
      <formula>$F$45</formula>
    </cfRule>
    <cfRule type="cellIs" dxfId="233" priority="303" operator="equal">
      <formula>$J$45</formula>
    </cfRule>
  </conditionalFormatting>
  <conditionalFormatting sqref="F4:BA4 F5:N5 R5 V5 Z5 AD5:AH5 AL5 AP5 AT5 AX5:BA5 F6:AC6 AD6:BA7 F7:R7 V7:Y8 F8:BA8 F9:M9 Z9:BA9 F10:BA10 F17:AH18 AL17:AL18 AP17:AP18 AT17:AT18 AX17:AX18 F19:BA19 F20:F33 J20:J33 N20:N33 R20:R33 V20:V33 Z20:Z33 AD20:AD33 AH20:AH33 AL20:AL33 AP20:AP33 AT20:AT33 AX20:AX33 AX33:BA33">
    <cfRule type="cellIs" dxfId="232" priority="310" operator="greaterThan">
      <formula>0</formula>
    </cfRule>
  </conditionalFormatting>
  <conditionalFormatting sqref="F115:BA121">
    <cfRule type="cellIs" dxfId="231" priority="49" operator="greaterThan">
      <formula>0</formula>
    </cfRule>
  </conditionalFormatting>
  <conditionalFormatting sqref="F125:BA126">
    <cfRule type="cellIs" dxfId="230" priority="36" operator="greaterThan">
      <formula>0</formula>
    </cfRule>
  </conditionalFormatting>
  <conditionalFormatting sqref="J59">
    <cfRule type="cellIs" dxfId="229" priority="287" operator="equal">
      <formula>$R$59</formula>
    </cfRule>
  </conditionalFormatting>
  <conditionalFormatting sqref="J84">
    <cfRule type="cellIs" dxfId="228" priority="188" operator="equal">
      <formula>$R$59</formula>
    </cfRule>
  </conditionalFormatting>
  <conditionalFormatting sqref="J80:M80">
    <cfRule type="cellIs" dxfId="227" priority="240" operator="notEqual">
      <formula>$J$59</formula>
    </cfRule>
    <cfRule type="cellIs" dxfId="226" priority="241" operator="equal">
      <formula>$J$59</formula>
    </cfRule>
  </conditionalFormatting>
  <conditionalFormatting sqref="J91:M91">
    <cfRule type="cellIs" dxfId="225" priority="159" operator="equal">
      <formula>$J$84</formula>
    </cfRule>
    <cfRule type="cellIs" dxfId="224" priority="158" operator="notEqual">
      <formula>$J$84</formula>
    </cfRule>
  </conditionalFormatting>
  <conditionalFormatting sqref="J107:M107">
    <cfRule type="cellIs" dxfId="223" priority="78" operator="notEqual">
      <formula>$J$95</formula>
    </cfRule>
    <cfRule type="cellIs" dxfId="222" priority="79" operator="equal">
      <formula>$J$95</formula>
    </cfRule>
  </conditionalFormatting>
  <conditionalFormatting sqref="J150:M150">
    <cfRule type="cellIs" dxfId="221" priority="31" operator="equal">
      <formula>$J$138</formula>
    </cfRule>
  </conditionalFormatting>
  <conditionalFormatting sqref="J175:M175">
    <cfRule type="cellIs" dxfId="220" priority="13" operator="notEqual">
      <formula>$J$153</formula>
    </cfRule>
    <cfRule type="cellIs" dxfId="219" priority="26" operator="equal">
      <formula>$J$153</formula>
    </cfRule>
  </conditionalFormatting>
  <conditionalFormatting sqref="J185:M185">
    <cfRule type="cellIs" dxfId="218" priority="18" operator="notEqual">
      <formula>$J$178</formula>
    </cfRule>
    <cfRule type="cellIs" dxfId="217" priority="19" operator="equal">
      <formula>$J$178</formula>
    </cfRule>
  </conditionalFormatting>
  <conditionalFormatting sqref="J200:M200">
    <cfRule type="cellIs" dxfId="216" priority="9" operator="notEqual">
      <formula>$J$188</formula>
    </cfRule>
    <cfRule type="cellIs" dxfId="215" priority="10" operator="equal">
      <formula>$J$188</formula>
    </cfRule>
  </conditionalFormatting>
  <conditionalFormatting sqref="N56:Q56">
    <cfRule type="cellIs" dxfId="214" priority="302" operator="equal">
      <formula>$N$45</formula>
    </cfRule>
  </conditionalFormatting>
  <conditionalFormatting sqref="N80:Q80">
    <cfRule type="cellIs" dxfId="213" priority="235" operator="equal">
      <formula>$N$59</formula>
    </cfRule>
    <cfRule type="cellIs" dxfId="212" priority="234" operator="notEqual">
      <formula>$N$59</formula>
    </cfRule>
  </conditionalFormatting>
  <conditionalFormatting sqref="N91:Q91">
    <cfRule type="cellIs" dxfId="211" priority="157" operator="equal">
      <formula>$N$84</formula>
    </cfRule>
    <cfRule type="cellIs" dxfId="210" priority="156" operator="notEqual">
      <formula>$N$84</formula>
    </cfRule>
  </conditionalFormatting>
  <conditionalFormatting sqref="N107:Q107">
    <cfRule type="cellIs" dxfId="209" priority="76" operator="notEqual">
      <formula>$N$95</formula>
    </cfRule>
    <cfRule type="cellIs" dxfId="208" priority="77" operator="equal">
      <formula>$N$95</formula>
    </cfRule>
  </conditionalFormatting>
  <conditionalFormatting sqref="R56:U56">
    <cfRule type="cellIs" dxfId="207" priority="201" operator="equal">
      <formula>$R$45</formula>
    </cfRule>
    <cfRule type="cellIs" dxfId="206" priority="200" operator="notEqual">
      <formula>$R$45</formula>
    </cfRule>
  </conditionalFormatting>
  <conditionalFormatting sqref="R80:U80">
    <cfRule type="cellIs" dxfId="205" priority="237" operator="equal">
      <formula>$R$59</formula>
    </cfRule>
    <cfRule type="cellIs" dxfId="204" priority="236" operator="notEqual">
      <formula>$R$59</formula>
    </cfRule>
  </conditionalFormatting>
  <conditionalFormatting sqref="R91:U91">
    <cfRule type="cellIs" dxfId="203" priority="155" operator="equal">
      <formula>$R$84</formula>
    </cfRule>
    <cfRule type="cellIs" dxfId="202" priority="154" operator="notEqual">
      <formula>$R$84</formula>
    </cfRule>
  </conditionalFormatting>
  <conditionalFormatting sqref="R107:U107">
    <cfRule type="cellIs" dxfId="201" priority="74" operator="equal">
      <formula>$R$95</formula>
    </cfRule>
    <cfRule type="cellIs" dxfId="200" priority="75" operator="notEqual">
      <formula>$R$95</formula>
    </cfRule>
  </conditionalFormatting>
  <conditionalFormatting sqref="V56:Y56">
    <cfRule type="cellIs" dxfId="199" priority="198" operator="notEqual">
      <formula>$V$45</formula>
    </cfRule>
    <cfRule type="cellIs" dxfId="198" priority="199" operator="equal">
      <formula>$V$45</formula>
    </cfRule>
  </conditionalFormatting>
  <conditionalFormatting sqref="V80:Y80">
    <cfRule type="cellIs" dxfId="197" priority="208" operator="notEqual">
      <formula>$V$59</formula>
    </cfRule>
    <cfRule type="cellIs" dxfId="196" priority="209" operator="equal">
      <formula>$V$59</formula>
    </cfRule>
  </conditionalFormatting>
  <conditionalFormatting sqref="V91:Y91">
    <cfRule type="cellIs" dxfId="195" priority="152" operator="notEqual">
      <formula>$V$84</formula>
    </cfRule>
    <cfRule type="cellIs" dxfId="194" priority="153" operator="equal">
      <formula>$V$84</formula>
    </cfRule>
  </conditionalFormatting>
  <conditionalFormatting sqref="V107:Y107">
    <cfRule type="cellIs" dxfId="193" priority="72" operator="notEqual">
      <formula>$V$95</formula>
    </cfRule>
    <cfRule type="cellIs" dxfId="192" priority="73" operator="equal">
      <formula>$V$95</formula>
    </cfRule>
  </conditionalFormatting>
  <conditionalFormatting sqref="Z107 AD107 AH107 AL107 AP107 AT107 AX107">
    <cfRule type="cellIs" dxfId="191" priority="275" operator="equal">
      <formula>$J$94</formula>
    </cfRule>
  </conditionalFormatting>
  <conditionalFormatting sqref="Z151">
    <cfRule type="expression" dxfId="190" priority="6">
      <formula>Z151=" Error"</formula>
    </cfRule>
    <cfRule type="expression" dxfId="189" priority="5">
      <formula>Z151="OK"</formula>
    </cfRule>
  </conditionalFormatting>
  <conditionalFormatting sqref="Z175">
    <cfRule type="expression" dxfId="188" priority="7">
      <formula>Z175="OK"</formula>
    </cfRule>
    <cfRule type="expression" dxfId="187" priority="8">
      <formula>Z175=" Error"</formula>
    </cfRule>
  </conditionalFormatting>
  <conditionalFormatting sqref="Z186">
    <cfRule type="expression" dxfId="186" priority="104">
      <formula>Z186=" Error"</formula>
    </cfRule>
    <cfRule type="expression" dxfId="185" priority="103">
      <formula>Z186="OK"</formula>
    </cfRule>
  </conditionalFormatting>
  <conditionalFormatting sqref="Z201">
    <cfRule type="expression" dxfId="184" priority="17">
      <formula>Z201=" Error"</formula>
    </cfRule>
    <cfRule type="expression" dxfId="183" priority="16">
      <formula>Z201="OK"</formula>
    </cfRule>
  </conditionalFormatting>
  <conditionalFormatting sqref="Z56:AC56">
    <cfRule type="cellIs" dxfId="182" priority="197" operator="equal">
      <formula>$Z$45</formula>
    </cfRule>
    <cfRule type="cellIs" dxfId="181" priority="196" operator="notEqual">
      <formula>$Z$45</formula>
    </cfRule>
  </conditionalFormatting>
  <conditionalFormatting sqref="Z80:AC80">
    <cfRule type="cellIs" dxfId="180" priority="135" operator="notEqual">
      <formula>$Z$59</formula>
    </cfRule>
    <cfRule type="cellIs" dxfId="179" priority="136" operator="equal">
      <formula>$Z$59</formula>
    </cfRule>
  </conditionalFormatting>
  <conditionalFormatting sqref="Z91:AC91">
    <cfRule type="cellIs" dxfId="178" priority="150" operator="notEqual">
      <formula>$Z$84</formula>
    </cfRule>
    <cfRule type="cellIs" dxfId="177" priority="151" operator="equal">
      <formula>$Z$84</formula>
    </cfRule>
  </conditionalFormatting>
  <conditionalFormatting sqref="AD80:AG80">
    <cfRule type="cellIs" dxfId="176" priority="205" operator="equal">
      <formula>$AD$59</formula>
    </cfRule>
    <cfRule type="cellIs" dxfId="175" priority="204" operator="notEqual">
      <formula>$AD$59</formula>
    </cfRule>
  </conditionalFormatting>
  <conditionalFormatting sqref="AD56:BA56">
    <cfRule type="cellIs" dxfId="174" priority="195" operator="equal">
      <formula>$AD$45</formula>
    </cfRule>
    <cfRule type="cellIs" dxfId="173" priority="194" operator="notEqual">
      <formula>$AD$45</formula>
    </cfRule>
  </conditionalFormatting>
  <conditionalFormatting sqref="AD91:BA91">
    <cfRule type="cellIs" dxfId="172" priority="148" operator="notEqual">
      <formula>$AD$84</formula>
    </cfRule>
    <cfRule type="cellIs" dxfId="171" priority="149" operator="equal">
      <formula>$AD$84</formula>
    </cfRule>
  </conditionalFormatting>
  <conditionalFormatting sqref="AH80:AK80">
    <cfRule type="cellIs" dxfId="170" priority="71" operator="equal">
      <formula>$AH$59</formula>
    </cfRule>
    <cfRule type="cellIs" dxfId="169" priority="70" operator="notEqual">
      <formula>$AH$59</formula>
    </cfRule>
  </conditionalFormatting>
  <conditionalFormatting sqref="AL80:AO80">
    <cfRule type="cellIs" dxfId="168" priority="69" operator="equal">
      <formula>$AL$59</formula>
    </cfRule>
    <cfRule type="cellIs" dxfId="167" priority="68" operator="notEqual">
      <formula>$AL$59</formula>
    </cfRule>
  </conditionalFormatting>
  <conditionalFormatting sqref="AP80:AS80">
    <cfRule type="cellIs" dxfId="166" priority="66" operator="equal">
      <formula>$AP$59</formula>
    </cfRule>
    <cfRule type="cellIs" dxfId="165" priority="65" operator="notEqual">
      <formula>$AP$59</formula>
    </cfRule>
  </conditionalFormatting>
  <conditionalFormatting sqref="AT80:AW80">
    <cfRule type="cellIs" dxfId="164" priority="64" operator="equal">
      <formula>$AT$59</formula>
    </cfRule>
    <cfRule type="cellIs" dxfId="163" priority="63" operator="notEqual">
      <formula>$AT$59</formula>
    </cfRule>
  </conditionalFormatting>
  <conditionalFormatting sqref="AX80:BA80">
    <cfRule type="cellIs" dxfId="162" priority="57" operator="notEqual">
      <formula>$AX$59</formula>
    </cfRule>
    <cfRule type="cellIs" dxfId="161" priority="58" operator="equal">
      <formula>$AX$59</formula>
    </cfRule>
  </conditionalFormatting>
  <conditionalFormatting sqref="BB56">
    <cfRule type="cellIs" dxfId="160" priority="193" operator="equal">
      <formula>$BB$45</formula>
    </cfRule>
    <cfRule type="cellIs" dxfId="159" priority="192" operator="notEqual">
      <formula>$BB$45</formula>
    </cfRule>
  </conditionalFormatting>
  <conditionalFormatting sqref="BB80">
    <cfRule type="cellIs" dxfId="158" priority="59" operator="notEqual">
      <formula>$BB$59</formula>
    </cfRule>
    <cfRule type="cellIs" dxfId="157" priority="60" operator="equal">
      <formula>$BB$59</formula>
    </cfRule>
  </conditionalFormatting>
  <conditionalFormatting sqref="BB91">
    <cfRule type="cellIs" dxfId="156" priority="146" operator="notEqual">
      <formula>$BB$84</formula>
    </cfRule>
    <cfRule type="cellIs" dxfId="155" priority="147" operator="equal">
      <formula>$BB$84</formula>
    </cfRule>
  </conditionalFormatting>
  <conditionalFormatting sqref="BB107">
    <cfRule type="cellIs" dxfId="154" priority="269" operator="equal">
      <formula>$BB$94</formula>
    </cfRule>
  </conditionalFormatting>
  <conditionalFormatting sqref="BD4:BD10 BD17:BD33">
    <cfRule type="cellIs" dxfId="153" priority="326" operator="equal">
      <formula>0</formula>
    </cfRule>
    <cfRule type="cellIs" dxfId="152" priority="325" operator="equal">
      <formula>0</formula>
    </cfRule>
    <cfRule type="cellIs" dxfId="151" priority="324" operator="lessThan">
      <formula>0</formula>
    </cfRule>
    <cfRule type="cellIs" dxfId="150" priority="323" operator="greaterThan">
      <formula>0</formula>
    </cfRule>
  </conditionalFormatting>
  <conditionalFormatting sqref="BD12">
    <cfRule type="expression" dxfId="149" priority="249">
      <formula>BD12="OK"</formula>
    </cfRule>
    <cfRule type="expression" dxfId="148" priority="250">
      <formula>BD12=" Error"</formula>
    </cfRule>
  </conditionalFormatting>
  <conditionalFormatting sqref="BD35">
    <cfRule type="expression" dxfId="147" priority="189">
      <formula>BD35="OK"</formula>
    </cfRule>
    <cfRule type="expression" dxfId="146" priority="190">
      <formula>BD35=" Error"</formula>
    </cfRule>
  </conditionalFormatting>
  <conditionalFormatting sqref="BD115:BD120">
    <cfRule type="cellIs" dxfId="145" priority="43" operator="greaterThan">
      <formula>0</formula>
    </cfRule>
    <cfRule type="cellIs" dxfId="144" priority="44" operator="lessThan">
      <formula>0</formula>
    </cfRule>
    <cfRule type="cellIs" dxfId="143" priority="45" operator="equal">
      <formula>0</formula>
    </cfRule>
    <cfRule type="cellIs" dxfId="142" priority="46" operator="equal">
      <formula>0</formula>
    </cfRule>
  </conditionalFormatting>
  <conditionalFormatting sqref="BD122">
    <cfRule type="expression" dxfId="141" priority="47">
      <formula>BD122="OK"</formula>
    </cfRule>
    <cfRule type="expression" dxfId="140" priority="48">
      <formula>BD122=" Error"</formula>
    </cfRule>
  </conditionalFormatting>
  <conditionalFormatting sqref="BD125:BD126">
    <cfRule type="cellIs" dxfId="139" priority="40" operator="lessThan">
      <formula>0</formula>
    </cfRule>
    <cfRule type="cellIs" dxfId="138" priority="39" operator="greaterThan">
      <formula>0</formula>
    </cfRule>
    <cfRule type="cellIs" dxfId="137" priority="41" operator="equal">
      <formula>0</formula>
    </cfRule>
    <cfRule type="cellIs" dxfId="136" priority="42" operator="equal">
      <formula>0</formula>
    </cfRule>
  </conditionalFormatting>
  <conditionalFormatting sqref="BD128">
    <cfRule type="expression" dxfId="135" priority="4">
      <formula>BD128=" Error"</formula>
    </cfRule>
    <cfRule type="expression" dxfId="134" priority="3">
      <formula>BD128="OK"</formula>
    </cfRule>
  </conditionalFormatting>
  <conditionalFormatting sqref="BE56">
    <cfRule type="expression" dxfId="133" priority="245">
      <formula>BE56=" Error"</formula>
    </cfRule>
    <cfRule type="expression" dxfId="132" priority="244">
      <formula>BE56="OK"</formula>
    </cfRule>
  </conditionalFormatting>
  <conditionalFormatting sqref="BE80">
    <cfRule type="expression" dxfId="131" priority="89">
      <formula>BE80="OK"</formula>
    </cfRule>
    <cfRule type="expression" dxfId="130" priority="90">
      <formula>BE80=" Error"</formula>
    </cfRule>
  </conditionalFormatting>
  <conditionalFormatting sqref="BE91">
    <cfRule type="expression" dxfId="129" priority="56">
      <formula>BE91=" Error"</formula>
    </cfRule>
    <cfRule type="expression" dxfId="128" priority="55">
      <formula>BE91="OK"</formula>
    </cfRule>
  </conditionalFormatting>
  <conditionalFormatting sqref="BE107">
    <cfRule type="expression" dxfId="127" priority="51">
      <formula>BE107=" Error"</formula>
    </cfRule>
    <cfRule type="expression" dxfId="126" priority="50">
      <formula>BE107="OK"</formula>
    </cfRule>
  </conditionalFormatting>
  <conditionalFormatting sqref="BF114">
    <cfRule type="expression" dxfId="125" priority="131">
      <formula>BF114=" Error"</formula>
    </cfRule>
    <cfRule type="expression" dxfId="124" priority="130">
      <formula>BF114="OK"</formula>
    </cfRule>
  </conditionalFormatting>
  <hyperlinks>
    <hyperlink ref="A3" location="'TABLERO CONTROL'!A1" display="'TABLERO CONTROL'!A1" xr:uid="{2FC7BEBD-7AD5-4C10-AF66-845F3832700F}"/>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2D5D9-CC9E-4C4F-A6AA-160729CCD3DC}">
  <sheetPr codeName="Hoja7"/>
  <dimension ref="A1:BB290"/>
  <sheetViews>
    <sheetView showGridLines="0" zoomScale="85" zoomScaleNormal="85" workbookViewId="0">
      <pane xSplit="2" ySplit="3" topLeftCell="C4" activePane="bottomRight" state="frozen"/>
      <selection activeCell="K19" sqref="K19"/>
      <selection pane="topRight" activeCell="K19" sqref="K19"/>
      <selection pane="bottomLeft" activeCell="K19" sqref="K19"/>
      <selection pane="bottomRight" activeCell="K97" sqref="K97"/>
    </sheetView>
  </sheetViews>
  <sheetFormatPr defaultColWidth="11.3984375" defaultRowHeight="12.75" x14ac:dyDescent="0.35"/>
  <cols>
    <col min="1" max="1" width="14.265625" style="553" customWidth="1"/>
    <col min="2" max="2" width="32.265625" style="553" customWidth="1"/>
    <col min="3" max="50" width="4.73046875" style="563" customWidth="1"/>
    <col min="51" max="51" width="12.73046875" style="563" customWidth="1"/>
    <col min="52" max="52" width="12.86328125" style="564" customWidth="1"/>
    <col min="53" max="53" width="11" style="553" customWidth="1"/>
    <col min="54" max="54" width="47.265625" style="553" bestFit="1" customWidth="1"/>
    <col min="55" max="69" width="3.73046875" style="553" customWidth="1"/>
    <col min="70" max="16384" width="11.3984375" style="553"/>
  </cols>
  <sheetData>
    <row r="1" spans="1:54" x14ac:dyDescent="0.35">
      <c r="A1" s="703" t="s">
        <v>300</v>
      </c>
      <c r="B1" s="703"/>
      <c r="C1" s="703"/>
      <c r="D1" s="703"/>
      <c r="E1" s="703"/>
      <c r="F1" s="703"/>
      <c r="G1" s="703"/>
      <c r="H1" s="703"/>
      <c r="I1" s="703"/>
      <c r="J1" s="703"/>
      <c r="K1" s="703"/>
      <c r="L1" s="703"/>
      <c r="M1" s="703"/>
      <c r="N1" s="703"/>
      <c r="O1" s="703"/>
      <c r="P1" s="703"/>
      <c r="Q1" s="703"/>
      <c r="R1" s="703"/>
      <c r="S1" s="703"/>
      <c r="T1" s="703"/>
      <c r="U1" s="703"/>
      <c r="V1" s="703"/>
      <c r="W1" s="703"/>
      <c r="X1" s="703"/>
      <c r="Y1" s="703"/>
      <c r="Z1" s="703"/>
      <c r="AA1" s="703"/>
      <c r="AB1" s="703"/>
      <c r="AC1" s="703"/>
      <c r="AD1" s="703"/>
      <c r="AE1" s="703"/>
      <c r="AF1" s="703"/>
      <c r="AG1" s="703"/>
      <c r="AH1" s="703"/>
      <c r="AI1" s="703"/>
      <c r="AJ1" s="703"/>
      <c r="AK1" s="703"/>
      <c r="AL1" s="703"/>
      <c r="AM1" s="703"/>
      <c r="AN1" s="703"/>
      <c r="AO1" s="703"/>
      <c r="AP1" s="703"/>
      <c r="AQ1" s="703"/>
      <c r="AR1" s="703"/>
      <c r="AS1" s="703"/>
      <c r="AT1" s="703"/>
      <c r="AU1" s="703"/>
      <c r="AV1" s="703"/>
      <c r="AW1" s="703"/>
      <c r="AX1" s="703"/>
      <c r="AY1" s="703"/>
      <c r="AZ1" s="703"/>
      <c r="BA1" s="703"/>
    </row>
    <row r="2" spans="1:54" x14ac:dyDescent="0.35">
      <c r="A2" s="704" t="s">
        <v>26</v>
      </c>
      <c r="B2" s="705" t="s">
        <v>292</v>
      </c>
      <c r="C2" s="704" t="s">
        <v>53</v>
      </c>
      <c r="D2" s="704"/>
      <c r="E2" s="704"/>
      <c r="F2" s="704"/>
      <c r="G2" s="704" t="s">
        <v>54</v>
      </c>
      <c r="H2" s="704"/>
      <c r="I2" s="704"/>
      <c r="J2" s="704"/>
      <c r="K2" s="704" t="s">
        <v>55</v>
      </c>
      <c r="L2" s="704"/>
      <c r="M2" s="704"/>
      <c r="N2" s="704"/>
      <c r="O2" s="704" t="s">
        <v>56</v>
      </c>
      <c r="P2" s="704"/>
      <c r="Q2" s="704"/>
      <c r="R2" s="704"/>
      <c r="S2" s="704" t="s">
        <v>57</v>
      </c>
      <c r="T2" s="704"/>
      <c r="U2" s="704"/>
      <c r="V2" s="704"/>
      <c r="W2" s="704" t="s">
        <v>58</v>
      </c>
      <c r="X2" s="704"/>
      <c r="Y2" s="704"/>
      <c r="Z2" s="704"/>
      <c r="AA2" s="704" t="s">
        <v>117</v>
      </c>
      <c r="AB2" s="704"/>
      <c r="AC2" s="704"/>
      <c r="AD2" s="704"/>
      <c r="AE2" s="704" t="s">
        <v>177</v>
      </c>
      <c r="AF2" s="704"/>
      <c r="AG2" s="704"/>
      <c r="AH2" s="704"/>
      <c r="AI2" s="704" t="s">
        <v>178</v>
      </c>
      <c r="AJ2" s="704"/>
      <c r="AK2" s="704"/>
      <c r="AL2" s="704"/>
      <c r="AM2" s="704" t="s">
        <v>180</v>
      </c>
      <c r="AN2" s="704"/>
      <c r="AO2" s="704"/>
      <c r="AP2" s="704"/>
      <c r="AQ2" s="704" t="s">
        <v>181</v>
      </c>
      <c r="AR2" s="704"/>
      <c r="AS2" s="704"/>
      <c r="AT2" s="704"/>
      <c r="AU2" s="704" t="s">
        <v>301</v>
      </c>
      <c r="AV2" s="704"/>
      <c r="AW2" s="704"/>
      <c r="AX2" s="704"/>
      <c r="AY2" s="706" t="s">
        <v>293</v>
      </c>
      <c r="AZ2" s="707" t="s">
        <v>294</v>
      </c>
      <c r="BA2" s="706" t="s">
        <v>295</v>
      </c>
    </row>
    <row r="3" spans="1:54" s="557" customFormat="1" x14ac:dyDescent="0.35">
      <c r="A3" s="704"/>
      <c r="B3" s="705"/>
      <c r="C3" s="555" t="s">
        <v>296</v>
      </c>
      <c r="D3" s="555" t="s">
        <v>297</v>
      </c>
      <c r="E3" s="555" t="s">
        <v>298</v>
      </c>
      <c r="F3" s="555" t="s">
        <v>299</v>
      </c>
      <c r="G3" s="556" t="s">
        <v>296</v>
      </c>
      <c r="H3" s="556" t="s">
        <v>297</v>
      </c>
      <c r="I3" s="556" t="s">
        <v>298</v>
      </c>
      <c r="J3" s="556" t="s">
        <v>299</v>
      </c>
      <c r="K3" s="556" t="s">
        <v>296</v>
      </c>
      <c r="L3" s="556" t="s">
        <v>297</v>
      </c>
      <c r="M3" s="556" t="s">
        <v>298</v>
      </c>
      <c r="N3" s="556" t="s">
        <v>299</v>
      </c>
      <c r="O3" s="556" t="s">
        <v>296</v>
      </c>
      <c r="P3" s="556" t="s">
        <v>297</v>
      </c>
      <c r="Q3" s="556" t="s">
        <v>298</v>
      </c>
      <c r="R3" s="556" t="s">
        <v>299</v>
      </c>
      <c r="S3" s="556" t="s">
        <v>296</v>
      </c>
      <c r="T3" s="556" t="s">
        <v>297</v>
      </c>
      <c r="U3" s="556" t="s">
        <v>298</v>
      </c>
      <c r="V3" s="556" t="s">
        <v>299</v>
      </c>
      <c r="W3" s="556" t="s">
        <v>296</v>
      </c>
      <c r="X3" s="556" t="s">
        <v>297</v>
      </c>
      <c r="Y3" s="556" t="s">
        <v>298</v>
      </c>
      <c r="Z3" s="556" t="s">
        <v>299</v>
      </c>
      <c r="AA3" s="556" t="s">
        <v>296</v>
      </c>
      <c r="AB3" s="556" t="s">
        <v>297</v>
      </c>
      <c r="AC3" s="556" t="s">
        <v>298</v>
      </c>
      <c r="AD3" s="556" t="s">
        <v>299</v>
      </c>
      <c r="AE3" s="554" t="s">
        <v>296</v>
      </c>
      <c r="AF3" s="554" t="s">
        <v>297</v>
      </c>
      <c r="AG3" s="554" t="s">
        <v>298</v>
      </c>
      <c r="AH3" s="554" t="s">
        <v>299</v>
      </c>
      <c r="AI3" s="554" t="s">
        <v>296</v>
      </c>
      <c r="AJ3" s="554" t="s">
        <v>297</v>
      </c>
      <c r="AK3" s="554" t="s">
        <v>298</v>
      </c>
      <c r="AL3" s="554" t="s">
        <v>299</v>
      </c>
      <c r="AM3" s="554" t="s">
        <v>296</v>
      </c>
      <c r="AN3" s="554" t="s">
        <v>297</v>
      </c>
      <c r="AO3" s="554" t="s">
        <v>298</v>
      </c>
      <c r="AP3" s="554" t="s">
        <v>299</v>
      </c>
      <c r="AQ3" s="554" t="s">
        <v>296</v>
      </c>
      <c r="AR3" s="554" t="s">
        <v>297</v>
      </c>
      <c r="AS3" s="554" t="s">
        <v>298</v>
      </c>
      <c r="AT3" s="554" t="s">
        <v>299</v>
      </c>
      <c r="AU3" s="554" t="s">
        <v>296</v>
      </c>
      <c r="AV3" s="554" t="s">
        <v>297</v>
      </c>
      <c r="AW3" s="554" t="s">
        <v>298</v>
      </c>
      <c r="AX3" s="554" t="s">
        <v>299</v>
      </c>
      <c r="AY3" s="706"/>
      <c r="AZ3" s="707"/>
      <c r="BA3" s="706"/>
    </row>
    <row r="4" spans="1:54" ht="15.75" customHeight="1" x14ac:dyDescent="0.35">
      <c r="A4" s="710" t="str">
        <f>DISTRIBUCIÓN!A47</f>
        <v>Localización del cuerpo de agua</v>
      </c>
      <c r="B4" s="558" t="s">
        <v>302</v>
      </c>
      <c r="C4" s="877">
        <v>0</v>
      </c>
      <c r="D4" s="877">
        <v>0.09</v>
      </c>
      <c r="E4" s="877">
        <v>0.09</v>
      </c>
      <c r="F4" s="877">
        <v>0</v>
      </c>
      <c r="G4" s="877"/>
      <c r="H4" s="877"/>
      <c r="I4" s="877"/>
      <c r="J4" s="877"/>
      <c r="K4" s="877"/>
      <c r="L4" s="877"/>
      <c r="M4" s="877"/>
      <c r="N4" s="877"/>
      <c r="O4" s="877"/>
      <c r="P4" s="877"/>
      <c r="Q4" s="877"/>
      <c r="R4" s="877"/>
      <c r="S4" s="877"/>
      <c r="T4" s="877"/>
      <c r="U4" s="877"/>
      <c r="V4" s="877"/>
      <c r="W4" s="877"/>
      <c r="X4" s="877"/>
      <c r="Y4" s="877"/>
      <c r="Z4" s="877"/>
      <c r="AA4" s="877"/>
      <c r="AB4" s="877"/>
      <c r="AC4" s="877"/>
      <c r="AD4" s="877"/>
      <c r="AE4" s="877"/>
      <c r="AF4" s="877"/>
      <c r="AG4" s="877"/>
      <c r="AH4" s="877"/>
      <c r="AI4" s="877"/>
      <c r="AJ4" s="877"/>
      <c r="AK4" s="877"/>
      <c r="AL4" s="877"/>
      <c r="AM4" s="877"/>
      <c r="AN4" s="877"/>
      <c r="AO4" s="877"/>
      <c r="AP4" s="877"/>
      <c r="AQ4" s="877"/>
      <c r="AR4" s="877"/>
      <c r="AS4" s="877"/>
      <c r="AT4" s="877"/>
      <c r="AU4" s="877"/>
      <c r="AV4" s="877"/>
      <c r="AW4" s="877"/>
      <c r="AX4" s="877"/>
      <c r="AY4" s="559">
        <v>1</v>
      </c>
      <c r="AZ4" s="560">
        <f t="shared" ref="AZ4:AZ68" si="0">IF(COUNTIF(B4:AX4,"&gt;0")=0,0,ROUND(SUM(B4:AX4)/COUNTIF(B4:AX4,"&gt;0"),4))</f>
        <v>0.09</v>
      </c>
      <c r="BA4" s="559">
        <f>ROUND(SUM(B4:AX4)/4,2)</f>
        <v>0.05</v>
      </c>
      <c r="BB4" s="553">
        <v>1</v>
      </c>
    </row>
    <row r="5" spans="1:54" ht="15.75" customHeight="1" x14ac:dyDescent="0.35">
      <c r="A5" s="710"/>
      <c r="B5" s="561" t="s">
        <v>156</v>
      </c>
      <c r="C5" s="878">
        <v>0</v>
      </c>
      <c r="D5" s="878">
        <v>0</v>
      </c>
      <c r="E5" s="878">
        <v>0</v>
      </c>
      <c r="F5" s="878">
        <v>0</v>
      </c>
      <c r="G5" s="878"/>
      <c r="H5" s="878"/>
      <c r="I5" s="878"/>
      <c r="J5" s="878"/>
      <c r="K5" s="878"/>
      <c r="L5" s="878"/>
      <c r="M5" s="878"/>
      <c r="N5" s="878"/>
      <c r="O5" s="878"/>
      <c r="P5" s="878"/>
      <c r="Q5" s="878"/>
      <c r="R5" s="878"/>
      <c r="S5" s="878"/>
      <c r="T5" s="878"/>
      <c r="U5" s="878"/>
      <c r="V5" s="878"/>
      <c r="W5" s="878"/>
      <c r="X5" s="878"/>
      <c r="Y5" s="878"/>
      <c r="Z5" s="878"/>
      <c r="AA5" s="878"/>
      <c r="AB5" s="878"/>
      <c r="AC5" s="878"/>
      <c r="AD5" s="878"/>
      <c r="AE5" s="878"/>
      <c r="AF5" s="878"/>
      <c r="AG5" s="878"/>
      <c r="AH5" s="878"/>
      <c r="AI5" s="878"/>
      <c r="AJ5" s="878"/>
      <c r="AK5" s="878"/>
      <c r="AL5" s="878"/>
      <c r="AM5" s="878"/>
      <c r="AN5" s="878"/>
      <c r="AO5" s="878"/>
      <c r="AP5" s="878"/>
      <c r="AQ5" s="878"/>
      <c r="AR5" s="878"/>
      <c r="AS5" s="878"/>
      <c r="AT5" s="878"/>
      <c r="AU5" s="878"/>
      <c r="AV5" s="878"/>
      <c r="AW5" s="878"/>
      <c r="AX5" s="878"/>
      <c r="AY5" s="559">
        <v>1</v>
      </c>
      <c r="AZ5" s="560">
        <f t="shared" si="0"/>
        <v>0</v>
      </c>
      <c r="BA5" s="559">
        <f t="shared" ref="BA5:BA68" si="1">ROUND(SUM(B5:AX5)/4,2)</f>
        <v>0</v>
      </c>
      <c r="BB5" s="553">
        <f t="shared" ref="BB5:BB68" si="2">ROUND(1/(COUNT(B5:AX5)/4),2)</f>
        <v>1</v>
      </c>
    </row>
    <row r="6" spans="1:54" ht="15.75" customHeight="1" x14ac:dyDescent="0.35">
      <c r="A6" s="710"/>
      <c r="B6" s="561" t="s">
        <v>157</v>
      </c>
      <c r="C6" s="878">
        <v>0</v>
      </c>
      <c r="D6" s="878">
        <v>0.2</v>
      </c>
      <c r="E6" s="878">
        <v>0.2</v>
      </c>
      <c r="F6" s="878">
        <v>0</v>
      </c>
      <c r="G6" s="878"/>
      <c r="H6" s="878"/>
      <c r="I6" s="878"/>
      <c r="J6" s="878"/>
      <c r="K6" s="878"/>
      <c r="L6" s="878"/>
      <c r="M6" s="878"/>
      <c r="N6" s="878"/>
      <c r="O6" s="878"/>
      <c r="P6" s="878"/>
      <c r="Q6" s="878"/>
      <c r="R6" s="878"/>
      <c r="S6" s="878"/>
      <c r="T6" s="878"/>
      <c r="U6" s="878"/>
      <c r="V6" s="878"/>
      <c r="W6" s="878"/>
      <c r="X6" s="878"/>
      <c r="Y6" s="878"/>
      <c r="Z6" s="878"/>
      <c r="AA6" s="878"/>
      <c r="AB6" s="878"/>
      <c r="AC6" s="878"/>
      <c r="AD6" s="878"/>
      <c r="AE6" s="878"/>
      <c r="AF6" s="878"/>
      <c r="AG6" s="878"/>
      <c r="AH6" s="878"/>
      <c r="AI6" s="878"/>
      <c r="AJ6" s="878"/>
      <c r="AK6" s="878"/>
      <c r="AL6" s="878"/>
      <c r="AM6" s="878"/>
      <c r="AN6" s="878"/>
      <c r="AO6" s="878"/>
      <c r="AP6" s="878"/>
      <c r="AQ6" s="878"/>
      <c r="AR6" s="878"/>
      <c r="AS6" s="878"/>
      <c r="AT6" s="878"/>
      <c r="AU6" s="878"/>
      <c r="AV6" s="878"/>
      <c r="AW6" s="878"/>
      <c r="AX6" s="878"/>
      <c r="AY6" s="559">
        <v>1</v>
      </c>
      <c r="AZ6" s="560">
        <f t="shared" si="0"/>
        <v>0.2</v>
      </c>
      <c r="BA6" s="559">
        <f t="shared" si="1"/>
        <v>0.1</v>
      </c>
      <c r="BB6" s="553">
        <f t="shared" si="2"/>
        <v>1</v>
      </c>
    </row>
    <row r="7" spans="1:54" ht="15.75" customHeight="1" x14ac:dyDescent="0.35">
      <c r="A7" s="710"/>
      <c r="B7" s="561" t="s">
        <v>158</v>
      </c>
      <c r="C7" s="878">
        <v>0</v>
      </c>
      <c r="D7" s="878">
        <v>0</v>
      </c>
      <c r="E7" s="878">
        <v>0</v>
      </c>
      <c r="F7" s="878">
        <v>0</v>
      </c>
      <c r="G7" s="878"/>
      <c r="H7" s="878"/>
      <c r="I7" s="878"/>
      <c r="J7" s="878"/>
      <c r="K7" s="878"/>
      <c r="L7" s="878"/>
      <c r="M7" s="878"/>
      <c r="N7" s="878"/>
      <c r="O7" s="878"/>
      <c r="P7" s="878"/>
      <c r="Q7" s="878"/>
      <c r="R7" s="878"/>
      <c r="S7" s="878"/>
      <c r="T7" s="878"/>
      <c r="U7" s="878"/>
      <c r="V7" s="878"/>
      <c r="W7" s="878"/>
      <c r="X7" s="878"/>
      <c r="Y7" s="878"/>
      <c r="Z7" s="878"/>
      <c r="AA7" s="878"/>
      <c r="AB7" s="878"/>
      <c r="AC7" s="878"/>
      <c r="AD7" s="878"/>
      <c r="AE7" s="878"/>
      <c r="AF7" s="878"/>
      <c r="AG7" s="878"/>
      <c r="AH7" s="878"/>
      <c r="AI7" s="878"/>
      <c r="AJ7" s="878"/>
      <c r="AK7" s="878"/>
      <c r="AL7" s="878"/>
      <c r="AM7" s="878"/>
      <c r="AN7" s="878"/>
      <c r="AO7" s="878"/>
      <c r="AP7" s="878"/>
      <c r="AQ7" s="878"/>
      <c r="AR7" s="878"/>
      <c r="AS7" s="878"/>
      <c r="AT7" s="878"/>
      <c r="AU7" s="878"/>
      <c r="AV7" s="878"/>
      <c r="AW7" s="878"/>
      <c r="AX7" s="878"/>
      <c r="AY7" s="559">
        <v>1</v>
      </c>
      <c r="AZ7" s="560">
        <f t="shared" si="0"/>
        <v>0</v>
      </c>
      <c r="BA7" s="559">
        <f t="shared" si="1"/>
        <v>0</v>
      </c>
      <c r="BB7" s="553">
        <f t="shared" si="2"/>
        <v>1</v>
      </c>
    </row>
    <row r="8" spans="1:54" ht="15.75" customHeight="1" x14ac:dyDescent="0.35">
      <c r="A8" s="710"/>
      <c r="B8" s="561" t="s">
        <v>159</v>
      </c>
      <c r="C8" s="878">
        <v>0</v>
      </c>
      <c r="D8" s="878">
        <v>0</v>
      </c>
      <c r="E8" s="878">
        <v>0</v>
      </c>
      <c r="F8" s="878">
        <v>0</v>
      </c>
      <c r="G8" s="878"/>
      <c r="H8" s="878"/>
      <c r="I8" s="878"/>
      <c r="J8" s="878"/>
      <c r="K8" s="878"/>
      <c r="L8" s="878"/>
      <c r="M8" s="878"/>
      <c r="N8" s="878"/>
      <c r="O8" s="878"/>
      <c r="P8" s="878"/>
      <c r="Q8" s="878"/>
      <c r="R8" s="878"/>
      <c r="S8" s="878"/>
      <c r="T8" s="878"/>
      <c r="U8" s="878"/>
      <c r="V8" s="878"/>
      <c r="W8" s="878"/>
      <c r="X8" s="878"/>
      <c r="Y8" s="878"/>
      <c r="Z8" s="878"/>
      <c r="AA8" s="878"/>
      <c r="AB8" s="878"/>
      <c r="AC8" s="878"/>
      <c r="AD8" s="878"/>
      <c r="AE8" s="878"/>
      <c r="AF8" s="878"/>
      <c r="AG8" s="878"/>
      <c r="AH8" s="878"/>
      <c r="AI8" s="878"/>
      <c r="AJ8" s="878"/>
      <c r="AK8" s="878"/>
      <c r="AL8" s="878"/>
      <c r="AM8" s="878"/>
      <c r="AN8" s="878"/>
      <c r="AO8" s="878"/>
      <c r="AP8" s="878"/>
      <c r="AQ8" s="878"/>
      <c r="AR8" s="878"/>
      <c r="AS8" s="878"/>
      <c r="AT8" s="878"/>
      <c r="AU8" s="878"/>
      <c r="AV8" s="878"/>
      <c r="AW8" s="878"/>
      <c r="AX8" s="878"/>
      <c r="AY8" s="559">
        <v>1</v>
      </c>
      <c r="AZ8" s="560">
        <f t="shared" si="0"/>
        <v>0</v>
      </c>
      <c r="BA8" s="559">
        <f t="shared" si="1"/>
        <v>0</v>
      </c>
      <c r="BB8" s="553">
        <f t="shared" si="2"/>
        <v>1</v>
      </c>
    </row>
    <row r="9" spans="1:54" ht="15.75" customHeight="1" x14ac:dyDescent="0.35">
      <c r="A9" s="710"/>
      <c r="B9" s="561" t="s">
        <v>131</v>
      </c>
      <c r="C9" s="878">
        <v>0</v>
      </c>
      <c r="D9" s="878">
        <v>0.1</v>
      </c>
      <c r="E9" s="878">
        <v>0.1</v>
      </c>
      <c r="F9" s="878">
        <v>0</v>
      </c>
      <c r="G9" s="878"/>
      <c r="H9" s="878"/>
      <c r="I9" s="878"/>
      <c r="J9" s="878"/>
      <c r="K9" s="878"/>
      <c r="L9" s="878"/>
      <c r="M9" s="878"/>
      <c r="N9" s="878"/>
      <c r="O9" s="878"/>
      <c r="P9" s="878"/>
      <c r="Q9" s="878"/>
      <c r="R9" s="878"/>
      <c r="S9" s="878"/>
      <c r="T9" s="878"/>
      <c r="U9" s="878"/>
      <c r="V9" s="878"/>
      <c r="W9" s="878"/>
      <c r="X9" s="878"/>
      <c r="Y9" s="878"/>
      <c r="Z9" s="878"/>
      <c r="AA9" s="878"/>
      <c r="AB9" s="878"/>
      <c r="AC9" s="878"/>
      <c r="AD9" s="878"/>
      <c r="AE9" s="878"/>
      <c r="AF9" s="878"/>
      <c r="AG9" s="878"/>
      <c r="AH9" s="878"/>
      <c r="AI9" s="878"/>
      <c r="AJ9" s="878"/>
      <c r="AK9" s="878"/>
      <c r="AL9" s="878"/>
      <c r="AM9" s="878"/>
      <c r="AN9" s="878"/>
      <c r="AO9" s="878"/>
      <c r="AP9" s="878"/>
      <c r="AQ9" s="878"/>
      <c r="AR9" s="878"/>
      <c r="AS9" s="878"/>
      <c r="AT9" s="878"/>
      <c r="AU9" s="878"/>
      <c r="AV9" s="878"/>
      <c r="AW9" s="878"/>
      <c r="AX9" s="878"/>
      <c r="AY9" s="559">
        <v>1</v>
      </c>
      <c r="AZ9" s="560">
        <f t="shared" si="0"/>
        <v>0.1</v>
      </c>
      <c r="BA9" s="559">
        <f t="shared" si="1"/>
        <v>0.05</v>
      </c>
      <c r="BB9" s="553">
        <f t="shared" si="2"/>
        <v>1</v>
      </c>
    </row>
    <row r="10" spans="1:54" ht="15.75" customHeight="1" x14ac:dyDescent="0.35">
      <c r="A10" s="710"/>
      <c r="B10" s="561" t="s">
        <v>121</v>
      </c>
      <c r="C10" s="878">
        <v>0</v>
      </c>
      <c r="D10" s="878">
        <v>0</v>
      </c>
      <c r="E10" s="878">
        <v>0</v>
      </c>
      <c r="F10" s="878">
        <v>0</v>
      </c>
      <c r="G10" s="878"/>
      <c r="H10" s="878"/>
      <c r="I10" s="878"/>
      <c r="J10" s="878"/>
      <c r="K10" s="878"/>
      <c r="L10" s="878"/>
      <c r="M10" s="878"/>
      <c r="N10" s="878"/>
      <c r="O10" s="878"/>
      <c r="P10" s="878"/>
      <c r="Q10" s="878"/>
      <c r="R10" s="878"/>
      <c r="S10" s="878"/>
      <c r="T10" s="878"/>
      <c r="U10" s="878"/>
      <c r="V10" s="878"/>
      <c r="W10" s="878"/>
      <c r="X10" s="878"/>
      <c r="Y10" s="878"/>
      <c r="Z10" s="878"/>
      <c r="AA10" s="878"/>
      <c r="AB10" s="878"/>
      <c r="AC10" s="878"/>
      <c r="AD10" s="878"/>
      <c r="AE10" s="878"/>
      <c r="AF10" s="878"/>
      <c r="AG10" s="878"/>
      <c r="AH10" s="878"/>
      <c r="AI10" s="878"/>
      <c r="AJ10" s="878"/>
      <c r="AK10" s="878"/>
      <c r="AL10" s="878"/>
      <c r="AM10" s="878"/>
      <c r="AN10" s="878"/>
      <c r="AO10" s="878"/>
      <c r="AP10" s="878"/>
      <c r="AQ10" s="878"/>
      <c r="AR10" s="878"/>
      <c r="AS10" s="878"/>
      <c r="AT10" s="878"/>
      <c r="AU10" s="878"/>
      <c r="AV10" s="878"/>
      <c r="AW10" s="878"/>
      <c r="AX10" s="878"/>
      <c r="AY10" s="559">
        <v>1</v>
      </c>
      <c r="AZ10" s="560">
        <f t="shared" si="0"/>
        <v>0</v>
      </c>
      <c r="BA10" s="559">
        <f t="shared" si="1"/>
        <v>0</v>
      </c>
      <c r="BB10" s="562">
        <f>AVERAGE(AZ4:AZ10)</f>
        <v>5.5714285714285716E-2</v>
      </c>
    </row>
    <row r="11" spans="1:54" ht="16.5" customHeight="1" x14ac:dyDescent="0.35">
      <c r="A11" s="710" t="str">
        <f>DISTRIBUCIÓN!A48</f>
        <v>Alistamiento Institucional</v>
      </c>
      <c r="B11" s="561" t="s">
        <v>302</v>
      </c>
      <c r="C11" s="878">
        <v>0.14000000000000001</v>
      </c>
      <c r="D11" s="878">
        <v>0.14000000000000001</v>
      </c>
      <c r="E11" s="878">
        <v>0.14000000000000001</v>
      </c>
      <c r="F11" s="878">
        <v>0.14000000000000001</v>
      </c>
      <c r="G11" s="878"/>
      <c r="H11" s="878"/>
      <c r="I11" s="878"/>
      <c r="J11" s="878"/>
      <c r="K11" s="878"/>
      <c r="L11" s="878"/>
      <c r="M11" s="878"/>
      <c r="N11" s="878"/>
      <c r="O11" s="878"/>
      <c r="P11" s="878"/>
      <c r="Q11" s="878"/>
      <c r="R11" s="878"/>
      <c r="S11" s="878"/>
      <c r="T11" s="878"/>
      <c r="U11" s="878"/>
      <c r="V11" s="878"/>
      <c r="W11" s="878"/>
      <c r="X11" s="878"/>
      <c r="Y11" s="878"/>
      <c r="Z11" s="878"/>
      <c r="AA11" s="878"/>
      <c r="AB11" s="878"/>
      <c r="AC11" s="878"/>
      <c r="AD11" s="878"/>
      <c r="AE11" s="878"/>
      <c r="AF11" s="878"/>
      <c r="AG11" s="878"/>
      <c r="AH11" s="878"/>
      <c r="AI11" s="878"/>
      <c r="AJ11" s="878"/>
      <c r="AK11" s="878"/>
      <c r="AL11" s="878"/>
      <c r="AM11" s="878"/>
      <c r="AN11" s="878"/>
      <c r="AO11" s="878"/>
      <c r="AP11" s="878"/>
      <c r="AQ11" s="878"/>
      <c r="AR11" s="878"/>
      <c r="AS11" s="878"/>
      <c r="AT11" s="878"/>
      <c r="AU11" s="878"/>
      <c r="AV11" s="878"/>
      <c r="AW11" s="878"/>
      <c r="AX11" s="878"/>
      <c r="AY11" s="559">
        <v>1</v>
      </c>
      <c r="AZ11" s="560">
        <f t="shared" si="0"/>
        <v>0.14000000000000001</v>
      </c>
      <c r="BA11" s="559">
        <f t="shared" si="1"/>
        <v>0.14000000000000001</v>
      </c>
      <c r="BB11" s="553">
        <f t="shared" si="2"/>
        <v>1</v>
      </c>
    </row>
    <row r="12" spans="1:54" x14ac:dyDescent="0.35">
      <c r="A12" s="710"/>
      <c r="B12" s="561" t="s">
        <v>156</v>
      </c>
      <c r="C12" s="878">
        <v>0.09</v>
      </c>
      <c r="D12" s="878">
        <v>0.09</v>
      </c>
      <c r="E12" s="878">
        <v>0.09</v>
      </c>
      <c r="F12" s="878">
        <v>0.09</v>
      </c>
      <c r="G12" s="878"/>
      <c r="H12" s="878"/>
      <c r="I12" s="878"/>
      <c r="J12" s="878"/>
      <c r="K12" s="878"/>
      <c r="L12" s="878"/>
      <c r="M12" s="878"/>
      <c r="N12" s="878"/>
      <c r="O12" s="878"/>
      <c r="P12" s="878"/>
      <c r="Q12" s="878"/>
      <c r="R12" s="878"/>
      <c r="S12" s="878"/>
      <c r="T12" s="878"/>
      <c r="U12" s="878"/>
      <c r="V12" s="878"/>
      <c r="W12" s="878"/>
      <c r="X12" s="878"/>
      <c r="Y12" s="878"/>
      <c r="Z12" s="878"/>
      <c r="AA12" s="878"/>
      <c r="AB12" s="878"/>
      <c r="AC12" s="878"/>
      <c r="AD12" s="878"/>
      <c r="AE12" s="878"/>
      <c r="AF12" s="878"/>
      <c r="AG12" s="878"/>
      <c r="AH12" s="878"/>
      <c r="AI12" s="878"/>
      <c r="AJ12" s="878"/>
      <c r="AK12" s="878"/>
      <c r="AL12" s="878"/>
      <c r="AM12" s="878"/>
      <c r="AN12" s="878"/>
      <c r="AO12" s="878"/>
      <c r="AP12" s="878"/>
      <c r="AQ12" s="878"/>
      <c r="AR12" s="878"/>
      <c r="AS12" s="878"/>
      <c r="AT12" s="878"/>
      <c r="AU12" s="878"/>
      <c r="AV12" s="878"/>
      <c r="AW12" s="878"/>
      <c r="AX12" s="878"/>
      <c r="AY12" s="559">
        <v>1</v>
      </c>
      <c r="AZ12" s="560">
        <f t="shared" si="0"/>
        <v>0.09</v>
      </c>
      <c r="BA12" s="559">
        <f t="shared" si="1"/>
        <v>0.09</v>
      </c>
      <c r="BB12" s="553">
        <f t="shared" si="2"/>
        <v>1</v>
      </c>
    </row>
    <row r="13" spans="1:54" x14ac:dyDescent="0.35">
      <c r="A13" s="710"/>
      <c r="B13" s="561" t="s">
        <v>157</v>
      </c>
      <c r="C13" s="878">
        <v>0.05</v>
      </c>
      <c r="D13" s="878">
        <v>0.05</v>
      </c>
      <c r="E13" s="878">
        <v>0.05</v>
      </c>
      <c r="F13" s="878">
        <v>0.05</v>
      </c>
      <c r="G13" s="878"/>
      <c r="H13" s="878"/>
      <c r="I13" s="878"/>
      <c r="J13" s="878"/>
      <c r="K13" s="878"/>
      <c r="L13" s="878"/>
      <c r="M13" s="878"/>
      <c r="N13" s="878"/>
      <c r="O13" s="878"/>
      <c r="P13" s="878"/>
      <c r="Q13" s="878"/>
      <c r="R13" s="878"/>
      <c r="S13" s="878"/>
      <c r="T13" s="878"/>
      <c r="U13" s="878"/>
      <c r="V13" s="878"/>
      <c r="W13" s="878"/>
      <c r="X13" s="878"/>
      <c r="Y13" s="878"/>
      <c r="Z13" s="878"/>
      <c r="AA13" s="878"/>
      <c r="AB13" s="878"/>
      <c r="AC13" s="878"/>
      <c r="AD13" s="878"/>
      <c r="AE13" s="878"/>
      <c r="AF13" s="878"/>
      <c r="AG13" s="878"/>
      <c r="AH13" s="878"/>
      <c r="AI13" s="878"/>
      <c r="AJ13" s="878"/>
      <c r="AK13" s="878"/>
      <c r="AL13" s="878"/>
      <c r="AM13" s="878"/>
      <c r="AN13" s="878"/>
      <c r="AO13" s="878"/>
      <c r="AP13" s="878"/>
      <c r="AQ13" s="878"/>
      <c r="AR13" s="878"/>
      <c r="AS13" s="878"/>
      <c r="AT13" s="878"/>
      <c r="AU13" s="878"/>
      <c r="AV13" s="878"/>
      <c r="AW13" s="878"/>
      <c r="AX13" s="878"/>
      <c r="AY13" s="559">
        <v>1</v>
      </c>
      <c r="AZ13" s="560">
        <f t="shared" si="0"/>
        <v>0.05</v>
      </c>
      <c r="BA13" s="559">
        <f t="shared" si="1"/>
        <v>0.05</v>
      </c>
      <c r="BB13" s="553">
        <f t="shared" si="2"/>
        <v>1</v>
      </c>
    </row>
    <row r="14" spans="1:54" x14ac:dyDescent="0.35">
      <c r="A14" s="710"/>
      <c r="B14" s="561" t="s">
        <v>158</v>
      </c>
      <c r="C14" s="878">
        <v>0.18</v>
      </c>
      <c r="D14" s="878">
        <v>0.18</v>
      </c>
      <c r="E14" s="878">
        <v>0.18</v>
      </c>
      <c r="F14" s="878">
        <v>0.18</v>
      </c>
      <c r="G14" s="878"/>
      <c r="H14" s="878"/>
      <c r="I14" s="878"/>
      <c r="J14" s="878"/>
      <c r="K14" s="878"/>
      <c r="L14" s="878"/>
      <c r="M14" s="878"/>
      <c r="N14" s="878"/>
      <c r="O14" s="878"/>
      <c r="P14" s="878"/>
      <c r="Q14" s="878"/>
      <c r="R14" s="878"/>
      <c r="S14" s="878"/>
      <c r="T14" s="878"/>
      <c r="U14" s="878"/>
      <c r="V14" s="878"/>
      <c r="W14" s="878"/>
      <c r="X14" s="878"/>
      <c r="Y14" s="878"/>
      <c r="Z14" s="878"/>
      <c r="AA14" s="878"/>
      <c r="AB14" s="878"/>
      <c r="AC14" s="878"/>
      <c r="AD14" s="878"/>
      <c r="AE14" s="878"/>
      <c r="AF14" s="878"/>
      <c r="AG14" s="878"/>
      <c r="AH14" s="878"/>
      <c r="AI14" s="878"/>
      <c r="AJ14" s="878"/>
      <c r="AK14" s="878"/>
      <c r="AL14" s="878"/>
      <c r="AM14" s="878"/>
      <c r="AN14" s="878"/>
      <c r="AO14" s="878"/>
      <c r="AP14" s="878"/>
      <c r="AQ14" s="878"/>
      <c r="AR14" s="878"/>
      <c r="AS14" s="878"/>
      <c r="AT14" s="878"/>
      <c r="AU14" s="878"/>
      <c r="AV14" s="878"/>
      <c r="AW14" s="878"/>
      <c r="AX14" s="878"/>
      <c r="AY14" s="559">
        <v>1</v>
      </c>
      <c r="AZ14" s="560">
        <f t="shared" si="0"/>
        <v>0.18</v>
      </c>
      <c r="BA14" s="559">
        <f t="shared" si="1"/>
        <v>0.18</v>
      </c>
      <c r="BB14" s="553">
        <f t="shared" si="2"/>
        <v>1</v>
      </c>
    </row>
    <row r="15" spans="1:54" x14ac:dyDescent="0.35">
      <c r="A15" s="710"/>
      <c r="B15" s="561" t="s">
        <v>159</v>
      </c>
      <c r="C15" s="878">
        <v>0</v>
      </c>
      <c r="D15" s="878">
        <v>0</v>
      </c>
      <c r="E15" s="878">
        <v>0</v>
      </c>
      <c r="F15" s="878">
        <v>0</v>
      </c>
      <c r="G15" s="878"/>
      <c r="H15" s="878"/>
      <c r="I15" s="878"/>
      <c r="J15" s="878"/>
      <c r="K15" s="878"/>
      <c r="L15" s="878"/>
      <c r="M15" s="878"/>
      <c r="N15" s="878"/>
      <c r="O15" s="878"/>
      <c r="P15" s="878"/>
      <c r="Q15" s="878"/>
      <c r="R15" s="878"/>
      <c r="S15" s="878"/>
      <c r="T15" s="878"/>
      <c r="U15" s="878"/>
      <c r="V15" s="878"/>
      <c r="W15" s="878"/>
      <c r="X15" s="878"/>
      <c r="Y15" s="878"/>
      <c r="Z15" s="878"/>
      <c r="AA15" s="878"/>
      <c r="AB15" s="878"/>
      <c r="AC15" s="878"/>
      <c r="AD15" s="878"/>
      <c r="AE15" s="878"/>
      <c r="AF15" s="878"/>
      <c r="AG15" s="878"/>
      <c r="AH15" s="878"/>
      <c r="AI15" s="878"/>
      <c r="AJ15" s="878"/>
      <c r="AK15" s="878"/>
      <c r="AL15" s="878"/>
      <c r="AM15" s="878"/>
      <c r="AN15" s="878"/>
      <c r="AO15" s="878"/>
      <c r="AP15" s="878"/>
      <c r="AQ15" s="878"/>
      <c r="AR15" s="878"/>
      <c r="AS15" s="878"/>
      <c r="AT15" s="878"/>
      <c r="AU15" s="878"/>
      <c r="AV15" s="878"/>
      <c r="AW15" s="878"/>
      <c r="AX15" s="878"/>
      <c r="AY15" s="559">
        <v>1</v>
      </c>
      <c r="AZ15" s="560">
        <f t="shared" si="0"/>
        <v>0</v>
      </c>
      <c r="BA15" s="559">
        <f t="shared" si="1"/>
        <v>0</v>
      </c>
      <c r="BB15" s="553">
        <f t="shared" si="2"/>
        <v>1</v>
      </c>
    </row>
    <row r="16" spans="1:54" x14ac:dyDescent="0.35">
      <c r="A16" s="710"/>
      <c r="B16" s="561" t="s">
        <v>131</v>
      </c>
      <c r="C16" s="878">
        <v>0</v>
      </c>
      <c r="D16" s="878">
        <v>0</v>
      </c>
      <c r="E16" s="878">
        <v>0</v>
      </c>
      <c r="F16" s="878">
        <v>0</v>
      </c>
      <c r="G16" s="878"/>
      <c r="H16" s="878"/>
      <c r="I16" s="878"/>
      <c r="J16" s="878"/>
      <c r="K16" s="878"/>
      <c r="L16" s="878"/>
      <c r="M16" s="878"/>
      <c r="N16" s="878"/>
      <c r="O16" s="878"/>
      <c r="P16" s="878"/>
      <c r="Q16" s="878"/>
      <c r="R16" s="878"/>
      <c r="S16" s="878"/>
      <c r="T16" s="878"/>
      <c r="U16" s="878"/>
      <c r="V16" s="878"/>
      <c r="W16" s="878"/>
      <c r="X16" s="878"/>
      <c r="Y16" s="878"/>
      <c r="Z16" s="878"/>
      <c r="AA16" s="878"/>
      <c r="AB16" s="878"/>
      <c r="AC16" s="878"/>
      <c r="AD16" s="878"/>
      <c r="AE16" s="878"/>
      <c r="AF16" s="878"/>
      <c r="AG16" s="878"/>
      <c r="AH16" s="878"/>
      <c r="AI16" s="878"/>
      <c r="AJ16" s="878"/>
      <c r="AK16" s="878"/>
      <c r="AL16" s="878"/>
      <c r="AM16" s="878"/>
      <c r="AN16" s="878"/>
      <c r="AO16" s="878"/>
      <c r="AP16" s="878"/>
      <c r="AQ16" s="878"/>
      <c r="AR16" s="878"/>
      <c r="AS16" s="878"/>
      <c r="AT16" s="878"/>
      <c r="AU16" s="878"/>
      <c r="AV16" s="878"/>
      <c r="AW16" s="878"/>
      <c r="AX16" s="878"/>
      <c r="AY16" s="559">
        <v>1</v>
      </c>
      <c r="AZ16" s="560">
        <f t="shared" si="0"/>
        <v>0</v>
      </c>
      <c r="BA16" s="559">
        <f t="shared" si="1"/>
        <v>0</v>
      </c>
      <c r="BB16" s="553">
        <f t="shared" si="2"/>
        <v>1</v>
      </c>
    </row>
    <row r="17" spans="1:54" x14ac:dyDescent="0.35">
      <c r="A17" s="710"/>
      <c r="B17" s="561" t="s">
        <v>121</v>
      </c>
      <c r="C17" s="878">
        <v>0.15</v>
      </c>
      <c r="D17" s="878">
        <v>0.15</v>
      </c>
      <c r="E17" s="878">
        <v>0.15</v>
      </c>
      <c r="F17" s="878">
        <v>0.15</v>
      </c>
      <c r="G17" s="878"/>
      <c r="H17" s="878"/>
      <c r="I17" s="878"/>
      <c r="J17" s="878"/>
      <c r="K17" s="878"/>
      <c r="L17" s="878"/>
      <c r="M17" s="878"/>
      <c r="N17" s="878"/>
      <c r="O17" s="878"/>
      <c r="P17" s="878"/>
      <c r="Q17" s="878"/>
      <c r="R17" s="878"/>
      <c r="S17" s="878"/>
      <c r="T17" s="878"/>
      <c r="U17" s="878"/>
      <c r="V17" s="878"/>
      <c r="W17" s="878"/>
      <c r="X17" s="878"/>
      <c r="Y17" s="878"/>
      <c r="Z17" s="878"/>
      <c r="AA17" s="878"/>
      <c r="AB17" s="878"/>
      <c r="AC17" s="878"/>
      <c r="AD17" s="878"/>
      <c r="AE17" s="878"/>
      <c r="AF17" s="878"/>
      <c r="AG17" s="878"/>
      <c r="AH17" s="878"/>
      <c r="AI17" s="878"/>
      <c r="AJ17" s="878"/>
      <c r="AK17" s="878"/>
      <c r="AL17" s="878"/>
      <c r="AM17" s="878"/>
      <c r="AN17" s="878"/>
      <c r="AO17" s="878"/>
      <c r="AP17" s="878"/>
      <c r="AQ17" s="878"/>
      <c r="AR17" s="878"/>
      <c r="AS17" s="878"/>
      <c r="AT17" s="878"/>
      <c r="AU17" s="878"/>
      <c r="AV17" s="878"/>
      <c r="AW17" s="878"/>
      <c r="AX17" s="878"/>
      <c r="AY17" s="559">
        <v>1</v>
      </c>
      <c r="AZ17" s="560">
        <f t="shared" si="0"/>
        <v>0.15</v>
      </c>
      <c r="BA17" s="559">
        <f t="shared" si="1"/>
        <v>0.15</v>
      </c>
      <c r="BB17" s="553">
        <f t="shared" si="2"/>
        <v>1</v>
      </c>
    </row>
    <row r="18" spans="1:54" ht="16.5" customHeight="1" x14ac:dyDescent="0.35">
      <c r="A18" s="710" t="str">
        <f>DISTRIBUCIÓN!A49</f>
        <v>Identificación de actores relevantes para el ordenamiento</v>
      </c>
      <c r="B18" s="561" t="s">
        <v>302</v>
      </c>
      <c r="C18" s="878">
        <v>0</v>
      </c>
      <c r="D18" s="878">
        <v>0.09</v>
      </c>
      <c r="E18" s="878">
        <v>0.09</v>
      </c>
      <c r="F18" s="878">
        <v>0.09</v>
      </c>
      <c r="G18" s="878"/>
      <c r="H18" s="878"/>
      <c r="I18" s="878"/>
      <c r="J18" s="878"/>
      <c r="K18" s="878"/>
      <c r="L18" s="878"/>
      <c r="M18" s="878"/>
      <c r="N18" s="878"/>
      <c r="O18" s="878"/>
      <c r="P18" s="878"/>
      <c r="Q18" s="878"/>
      <c r="R18" s="878"/>
      <c r="S18" s="878"/>
      <c r="T18" s="878"/>
      <c r="U18" s="878"/>
      <c r="V18" s="878"/>
      <c r="W18" s="878"/>
      <c r="X18" s="878"/>
      <c r="Y18" s="878"/>
      <c r="Z18" s="878"/>
      <c r="AA18" s="878"/>
      <c r="AB18" s="878"/>
      <c r="AC18" s="878"/>
      <c r="AD18" s="878"/>
      <c r="AE18" s="878"/>
      <c r="AF18" s="878"/>
      <c r="AG18" s="878"/>
      <c r="AH18" s="878"/>
      <c r="AI18" s="878"/>
      <c r="AJ18" s="878"/>
      <c r="AK18" s="878"/>
      <c r="AL18" s="878"/>
      <c r="AM18" s="878"/>
      <c r="AN18" s="878"/>
      <c r="AO18" s="878"/>
      <c r="AP18" s="878"/>
      <c r="AQ18" s="878"/>
      <c r="AR18" s="878"/>
      <c r="AS18" s="878"/>
      <c r="AT18" s="878"/>
      <c r="AU18" s="878"/>
      <c r="AV18" s="878"/>
      <c r="AW18" s="878"/>
      <c r="AX18" s="878"/>
      <c r="AY18" s="559">
        <v>1</v>
      </c>
      <c r="AZ18" s="560">
        <f t="shared" si="0"/>
        <v>0.09</v>
      </c>
      <c r="BA18" s="559">
        <f t="shared" si="1"/>
        <v>7.0000000000000007E-2</v>
      </c>
      <c r="BB18" s="553">
        <f t="shared" si="2"/>
        <v>1</v>
      </c>
    </row>
    <row r="19" spans="1:54" x14ac:dyDescent="0.35">
      <c r="A19" s="710"/>
      <c r="B19" s="561" t="s">
        <v>156</v>
      </c>
      <c r="C19" s="878">
        <v>0</v>
      </c>
      <c r="D19" s="878">
        <v>0</v>
      </c>
      <c r="E19" s="878">
        <v>0</v>
      </c>
      <c r="F19" s="878">
        <v>0</v>
      </c>
      <c r="G19" s="878"/>
      <c r="H19" s="878"/>
      <c r="I19" s="878"/>
      <c r="J19" s="878"/>
      <c r="K19" s="878"/>
      <c r="L19" s="878"/>
      <c r="M19" s="878"/>
      <c r="N19" s="878"/>
      <c r="O19" s="878"/>
      <c r="P19" s="878"/>
      <c r="Q19" s="878"/>
      <c r="R19" s="878"/>
      <c r="S19" s="878"/>
      <c r="T19" s="878"/>
      <c r="U19" s="878"/>
      <c r="V19" s="878"/>
      <c r="W19" s="878"/>
      <c r="X19" s="878"/>
      <c r="Y19" s="878"/>
      <c r="Z19" s="878"/>
      <c r="AA19" s="878"/>
      <c r="AB19" s="878"/>
      <c r="AC19" s="878"/>
      <c r="AD19" s="878"/>
      <c r="AE19" s="878"/>
      <c r="AF19" s="878"/>
      <c r="AG19" s="878"/>
      <c r="AH19" s="878"/>
      <c r="AI19" s="878"/>
      <c r="AJ19" s="878"/>
      <c r="AK19" s="878"/>
      <c r="AL19" s="878"/>
      <c r="AM19" s="878"/>
      <c r="AN19" s="878"/>
      <c r="AO19" s="878"/>
      <c r="AP19" s="878"/>
      <c r="AQ19" s="878"/>
      <c r="AR19" s="878"/>
      <c r="AS19" s="878"/>
      <c r="AT19" s="878"/>
      <c r="AU19" s="878"/>
      <c r="AV19" s="878"/>
      <c r="AW19" s="878"/>
      <c r="AX19" s="878"/>
      <c r="AY19" s="559">
        <v>1</v>
      </c>
      <c r="AZ19" s="560">
        <f t="shared" si="0"/>
        <v>0</v>
      </c>
      <c r="BA19" s="559">
        <f t="shared" si="1"/>
        <v>0</v>
      </c>
      <c r="BB19" s="553">
        <f t="shared" si="2"/>
        <v>1</v>
      </c>
    </row>
    <row r="20" spans="1:54" x14ac:dyDescent="0.35">
      <c r="A20" s="710"/>
      <c r="B20" s="561" t="s">
        <v>157</v>
      </c>
      <c r="C20" s="878">
        <v>0</v>
      </c>
      <c r="D20" s="878">
        <v>0</v>
      </c>
      <c r="E20" s="878">
        <v>0</v>
      </c>
      <c r="F20" s="878">
        <v>0</v>
      </c>
      <c r="G20" s="878"/>
      <c r="H20" s="878"/>
      <c r="I20" s="878"/>
      <c r="J20" s="878"/>
      <c r="K20" s="878"/>
      <c r="L20" s="878"/>
      <c r="M20" s="878"/>
      <c r="N20" s="878"/>
      <c r="O20" s="878"/>
      <c r="P20" s="878"/>
      <c r="Q20" s="878"/>
      <c r="R20" s="878"/>
      <c r="S20" s="878"/>
      <c r="T20" s="878"/>
      <c r="U20" s="878"/>
      <c r="V20" s="878"/>
      <c r="W20" s="878"/>
      <c r="X20" s="878"/>
      <c r="Y20" s="878"/>
      <c r="Z20" s="878"/>
      <c r="AA20" s="878"/>
      <c r="AB20" s="878"/>
      <c r="AC20" s="878"/>
      <c r="AD20" s="878"/>
      <c r="AE20" s="878"/>
      <c r="AF20" s="878"/>
      <c r="AG20" s="878"/>
      <c r="AH20" s="878"/>
      <c r="AI20" s="878"/>
      <c r="AJ20" s="878"/>
      <c r="AK20" s="878"/>
      <c r="AL20" s="878"/>
      <c r="AM20" s="878"/>
      <c r="AN20" s="878"/>
      <c r="AO20" s="878"/>
      <c r="AP20" s="878"/>
      <c r="AQ20" s="878"/>
      <c r="AR20" s="878"/>
      <c r="AS20" s="878"/>
      <c r="AT20" s="878"/>
      <c r="AU20" s="878"/>
      <c r="AV20" s="878"/>
      <c r="AW20" s="878"/>
      <c r="AX20" s="878"/>
      <c r="AY20" s="559">
        <v>1</v>
      </c>
      <c r="AZ20" s="560">
        <f t="shared" si="0"/>
        <v>0</v>
      </c>
      <c r="BA20" s="559">
        <f t="shared" si="1"/>
        <v>0</v>
      </c>
      <c r="BB20" s="553">
        <f t="shared" si="2"/>
        <v>1</v>
      </c>
    </row>
    <row r="21" spans="1:54" x14ac:dyDescent="0.35">
      <c r="A21" s="710"/>
      <c r="B21" s="561" t="s">
        <v>158</v>
      </c>
      <c r="C21" s="878">
        <v>0</v>
      </c>
      <c r="D21" s="878">
        <v>0.09</v>
      </c>
      <c r="E21" s="878">
        <v>0.09</v>
      </c>
      <c r="F21" s="878">
        <v>0.09</v>
      </c>
      <c r="G21" s="878"/>
      <c r="H21" s="878"/>
      <c r="I21" s="878"/>
      <c r="J21" s="878"/>
      <c r="K21" s="878"/>
      <c r="L21" s="878"/>
      <c r="M21" s="878"/>
      <c r="N21" s="878"/>
      <c r="O21" s="878"/>
      <c r="P21" s="878"/>
      <c r="Q21" s="878"/>
      <c r="R21" s="878"/>
      <c r="S21" s="878"/>
      <c r="T21" s="878"/>
      <c r="U21" s="878"/>
      <c r="V21" s="878"/>
      <c r="W21" s="878"/>
      <c r="X21" s="878"/>
      <c r="Y21" s="878"/>
      <c r="Z21" s="878"/>
      <c r="AA21" s="878"/>
      <c r="AB21" s="878"/>
      <c r="AC21" s="878"/>
      <c r="AD21" s="878"/>
      <c r="AE21" s="878"/>
      <c r="AF21" s="878"/>
      <c r="AG21" s="878"/>
      <c r="AH21" s="878"/>
      <c r="AI21" s="878"/>
      <c r="AJ21" s="878"/>
      <c r="AK21" s="878"/>
      <c r="AL21" s="878"/>
      <c r="AM21" s="878"/>
      <c r="AN21" s="878"/>
      <c r="AO21" s="878"/>
      <c r="AP21" s="878"/>
      <c r="AQ21" s="878"/>
      <c r="AR21" s="878"/>
      <c r="AS21" s="878"/>
      <c r="AT21" s="878"/>
      <c r="AU21" s="878"/>
      <c r="AV21" s="878"/>
      <c r="AW21" s="878"/>
      <c r="AX21" s="878"/>
      <c r="AY21" s="559">
        <v>1</v>
      </c>
      <c r="AZ21" s="560">
        <f t="shared" si="0"/>
        <v>0.09</v>
      </c>
      <c r="BA21" s="559">
        <f t="shared" si="1"/>
        <v>7.0000000000000007E-2</v>
      </c>
      <c r="BB21" s="553">
        <f t="shared" si="2"/>
        <v>1</v>
      </c>
    </row>
    <row r="22" spans="1:54" x14ac:dyDescent="0.35">
      <c r="A22" s="710"/>
      <c r="B22" s="561" t="s">
        <v>159</v>
      </c>
      <c r="C22" s="878">
        <v>0</v>
      </c>
      <c r="D22" s="878">
        <v>0</v>
      </c>
      <c r="E22" s="878">
        <v>0</v>
      </c>
      <c r="F22" s="878">
        <v>0</v>
      </c>
      <c r="G22" s="878"/>
      <c r="H22" s="878"/>
      <c r="I22" s="878"/>
      <c r="J22" s="878"/>
      <c r="K22" s="878"/>
      <c r="L22" s="878"/>
      <c r="M22" s="878"/>
      <c r="N22" s="878"/>
      <c r="O22" s="878"/>
      <c r="P22" s="878"/>
      <c r="Q22" s="878"/>
      <c r="R22" s="878"/>
      <c r="S22" s="878"/>
      <c r="T22" s="878"/>
      <c r="U22" s="878"/>
      <c r="V22" s="878"/>
      <c r="W22" s="878"/>
      <c r="X22" s="878"/>
      <c r="Y22" s="878"/>
      <c r="Z22" s="878"/>
      <c r="AA22" s="878"/>
      <c r="AB22" s="878"/>
      <c r="AC22" s="878"/>
      <c r="AD22" s="878"/>
      <c r="AE22" s="878"/>
      <c r="AF22" s="878"/>
      <c r="AG22" s="878"/>
      <c r="AH22" s="878"/>
      <c r="AI22" s="878"/>
      <c r="AJ22" s="878"/>
      <c r="AK22" s="878"/>
      <c r="AL22" s="878"/>
      <c r="AM22" s="878"/>
      <c r="AN22" s="878"/>
      <c r="AO22" s="878"/>
      <c r="AP22" s="878"/>
      <c r="AQ22" s="878"/>
      <c r="AR22" s="878"/>
      <c r="AS22" s="878"/>
      <c r="AT22" s="878"/>
      <c r="AU22" s="878"/>
      <c r="AV22" s="878"/>
      <c r="AW22" s="878"/>
      <c r="AX22" s="878"/>
      <c r="AY22" s="559">
        <v>1</v>
      </c>
      <c r="AZ22" s="560">
        <f t="shared" si="0"/>
        <v>0</v>
      </c>
      <c r="BA22" s="559">
        <f>ROUND(SUM(B22:AX22)/4,2)</f>
        <v>0</v>
      </c>
      <c r="BB22" s="553">
        <f t="shared" si="2"/>
        <v>1</v>
      </c>
    </row>
    <row r="23" spans="1:54" x14ac:dyDescent="0.35">
      <c r="A23" s="710"/>
      <c r="B23" s="561" t="s">
        <v>131</v>
      </c>
      <c r="C23" s="878">
        <v>0</v>
      </c>
      <c r="D23" s="878">
        <v>0</v>
      </c>
      <c r="E23" s="878">
        <v>0</v>
      </c>
      <c r="F23" s="878">
        <v>0</v>
      </c>
      <c r="G23" s="878"/>
      <c r="H23" s="878"/>
      <c r="I23" s="878"/>
      <c r="J23" s="878"/>
      <c r="K23" s="878"/>
      <c r="L23" s="878"/>
      <c r="M23" s="878"/>
      <c r="N23" s="878"/>
      <c r="O23" s="878"/>
      <c r="P23" s="878"/>
      <c r="Q23" s="878"/>
      <c r="R23" s="878"/>
      <c r="S23" s="878"/>
      <c r="T23" s="878"/>
      <c r="U23" s="878"/>
      <c r="V23" s="878"/>
      <c r="W23" s="878"/>
      <c r="X23" s="878"/>
      <c r="Y23" s="878"/>
      <c r="Z23" s="878"/>
      <c r="AA23" s="878"/>
      <c r="AB23" s="878"/>
      <c r="AC23" s="878"/>
      <c r="AD23" s="878"/>
      <c r="AE23" s="878"/>
      <c r="AF23" s="878"/>
      <c r="AG23" s="878"/>
      <c r="AH23" s="878"/>
      <c r="AI23" s="878"/>
      <c r="AJ23" s="878"/>
      <c r="AK23" s="878"/>
      <c r="AL23" s="878"/>
      <c r="AM23" s="878"/>
      <c r="AN23" s="878"/>
      <c r="AO23" s="878"/>
      <c r="AP23" s="878"/>
      <c r="AQ23" s="878"/>
      <c r="AR23" s="878"/>
      <c r="AS23" s="878"/>
      <c r="AT23" s="878"/>
      <c r="AU23" s="878"/>
      <c r="AV23" s="878"/>
      <c r="AW23" s="878"/>
      <c r="AX23" s="878"/>
      <c r="AY23" s="559">
        <v>1</v>
      </c>
      <c r="AZ23" s="560">
        <f t="shared" si="0"/>
        <v>0</v>
      </c>
      <c r="BA23" s="559">
        <f t="shared" si="1"/>
        <v>0</v>
      </c>
      <c r="BB23" s="553">
        <f t="shared" si="2"/>
        <v>1</v>
      </c>
    </row>
    <row r="24" spans="1:54" x14ac:dyDescent="0.35">
      <c r="A24" s="710"/>
      <c r="B24" s="561" t="s">
        <v>121</v>
      </c>
      <c r="C24" s="878">
        <v>0</v>
      </c>
      <c r="D24" s="878">
        <v>0.13</v>
      </c>
      <c r="E24" s="878">
        <v>0.13</v>
      </c>
      <c r="F24" s="878">
        <v>0.13</v>
      </c>
      <c r="G24" s="878"/>
      <c r="H24" s="878"/>
      <c r="I24" s="878"/>
      <c r="J24" s="878"/>
      <c r="K24" s="878"/>
      <c r="L24" s="878"/>
      <c r="M24" s="878"/>
      <c r="N24" s="878"/>
      <c r="O24" s="878"/>
      <c r="P24" s="878"/>
      <c r="Q24" s="878"/>
      <c r="R24" s="878"/>
      <c r="S24" s="878"/>
      <c r="T24" s="878"/>
      <c r="U24" s="878"/>
      <c r="V24" s="878"/>
      <c r="W24" s="878"/>
      <c r="X24" s="878"/>
      <c r="Y24" s="878"/>
      <c r="Z24" s="878"/>
      <c r="AA24" s="878"/>
      <c r="AB24" s="878"/>
      <c r="AC24" s="878"/>
      <c r="AD24" s="878"/>
      <c r="AE24" s="878"/>
      <c r="AF24" s="878"/>
      <c r="AG24" s="878"/>
      <c r="AH24" s="878"/>
      <c r="AI24" s="878"/>
      <c r="AJ24" s="878"/>
      <c r="AK24" s="878"/>
      <c r="AL24" s="878"/>
      <c r="AM24" s="878"/>
      <c r="AN24" s="878"/>
      <c r="AO24" s="878"/>
      <c r="AP24" s="878"/>
      <c r="AQ24" s="878"/>
      <c r="AR24" s="878"/>
      <c r="AS24" s="878"/>
      <c r="AT24" s="878"/>
      <c r="AU24" s="878"/>
      <c r="AV24" s="878"/>
      <c r="AW24" s="878"/>
      <c r="AX24" s="878"/>
      <c r="AY24" s="559">
        <v>1</v>
      </c>
      <c r="AZ24" s="560">
        <f t="shared" si="0"/>
        <v>0.13</v>
      </c>
      <c r="BA24" s="559">
        <f t="shared" si="1"/>
        <v>0.1</v>
      </c>
      <c r="BB24" s="553">
        <f t="shared" si="2"/>
        <v>1</v>
      </c>
    </row>
    <row r="25" spans="1:54" ht="16.5" customHeight="1" x14ac:dyDescent="0.35">
      <c r="A25" s="710" t="str">
        <f>DISTRIBUCIÓN!A50</f>
        <v>Recopilación de información de instrumentos existentes</v>
      </c>
      <c r="B25" s="561" t="s">
        <v>302</v>
      </c>
      <c r="C25" s="878">
        <v>0</v>
      </c>
      <c r="D25" s="878">
        <v>0</v>
      </c>
      <c r="E25" s="878">
        <v>0</v>
      </c>
      <c r="F25" s="878">
        <v>0</v>
      </c>
      <c r="G25" s="878"/>
      <c r="H25" s="878"/>
      <c r="I25" s="878"/>
      <c r="J25" s="878"/>
      <c r="K25" s="878"/>
      <c r="L25" s="878"/>
      <c r="M25" s="878"/>
      <c r="N25" s="878"/>
      <c r="O25" s="878"/>
      <c r="P25" s="878"/>
      <c r="Q25" s="878"/>
      <c r="R25" s="878"/>
      <c r="S25" s="878"/>
      <c r="T25" s="878"/>
      <c r="U25" s="878"/>
      <c r="V25" s="878"/>
      <c r="W25" s="878"/>
      <c r="X25" s="878"/>
      <c r="Y25" s="878"/>
      <c r="Z25" s="878"/>
      <c r="AA25" s="878"/>
      <c r="AB25" s="878"/>
      <c r="AC25" s="878"/>
      <c r="AD25" s="878"/>
      <c r="AE25" s="878"/>
      <c r="AF25" s="878"/>
      <c r="AG25" s="878"/>
      <c r="AH25" s="878"/>
      <c r="AI25" s="878"/>
      <c r="AJ25" s="878"/>
      <c r="AK25" s="878"/>
      <c r="AL25" s="878"/>
      <c r="AM25" s="878"/>
      <c r="AN25" s="878"/>
      <c r="AO25" s="878"/>
      <c r="AP25" s="878"/>
      <c r="AQ25" s="878"/>
      <c r="AR25" s="878"/>
      <c r="AS25" s="878"/>
      <c r="AT25" s="878"/>
      <c r="AU25" s="878"/>
      <c r="AV25" s="878"/>
      <c r="AW25" s="878"/>
      <c r="AX25" s="878"/>
      <c r="AY25" s="559">
        <v>1</v>
      </c>
      <c r="AZ25" s="560">
        <f t="shared" si="0"/>
        <v>0</v>
      </c>
      <c r="BA25" s="559">
        <f>ROUND(SUM(B25:AX25)/4,2)</f>
        <v>0</v>
      </c>
      <c r="BB25" s="553">
        <f t="shared" si="2"/>
        <v>1</v>
      </c>
    </row>
    <row r="26" spans="1:54" x14ac:dyDescent="0.35">
      <c r="A26" s="710"/>
      <c r="B26" s="561" t="s">
        <v>156</v>
      </c>
      <c r="C26" s="878">
        <v>0</v>
      </c>
      <c r="D26" s="878">
        <v>0</v>
      </c>
      <c r="E26" s="878">
        <v>0</v>
      </c>
      <c r="F26" s="878">
        <v>0</v>
      </c>
      <c r="G26" s="878"/>
      <c r="H26" s="878"/>
      <c r="I26" s="878"/>
      <c r="J26" s="878"/>
      <c r="K26" s="878"/>
      <c r="L26" s="878"/>
      <c r="M26" s="878"/>
      <c r="N26" s="878"/>
      <c r="O26" s="878"/>
      <c r="P26" s="878"/>
      <c r="Q26" s="878"/>
      <c r="R26" s="878"/>
      <c r="S26" s="878"/>
      <c r="T26" s="878"/>
      <c r="U26" s="878"/>
      <c r="V26" s="878"/>
      <c r="W26" s="878"/>
      <c r="X26" s="878"/>
      <c r="Y26" s="878"/>
      <c r="Z26" s="878"/>
      <c r="AA26" s="878"/>
      <c r="AB26" s="878"/>
      <c r="AC26" s="878"/>
      <c r="AD26" s="878"/>
      <c r="AE26" s="878"/>
      <c r="AF26" s="878"/>
      <c r="AG26" s="878"/>
      <c r="AH26" s="878"/>
      <c r="AI26" s="878"/>
      <c r="AJ26" s="878"/>
      <c r="AK26" s="878"/>
      <c r="AL26" s="878"/>
      <c r="AM26" s="878"/>
      <c r="AN26" s="878"/>
      <c r="AO26" s="878"/>
      <c r="AP26" s="878"/>
      <c r="AQ26" s="878"/>
      <c r="AR26" s="878"/>
      <c r="AS26" s="878"/>
      <c r="AT26" s="878"/>
      <c r="AU26" s="878"/>
      <c r="AV26" s="878"/>
      <c r="AW26" s="878"/>
      <c r="AX26" s="878"/>
      <c r="AY26" s="559">
        <v>1</v>
      </c>
      <c r="AZ26" s="560">
        <f t="shared" si="0"/>
        <v>0</v>
      </c>
      <c r="BA26" s="559">
        <f t="shared" si="1"/>
        <v>0</v>
      </c>
      <c r="BB26" s="553">
        <f t="shared" si="2"/>
        <v>1</v>
      </c>
    </row>
    <row r="27" spans="1:54" x14ac:dyDescent="0.35">
      <c r="A27" s="710"/>
      <c r="B27" s="561" t="s">
        <v>157</v>
      </c>
      <c r="C27" s="878">
        <v>0.05</v>
      </c>
      <c r="D27" s="878">
        <v>0.05</v>
      </c>
      <c r="E27" s="878">
        <v>0.05</v>
      </c>
      <c r="F27" s="878">
        <v>0.05</v>
      </c>
      <c r="G27" s="878"/>
      <c r="H27" s="878"/>
      <c r="I27" s="878"/>
      <c r="J27" s="878"/>
      <c r="K27" s="878"/>
      <c r="L27" s="878"/>
      <c r="M27" s="878"/>
      <c r="N27" s="878"/>
      <c r="O27" s="878"/>
      <c r="P27" s="878"/>
      <c r="Q27" s="878"/>
      <c r="R27" s="878"/>
      <c r="S27" s="878"/>
      <c r="T27" s="878"/>
      <c r="U27" s="878"/>
      <c r="V27" s="878"/>
      <c r="W27" s="878"/>
      <c r="X27" s="878"/>
      <c r="Y27" s="878"/>
      <c r="Z27" s="878"/>
      <c r="AA27" s="878"/>
      <c r="AB27" s="878"/>
      <c r="AC27" s="878"/>
      <c r="AD27" s="878"/>
      <c r="AE27" s="878"/>
      <c r="AF27" s="878"/>
      <c r="AG27" s="878"/>
      <c r="AH27" s="878"/>
      <c r="AI27" s="878"/>
      <c r="AJ27" s="878"/>
      <c r="AK27" s="878"/>
      <c r="AL27" s="878"/>
      <c r="AM27" s="878"/>
      <c r="AN27" s="878"/>
      <c r="AO27" s="878"/>
      <c r="AP27" s="878"/>
      <c r="AQ27" s="878"/>
      <c r="AR27" s="878"/>
      <c r="AS27" s="878"/>
      <c r="AT27" s="878"/>
      <c r="AU27" s="878"/>
      <c r="AV27" s="878"/>
      <c r="AW27" s="878"/>
      <c r="AX27" s="878"/>
      <c r="AY27" s="559">
        <v>1</v>
      </c>
      <c r="AZ27" s="560">
        <f t="shared" si="0"/>
        <v>0.05</v>
      </c>
      <c r="BA27" s="559">
        <f t="shared" si="1"/>
        <v>0.05</v>
      </c>
      <c r="BB27" s="553">
        <f t="shared" si="2"/>
        <v>1</v>
      </c>
    </row>
    <row r="28" spans="1:54" x14ac:dyDescent="0.35">
      <c r="A28" s="710"/>
      <c r="B28" s="561" t="s">
        <v>158</v>
      </c>
      <c r="C28" s="878">
        <v>0.33</v>
      </c>
      <c r="D28" s="878">
        <v>0.33</v>
      </c>
      <c r="E28" s="878">
        <v>0.33</v>
      </c>
      <c r="F28" s="878">
        <v>0.33</v>
      </c>
      <c r="G28" s="878"/>
      <c r="H28" s="878"/>
      <c r="I28" s="878"/>
      <c r="J28" s="878"/>
      <c r="K28" s="878"/>
      <c r="L28" s="878"/>
      <c r="M28" s="878"/>
      <c r="N28" s="878"/>
      <c r="O28" s="878"/>
      <c r="P28" s="878"/>
      <c r="Q28" s="878"/>
      <c r="R28" s="878"/>
      <c r="S28" s="878"/>
      <c r="T28" s="878"/>
      <c r="U28" s="878"/>
      <c r="V28" s="878"/>
      <c r="W28" s="878"/>
      <c r="X28" s="878"/>
      <c r="Y28" s="878"/>
      <c r="Z28" s="878"/>
      <c r="AA28" s="878"/>
      <c r="AB28" s="878"/>
      <c r="AC28" s="878"/>
      <c r="AD28" s="878"/>
      <c r="AE28" s="878"/>
      <c r="AF28" s="878"/>
      <c r="AG28" s="878"/>
      <c r="AH28" s="878"/>
      <c r="AI28" s="878"/>
      <c r="AJ28" s="878"/>
      <c r="AK28" s="878"/>
      <c r="AL28" s="878"/>
      <c r="AM28" s="878"/>
      <c r="AN28" s="878"/>
      <c r="AO28" s="878"/>
      <c r="AP28" s="878"/>
      <c r="AQ28" s="878"/>
      <c r="AR28" s="878"/>
      <c r="AS28" s="878"/>
      <c r="AT28" s="878"/>
      <c r="AU28" s="878"/>
      <c r="AV28" s="878"/>
      <c r="AW28" s="878"/>
      <c r="AX28" s="878"/>
      <c r="AY28" s="559">
        <v>1</v>
      </c>
      <c r="AZ28" s="560">
        <f t="shared" si="0"/>
        <v>0.33</v>
      </c>
      <c r="BA28" s="559">
        <f t="shared" si="1"/>
        <v>0.33</v>
      </c>
      <c r="BB28" s="553">
        <f t="shared" si="2"/>
        <v>1</v>
      </c>
    </row>
    <row r="29" spans="1:54" x14ac:dyDescent="0.35">
      <c r="A29" s="710"/>
      <c r="B29" s="561" t="s">
        <v>159</v>
      </c>
      <c r="C29" s="878">
        <v>0</v>
      </c>
      <c r="D29" s="878">
        <v>0</v>
      </c>
      <c r="E29" s="878">
        <v>0</v>
      </c>
      <c r="F29" s="878">
        <v>0</v>
      </c>
      <c r="G29" s="878"/>
      <c r="H29" s="878"/>
      <c r="I29" s="878"/>
      <c r="J29" s="878"/>
      <c r="K29" s="878"/>
      <c r="L29" s="878"/>
      <c r="M29" s="878"/>
      <c r="N29" s="878"/>
      <c r="O29" s="878"/>
      <c r="P29" s="878"/>
      <c r="Q29" s="878"/>
      <c r="R29" s="878"/>
      <c r="S29" s="878"/>
      <c r="T29" s="878"/>
      <c r="U29" s="878"/>
      <c r="V29" s="878"/>
      <c r="W29" s="878"/>
      <c r="X29" s="878"/>
      <c r="Y29" s="878"/>
      <c r="Z29" s="878"/>
      <c r="AA29" s="878"/>
      <c r="AB29" s="878"/>
      <c r="AC29" s="878"/>
      <c r="AD29" s="878"/>
      <c r="AE29" s="878"/>
      <c r="AF29" s="878"/>
      <c r="AG29" s="878"/>
      <c r="AH29" s="878"/>
      <c r="AI29" s="878"/>
      <c r="AJ29" s="878"/>
      <c r="AK29" s="878"/>
      <c r="AL29" s="878"/>
      <c r="AM29" s="878"/>
      <c r="AN29" s="878"/>
      <c r="AO29" s="878"/>
      <c r="AP29" s="878"/>
      <c r="AQ29" s="878"/>
      <c r="AR29" s="878"/>
      <c r="AS29" s="878"/>
      <c r="AT29" s="878"/>
      <c r="AU29" s="878"/>
      <c r="AV29" s="878"/>
      <c r="AW29" s="878"/>
      <c r="AX29" s="878"/>
      <c r="AY29" s="559">
        <v>1</v>
      </c>
      <c r="AZ29" s="560">
        <f t="shared" si="0"/>
        <v>0</v>
      </c>
      <c r="BA29" s="559">
        <f t="shared" si="1"/>
        <v>0</v>
      </c>
      <c r="BB29" s="553">
        <f t="shared" si="2"/>
        <v>1</v>
      </c>
    </row>
    <row r="30" spans="1:54" x14ac:dyDescent="0.35">
      <c r="A30" s="710"/>
      <c r="B30" s="561" t="s">
        <v>131</v>
      </c>
      <c r="C30" s="878">
        <v>0.19</v>
      </c>
      <c r="D30" s="878">
        <v>0.19</v>
      </c>
      <c r="E30" s="878">
        <v>0.19</v>
      </c>
      <c r="F30" s="878">
        <v>0.19</v>
      </c>
      <c r="G30" s="878"/>
      <c r="H30" s="878"/>
      <c r="I30" s="878"/>
      <c r="J30" s="878"/>
      <c r="K30" s="878"/>
      <c r="L30" s="878"/>
      <c r="M30" s="878"/>
      <c r="N30" s="878"/>
      <c r="O30" s="878"/>
      <c r="P30" s="878"/>
      <c r="Q30" s="878"/>
      <c r="R30" s="878"/>
      <c r="S30" s="878"/>
      <c r="T30" s="878"/>
      <c r="U30" s="878"/>
      <c r="V30" s="878"/>
      <c r="W30" s="878"/>
      <c r="X30" s="878"/>
      <c r="Y30" s="878"/>
      <c r="Z30" s="878"/>
      <c r="AA30" s="878"/>
      <c r="AB30" s="878"/>
      <c r="AC30" s="878"/>
      <c r="AD30" s="878"/>
      <c r="AE30" s="878"/>
      <c r="AF30" s="878"/>
      <c r="AG30" s="878"/>
      <c r="AH30" s="878"/>
      <c r="AI30" s="878"/>
      <c r="AJ30" s="878"/>
      <c r="AK30" s="878"/>
      <c r="AL30" s="878"/>
      <c r="AM30" s="878"/>
      <c r="AN30" s="878"/>
      <c r="AO30" s="878"/>
      <c r="AP30" s="878"/>
      <c r="AQ30" s="878"/>
      <c r="AR30" s="878"/>
      <c r="AS30" s="878"/>
      <c r="AT30" s="878"/>
      <c r="AU30" s="878"/>
      <c r="AV30" s="878"/>
      <c r="AW30" s="878"/>
      <c r="AX30" s="878"/>
      <c r="AY30" s="559">
        <v>1</v>
      </c>
      <c r="AZ30" s="560">
        <f t="shared" si="0"/>
        <v>0.19</v>
      </c>
      <c r="BA30" s="559">
        <f t="shared" si="1"/>
        <v>0.19</v>
      </c>
      <c r="BB30" s="553">
        <f t="shared" si="2"/>
        <v>1</v>
      </c>
    </row>
    <row r="31" spans="1:54" x14ac:dyDescent="0.35">
      <c r="A31" s="710"/>
      <c r="B31" s="561" t="s">
        <v>121</v>
      </c>
      <c r="C31" s="878">
        <v>0.15</v>
      </c>
      <c r="D31" s="878">
        <v>0.15</v>
      </c>
      <c r="E31" s="878">
        <v>0.15</v>
      </c>
      <c r="F31" s="878">
        <v>0.15</v>
      </c>
      <c r="G31" s="878"/>
      <c r="H31" s="878"/>
      <c r="I31" s="878"/>
      <c r="J31" s="878"/>
      <c r="K31" s="878"/>
      <c r="L31" s="878"/>
      <c r="M31" s="878"/>
      <c r="N31" s="878"/>
      <c r="O31" s="878"/>
      <c r="P31" s="878"/>
      <c r="Q31" s="878"/>
      <c r="R31" s="878"/>
      <c r="S31" s="878"/>
      <c r="T31" s="878"/>
      <c r="U31" s="878"/>
      <c r="V31" s="878"/>
      <c r="W31" s="878"/>
      <c r="X31" s="878"/>
      <c r="Y31" s="878"/>
      <c r="Z31" s="878"/>
      <c r="AA31" s="878"/>
      <c r="AB31" s="878"/>
      <c r="AC31" s="878"/>
      <c r="AD31" s="878"/>
      <c r="AE31" s="878"/>
      <c r="AF31" s="878"/>
      <c r="AG31" s="878"/>
      <c r="AH31" s="878"/>
      <c r="AI31" s="878"/>
      <c r="AJ31" s="878"/>
      <c r="AK31" s="878"/>
      <c r="AL31" s="878"/>
      <c r="AM31" s="878"/>
      <c r="AN31" s="878"/>
      <c r="AO31" s="878"/>
      <c r="AP31" s="878"/>
      <c r="AQ31" s="878"/>
      <c r="AR31" s="878"/>
      <c r="AS31" s="878"/>
      <c r="AT31" s="878"/>
      <c r="AU31" s="878"/>
      <c r="AV31" s="878"/>
      <c r="AW31" s="878"/>
      <c r="AX31" s="878"/>
      <c r="AY31" s="559">
        <v>1</v>
      </c>
      <c r="AZ31" s="560">
        <f t="shared" si="0"/>
        <v>0.15</v>
      </c>
      <c r="BA31" s="559">
        <f t="shared" si="1"/>
        <v>0.15</v>
      </c>
      <c r="BB31" s="553">
        <f t="shared" si="2"/>
        <v>1</v>
      </c>
    </row>
    <row r="32" spans="1:54" ht="16.5" customHeight="1" x14ac:dyDescent="0.35">
      <c r="A32" s="710" t="str">
        <f>DISTRIBUCIÓN!A51</f>
        <v>Recopilación de información de redes hidrometeorológicas hidrobiológicas y de calidad</v>
      </c>
      <c r="B32" s="561" t="s">
        <v>302</v>
      </c>
      <c r="C32" s="878">
        <v>0</v>
      </c>
      <c r="D32" s="878">
        <v>0</v>
      </c>
      <c r="E32" s="878">
        <v>0.05</v>
      </c>
      <c r="F32" s="878">
        <v>0.05</v>
      </c>
      <c r="G32" s="878"/>
      <c r="H32" s="878"/>
      <c r="I32" s="878"/>
      <c r="J32" s="878"/>
      <c r="K32" s="878"/>
      <c r="L32" s="878"/>
      <c r="M32" s="878"/>
      <c r="N32" s="878"/>
      <c r="O32" s="878"/>
      <c r="P32" s="878"/>
      <c r="Q32" s="878"/>
      <c r="R32" s="878"/>
      <c r="S32" s="878"/>
      <c r="T32" s="878"/>
      <c r="U32" s="878"/>
      <c r="V32" s="878"/>
      <c r="W32" s="878"/>
      <c r="X32" s="878"/>
      <c r="Y32" s="878"/>
      <c r="Z32" s="878"/>
      <c r="AA32" s="878"/>
      <c r="AB32" s="878"/>
      <c r="AC32" s="878"/>
      <c r="AD32" s="878"/>
      <c r="AE32" s="878"/>
      <c r="AF32" s="878"/>
      <c r="AG32" s="878"/>
      <c r="AH32" s="878"/>
      <c r="AI32" s="878"/>
      <c r="AJ32" s="878"/>
      <c r="AK32" s="878"/>
      <c r="AL32" s="878"/>
      <c r="AM32" s="878"/>
      <c r="AN32" s="878"/>
      <c r="AO32" s="878"/>
      <c r="AP32" s="878"/>
      <c r="AQ32" s="878"/>
      <c r="AR32" s="878"/>
      <c r="AS32" s="878"/>
      <c r="AT32" s="878"/>
      <c r="AU32" s="878"/>
      <c r="AV32" s="878"/>
      <c r="AW32" s="878"/>
      <c r="AX32" s="878"/>
      <c r="AY32" s="559">
        <v>1</v>
      </c>
      <c r="AZ32" s="560">
        <f t="shared" si="0"/>
        <v>0.05</v>
      </c>
      <c r="BA32" s="559">
        <f t="shared" si="1"/>
        <v>0.03</v>
      </c>
      <c r="BB32" s="553">
        <f t="shared" si="2"/>
        <v>1</v>
      </c>
    </row>
    <row r="33" spans="1:54" x14ac:dyDescent="0.35">
      <c r="A33" s="710"/>
      <c r="B33" s="561" t="s">
        <v>156</v>
      </c>
      <c r="C33" s="878">
        <v>0</v>
      </c>
      <c r="D33" s="878">
        <v>0</v>
      </c>
      <c r="E33" s="878">
        <v>0.09</v>
      </c>
      <c r="F33" s="878">
        <v>0.09</v>
      </c>
      <c r="G33" s="878"/>
      <c r="H33" s="878"/>
      <c r="I33" s="878"/>
      <c r="J33" s="878"/>
      <c r="K33" s="878"/>
      <c r="L33" s="878"/>
      <c r="M33" s="878"/>
      <c r="N33" s="878"/>
      <c r="O33" s="878"/>
      <c r="P33" s="878"/>
      <c r="Q33" s="878"/>
      <c r="R33" s="878"/>
      <c r="S33" s="878"/>
      <c r="T33" s="878"/>
      <c r="U33" s="878"/>
      <c r="V33" s="878"/>
      <c r="W33" s="878"/>
      <c r="X33" s="878"/>
      <c r="Y33" s="878"/>
      <c r="Z33" s="878"/>
      <c r="AA33" s="878"/>
      <c r="AB33" s="878"/>
      <c r="AC33" s="878"/>
      <c r="AD33" s="878"/>
      <c r="AE33" s="878"/>
      <c r="AF33" s="878"/>
      <c r="AG33" s="878"/>
      <c r="AH33" s="878"/>
      <c r="AI33" s="878"/>
      <c r="AJ33" s="878"/>
      <c r="AK33" s="878"/>
      <c r="AL33" s="878"/>
      <c r="AM33" s="878"/>
      <c r="AN33" s="878"/>
      <c r="AO33" s="878"/>
      <c r="AP33" s="878"/>
      <c r="AQ33" s="878"/>
      <c r="AR33" s="878"/>
      <c r="AS33" s="878"/>
      <c r="AT33" s="878"/>
      <c r="AU33" s="878"/>
      <c r="AV33" s="878"/>
      <c r="AW33" s="878"/>
      <c r="AX33" s="878"/>
      <c r="AY33" s="559">
        <v>1</v>
      </c>
      <c r="AZ33" s="560">
        <f t="shared" si="0"/>
        <v>0.09</v>
      </c>
      <c r="BA33" s="559">
        <f t="shared" si="1"/>
        <v>0.05</v>
      </c>
      <c r="BB33" s="553">
        <f t="shared" si="2"/>
        <v>1</v>
      </c>
    </row>
    <row r="34" spans="1:54" x14ac:dyDescent="0.35">
      <c r="A34" s="710"/>
      <c r="B34" s="561" t="s">
        <v>157</v>
      </c>
      <c r="C34" s="878">
        <v>0</v>
      </c>
      <c r="D34" s="878">
        <v>0</v>
      </c>
      <c r="E34" s="878">
        <v>0.25</v>
      </c>
      <c r="F34" s="878">
        <v>0.25</v>
      </c>
      <c r="G34" s="878"/>
      <c r="H34" s="878"/>
      <c r="I34" s="878"/>
      <c r="J34" s="878"/>
      <c r="K34" s="878"/>
      <c r="L34" s="878"/>
      <c r="M34" s="878"/>
      <c r="N34" s="878"/>
      <c r="O34" s="878"/>
      <c r="P34" s="878"/>
      <c r="Q34" s="878"/>
      <c r="R34" s="878"/>
      <c r="S34" s="878"/>
      <c r="T34" s="878"/>
      <c r="U34" s="878"/>
      <c r="V34" s="878"/>
      <c r="W34" s="878"/>
      <c r="X34" s="878"/>
      <c r="Y34" s="878"/>
      <c r="Z34" s="878"/>
      <c r="AA34" s="878"/>
      <c r="AB34" s="878"/>
      <c r="AC34" s="878"/>
      <c r="AD34" s="878"/>
      <c r="AE34" s="878"/>
      <c r="AF34" s="878"/>
      <c r="AG34" s="878"/>
      <c r="AH34" s="878"/>
      <c r="AI34" s="878"/>
      <c r="AJ34" s="878"/>
      <c r="AK34" s="878"/>
      <c r="AL34" s="878"/>
      <c r="AM34" s="878"/>
      <c r="AN34" s="878"/>
      <c r="AO34" s="878"/>
      <c r="AP34" s="878"/>
      <c r="AQ34" s="878"/>
      <c r="AR34" s="878"/>
      <c r="AS34" s="878"/>
      <c r="AT34" s="878"/>
      <c r="AU34" s="878"/>
      <c r="AV34" s="878"/>
      <c r="AW34" s="878"/>
      <c r="AX34" s="878"/>
      <c r="AY34" s="559">
        <v>1</v>
      </c>
      <c r="AZ34" s="560">
        <f t="shared" si="0"/>
        <v>0.25</v>
      </c>
      <c r="BA34" s="559">
        <f t="shared" si="1"/>
        <v>0.13</v>
      </c>
      <c r="BB34" s="553">
        <f t="shared" si="2"/>
        <v>1</v>
      </c>
    </row>
    <row r="35" spans="1:54" x14ac:dyDescent="0.35">
      <c r="A35" s="710"/>
      <c r="B35" s="561" t="s">
        <v>158</v>
      </c>
      <c r="C35" s="878">
        <v>0</v>
      </c>
      <c r="D35" s="878">
        <v>0</v>
      </c>
      <c r="E35" s="878">
        <v>0</v>
      </c>
      <c r="F35" s="878">
        <v>0</v>
      </c>
      <c r="G35" s="878"/>
      <c r="H35" s="878"/>
      <c r="I35" s="878"/>
      <c r="J35" s="878"/>
      <c r="K35" s="878"/>
      <c r="L35" s="878"/>
      <c r="M35" s="878"/>
      <c r="N35" s="878"/>
      <c r="O35" s="878"/>
      <c r="P35" s="878"/>
      <c r="Q35" s="878"/>
      <c r="R35" s="878"/>
      <c r="S35" s="878"/>
      <c r="T35" s="878"/>
      <c r="U35" s="878"/>
      <c r="V35" s="878"/>
      <c r="W35" s="878"/>
      <c r="X35" s="878"/>
      <c r="Y35" s="878"/>
      <c r="Z35" s="878"/>
      <c r="AA35" s="878"/>
      <c r="AB35" s="878"/>
      <c r="AC35" s="878"/>
      <c r="AD35" s="878"/>
      <c r="AE35" s="878"/>
      <c r="AF35" s="878"/>
      <c r="AG35" s="878"/>
      <c r="AH35" s="878"/>
      <c r="AI35" s="878"/>
      <c r="AJ35" s="878"/>
      <c r="AK35" s="878"/>
      <c r="AL35" s="878"/>
      <c r="AM35" s="878"/>
      <c r="AN35" s="878"/>
      <c r="AO35" s="878"/>
      <c r="AP35" s="878"/>
      <c r="AQ35" s="878"/>
      <c r="AR35" s="878"/>
      <c r="AS35" s="878"/>
      <c r="AT35" s="878"/>
      <c r="AU35" s="878"/>
      <c r="AV35" s="878"/>
      <c r="AW35" s="878"/>
      <c r="AX35" s="878"/>
      <c r="AY35" s="559">
        <v>1</v>
      </c>
      <c r="AZ35" s="560">
        <f t="shared" si="0"/>
        <v>0</v>
      </c>
      <c r="BA35" s="559">
        <f t="shared" si="1"/>
        <v>0</v>
      </c>
      <c r="BB35" s="553">
        <f t="shared" si="2"/>
        <v>1</v>
      </c>
    </row>
    <row r="36" spans="1:54" x14ac:dyDescent="0.35">
      <c r="A36" s="710"/>
      <c r="B36" s="561" t="s">
        <v>159</v>
      </c>
      <c r="C36" s="878">
        <v>0</v>
      </c>
      <c r="D36" s="878">
        <v>0</v>
      </c>
      <c r="E36" s="878">
        <v>0</v>
      </c>
      <c r="F36" s="878">
        <v>0</v>
      </c>
      <c r="G36" s="878"/>
      <c r="H36" s="878"/>
      <c r="I36" s="878"/>
      <c r="J36" s="878"/>
      <c r="K36" s="878"/>
      <c r="L36" s="878"/>
      <c r="M36" s="878"/>
      <c r="N36" s="878"/>
      <c r="O36" s="878"/>
      <c r="P36" s="878"/>
      <c r="Q36" s="878"/>
      <c r="R36" s="878"/>
      <c r="S36" s="878"/>
      <c r="T36" s="878"/>
      <c r="U36" s="878"/>
      <c r="V36" s="878"/>
      <c r="W36" s="878"/>
      <c r="X36" s="878"/>
      <c r="Y36" s="878"/>
      <c r="Z36" s="878"/>
      <c r="AA36" s="878"/>
      <c r="AB36" s="878"/>
      <c r="AC36" s="878"/>
      <c r="AD36" s="878"/>
      <c r="AE36" s="878"/>
      <c r="AF36" s="878"/>
      <c r="AG36" s="878"/>
      <c r="AH36" s="878"/>
      <c r="AI36" s="878"/>
      <c r="AJ36" s="878"/>
      <c r="AK36" s="878"/>
      <c r="AL36" s="878"/>
      <c r="AM36" s="878"/>
      <c r="AN36" s="878"/>
      <c r="AO36" s="878"/>
      <c r="AP36" s="878"/>
      <c r="AQ36" s="878"/>
      <c r="AR36" s="878"/>
      <c r="AS36" s="878"/>
      <c r="AT36" s="878"/>
      <c r="AU36" s="878"/>
      <c r="AV36" s="878"/>
      <c r="AW36" s="878"/>
      <c r="AX36" s="878"/>
      <c r="AY36" s="559">
        <v>1</v>
      </c>
      <c r="AZ36" s="560">
        <f t="shared" si="0"/>
        <v>0</v>
      </c>
      <c r="BA36" s="559">
        <f t="shared" si="1"/>
        <v>0</v>
      </c>
      <c r="BB36" s="553">
        <f t="shared" si="2"/>
        <v>1</v>
      </c>
    </row>
    <row r="37" spans="1:54" x14ac:dyDescent="0.35">
      <c r="A37" s="710"/>
      <c r="B37" s="561" t="s">
        <v>131</v>
      </c>
      <c r="C37" s="878">
        <v>0</v>
      </c>
      <c r="D37" s="878">
        <v>0</v>
      </c>
      <c r="E37" s="878">
        <v>0.05</v>
      </c>
      <c r="F37" s="878">
        <v>0.05</v>
      </c>
      <c r="G37" s="878"/>
      <c r="H37" s="878"/>
      <c r="I37" s="878"/>
      <c r="J37" s="878"/>
      <c r="K37" s="878"/>
      <c r="L37" s="878"/>
      <c r="M37" s="878"/>
      <c r="N37" s="878"/>
      <c r="O37" s="878"/>
      <c r="P37" s="878"/>
      <c r="Q37" s="878"/>
      <c r="R37" s="878"/>
      <c r="S37" s="878"/>
      <c r="T37" s="878"/>
      <c r="U37" s="878"/>
      <c r="V37" s="878"/>
      <c r="W37" s="878"/>
      <c r="X37" s="878"/>
      <c r="Y37" s="878"/>
      <c r="Z37" s="878"/>
      <c r="AA37" s="878"/>
      <c r="AB37" s="878"/>
      <c r="AC37" s="878"/>
      <c r="AD37" s="878"/>
      <c r="AE37" s="878"/>
      <c r="AF37" s="878"/>
      <c r="AG37" s="878"/>
      <c r="AH37" s="878"/>
      <c r="AI37" s="878"/>
      <c r="AJ37" s="878"/>
      <c r="AK37" s="878"/>
      <c r="AL37" s="878"/>
      <c r="AM37" s="878"/>
      <c r="AN37" s="878"/>
      <c r="AO37" s="878"/>
      <c r="AP37" s="878"/>
      <c r="AQ37" s="878"/>
      <c r="AR37" s="878"/>
      <c r="AS37" s="878"/>
      <c r="AT37" s="878"/>
      <c r="AU37" s="878"/>
      <c r="AV37" s="878"/>
      <c r="AW37" s="878"/>
      <c r="AX37" s="878"/>
      <c r="AY37" s="559">
        <v>1</v>
      </c>
      <c r="AZ37" s="560">
        <f t="shared" si="0"/>
        <v>0.05</v>
      </c>
      <c r="BA37" s="559">
        <f t="shared" si="1"/>
        <v>0.03</v>
      </c>
      <c r="BB37" s="553">
        <f t="shared" si="2"/>
        <v>1</v>
      </c>
    </row>
    <row r="38" spans="1:54" x14ac:dyDescent="0.35">
      <c r="A38" s="710"/>
      <c r="B38" s="561" t="s">
        <v>121</v>
      </c>
      <c r="C38" s="878">
        <v>0</v>
      </c>
      <c r="D38" s="878">
        <v>0</v>
      </c>
      <c r="E38" s="878">
        <v>0</v>
      </c>
      <c r="F38" s="878">
        <v>0</v>
      </c>
      <c r="G38" s="878"/>
      <c r="H38" s="878"/>
      <c r="I38" s="878"/>
      <c r="J38" s="878"/>
      <c r="K38" s="878"/>
      <c r="L38" s="878"/>
      <c r="M38" s="878"/>
      <c r="N38" s="878"/>
      <c r="O38" s="878"/>
      <c r="P38" s="878"/>
      <c r="Q38" s="878"/>
      <c r="R38" s="878"/>
      <c r="S38" s="878"/>
      <c r="T38" s="878"/>
      <c r="U38" s="878"/>
      <c r="V38" s="878"/>
      <c r="W38" s="878"/>
      <c r="X38" s="878"/>
      <c r="Y38" s="878"/>
      <c r="Z38" s="878"/>
      <c r="AA38" s="878"/>
      <c r="AB38" s="878"/>
      <c r="AC38" s="878"/>
      <c r="AD38" s="878"/>
      <c r="AE38" s="878"/>
      <c r="AF38" s="878"/>
      <c r="AG38" s="878"/>
      <c r="AH38" s="878"/>
      <c r="AI38" s="878"/>
      <c r="AJ38" s="878"/>
      <c r="AK38" s="878"/>
      <c r="AL38" s="878"/>
      <c r="AM38" s="878"/>
      <c r="AN38" s="878"/>
      <c r="AO38" s="878"/>
      <c r="AP38" s="878"/>
      <c r="AQ38" s="878"/>
      <c r="AR38" s="878"/>
      <c r="AS38" s="878"/>
      <c r="AT38" s="878"/>
      <c r="AU38" s="878"/>
      <c r="AV38" s="878"/>
      <c r="AW38" s="878"/>
      <c r="AX38" s="878"/>
      <c r="AY38" s="559">
        <v>1</v>
      </c>
      <c r="AZ38" s="560">
        <f t="shared" si="0"/>
        <v>0</v>
      </c>
      <c r="BA38" s="559">
        <f t="shared" si="1"/>
        <v>0</v>
      </c>
      <c r="BB38" s="553">
        <f t="shared" si="2"/>
        <v>1</v>
      </c>
    </row>
    <row r="39" spans="1:54" ht="16.5" customHeight="1" x14ac:dyDescent="0.35">
      <c r="A39" s="710" t="str">
        <f>DISTRIBUCIÓN!A52</f>
        <v>Identificación preliminar de usuarios y clasificación de los usos actuales</v>
      </c>
      <c r="B39" s="561" t="s">
        <v>302</v>
      </c>
      <c r="C39" s="878">
        <v>0</v>
      </c>
      <c r="D39" s="878">
        <v>0.05</v>
      </c>
      <c r="E39" s="878">
        <v>0.05</v>
      </c>
      <c r="F39" s="878">
        <v>0.05</v>
      </c>
      <c r="G39" s="878"/>
      <c r="H39" s="878"/>
      <c r="I39" s="878"/>
      <c r="J39" s="878"/>
      <c r="K39" s="878"/>
      <c r="L39" s="878"/>
      <c r="M39" s="878"/>
      <c r="N39" s="878"/>
      <c r="O39" s="878"/>
      <c r="P39" s="878"/>
      <c r="Q39" s="878"/>
      <c r="R39" s="878"/>
      <c r="S39" s="878"/>
      <c r="T39" s="878"/>
      <c r="U39" s="878"/>
      <c r="V39" s="878"/>
      <c r="W39" s="878"/>
      <c r="X39" s="878"/>
      <c r="Y39" s="878"/>
      <c r="Z39" s="878"/>
      <c r="AA39" s="878"/>
      <c r="AB39" s="878"/>
      <c r="AC39" s="878"/>
      <c r="AD39" s="878"/>
      <c r="AE39" s="878"/>
      <c r="AF39" s="878"/>
      <c r="AG39" s="878"/>
      <c r="AH39" s="878"/>
      <c r="AI39" s="878"/>
      <c r="AJ39" s="878"/>
      <c r="AK39" s="878"/>
      <c r="AL39" s="878"/>
      <c r="AM39" s="878"/>
      <c r="AN39" s="878"/>
      <c r="AO39" s="878"/>
      <c r="AP39" s="878"/>
      <c r="AQ39" s="878"/>
      <c r="AR39" s="878"/>
      <c r="AS39" s="878"/>
      <c r="AT39" s="878"/>
      <c r="AU39" s="878"/>
      <c r="AV39" s="878"/>
      <c r="AW39" s="878"/>
      <c r="AX39" s="878"/>
      <c r="AY39" s="559">
        <v>1</v>
      </c>
      <c r="AZ39" s="560">
        <f t="shared" si="0"/>
        <v>0.05</v>
      </c>
      <c r="BA39" s="559">
        <f t="shared" si="1"/>
        <v>0.04</v>
      </c>
      <c r="BB39" s="553">
        <f t="shared" si="2"/>
        <v>1</v>
      </c>
    </row>
    <row r="40" spans="1:54" x14ac:dyDescent="0.35">
      <c r="A40" s="710"/>
      <c r="B40" s="561" t="s">
        <v>156</v>
      </c>
      <c r="C40" s="878">
        <v>0</v>
      </c>
      <c r="D40" s="878">
        <v>0.09</v>
      </c>
      <c r="E40" s="878">
        <v>0.09</v>
      </c>
      <c r="F40" s="878">
        <v>0.09</v>
      </c>
      <c r="G40" s="878"/>
      <c r="H40" s="878"/>
      <c r="I40" s="878"/>
      <c r="J40" s="878"/>
      <c r="K40" s="878"/>
      <c r="L40" s="878"/>
      <c r="M40" s="878"/>
      <c r="N40" s="878"/>
      <c r="O40" s="878"/>
      <c r="P40" s="878"/>
      <c r="Q40" s="878"/>
      <c r="R40" s="878"/>
      <c r="S40" s="878"/>
      <c r="T40" s="878"/>
      <c r="U40" s="878"/>
      <c r="V40" s="878"/>
      <c r="W40" s="878"/>
      <c r="X40" s="878"/>
      <c r="Y40" s="878"/>
      <c r="Z40" s="878"/>
      <c r="AA40" s="878"/>
      <c r="AB40" s="878"/>
      <c r="AC40" s="878"/>
      <c r="AD40" s="878"/>
      <c r="AE40" s="878"/>
      <c r="AF40" s="878"/>
      <c r="AG40" s="878"/>
      <c r="AH40" s="878"/>
      <c r="AI40" s="878"/>
      <c r="AJ40" s="878"/>
      <c r="AK40" s="878"/>
      <c r="AL40" s="878"/>
      <c r="AM40" s="878"/>
      <c r="AN40" s="878"/>
      <c r="AO40" s="878"/>
      <c r="AP40" s="878"/>
      <c r="AQ40" s="878"/>
      <c r="AR40" s="878"/>
      <c r="AS40" s="878"/>
      <c r="AT40" s="878"/>
      <c r="AU40" s="878"/>
      <c r="AV40" s="878"/>
      <c r="AW40" s="878"/>
      <c r="AX40" s="878"/>
      <c r="AY40" s="559">
        <v>1</v>
      </c>
      <c r="AZ40" s="560">
        <f t="shared" si="0"/>
        <v>0.09</v>
      </c>
      <c r="BA40" s="559">
        <f t="shared" si="1"/>
        <v>7.0000000000000007E-2</v>
      </c>
      <c r="BB40" s="553">
        <f t="shared" si="2"/>
        <v>1</v>
      </c>
    </row>
    <row r="41" spans="1:54" x14ac:dyDescent="0.35">
      <c r="A41" s="710"/>
      <c r="B41" s="561" t="s">
        <v>157</v>
      </c>
      <c r="C41" s="878">
        <v>0</v>
      </c>
      <c r="D41" s="878">
        <v>0</v>
      </c>
      <c r="E41" s="878">
        <v>0</v>
      </c>
      <c r="F41" s="878">
        <v>0</v>
      </c>
      <c r="G41" s="878"/>
      <c r="H41" s="878"/>
      <c r="I41" s="878"/>
      <c r="J41" s="878"/>
      <c r="K41" s="878"/>
      <c r="L41" s="878"/>
      <c r="M41" s="878"/>
      <c r="N41" s="878"/>
      <c r="O41" s="878"/>
      <c r="P41" s="878"/>
      <c r="Q41" s="878"/>
      <c r="R41" s="878"/>
      <c r="S41" s="878"/>
      <c r="T41" s="878"/>
      <c r="U41" s="878"/>
      <c r="V41" s="878"/>
      <c r="W41" s="878"/>
      <c r="X41" s="878"/>
      <c r="Y41" s="878"/>
      <c r="Z41" s="878"/>
      <c r="AA41" s="878"/>
      <c r="AB41" s="878"/>
      <c r="AC41" s="878"/>
      <c r="AD41" s="878"/>
      <c r="AE41" s="878"/>
      <c r="AF41" s="878"/>
      <c r="AG41" s="878"/>
      <c r="AH41" s="878"/>
      <c r="AI41" s="878"/>
      <c r="AJ41" s="878"/>
      <c r="AK41" s="878"/>
      <c r="AL41" s="878"/>
      <c r="AM41" s="878"/>
      <c r="AN41" s="878"/>
      <c r="AO41" s="878"/>
      <c r="AP41" s="878"/>
      <c r="AQ41" s="878"/>
      <c r="AR41" s="878"/>
      <c r="AS41" s="878"/>
      <c r="AT41" s="878"/>
      <c r="AU41" s="878"/>
      <c r="AV41" s="878"/>
      <c r="AW41" s="878"/>
      <c r="AX41" s="878"/>
      <c r="AY41" s="559">
        <v>1</v>
      </c>
      <c r="AZ41" s="560">
        <f t="shared" si="0"/>
        <v>0</v>
      </c>
      <c r="BA41" s="559">
        <f t="shared" si="1"/>
        <v>0</v>
      </c>
      <c r="BB41" s="553">
        <f t="shared" si="2"/>
        <v>1</v>
      </c>
    </row>
    <row r="42" spans="1:54" x14ac:dyDescent="0.35">
      <c r="A42" s="710"/>
      <c r="B42" s="561" t="s">
        <v>158</v>
      </c>
      <c r="C42" s="878">
        <v>0</v>
      </c>
      <c r="D42" s="878">
        <v>0.16</v>
      </c>
      <c r="E42" s="878">
        <v>0.16</v>
      </c>
      <c r="F42" s="878">
        <v>0.16</v>
      </c>
      <c r="G42" s="878"/>
      <c r="H42" s="878"/>
      <c r="I42" s="878"/>
      <c r="J42" s="878"/>
      <c r="K42" s="878"/>
      <c r="L42" s="878"/>
      <c r="M42" s="878"/>
      <c r="N42" s="878"/>
      <c r="O42" s="878"/>
      <c r="P42" s="878"/>
      <c r="Q42" s="878"/>
      <c r="R42" s="878"/>
      <c r="S42" s="878"/>
      <c r="T42" s="878"/>
      <c r="U42" s="878"/>
      <c r="V42" s="878"/>
      <c r="W42" s="878"/>
      <c r="X42" s="878"/>
      <c r="Y42" s="878"/>
      <c r="Z42" s="878"/>
      <c r="AA42" s="878"/>
      <c r="AB42" s="878"/>
      <c r="AC42" s="878"/>
      <c r="AD42" s="878"/>
      <c r="AE42" s="878"/>
      <c r="AF42" s="878"/>
      <c r="AG42" s="878"/>
      <c r="AH42" s="878"/>
      <c r="AI42" s="878"/>
      <c r="AJ42" s="878"/>
      <c r="AK42" s="878"/>
      <c r="AL42" s="878"/>
      <c r="AM42" s="878"/>
      <c r="AN42" s="878"/>
      <c r="AO42" s="878"/>
      <c r="AP42" s="878"/>
      <c r="AQ42" s="878"/>
      <c r="AR42" s="878"/>
      <c r="AS42" s="878"/>
      <c r="AT42" s="878"/>
      <c r="AU42" s="878"/>
      <c r="AV42" s="878"/>
      <c r="AW42" s="878"/>
      <c r="AX42" s="878"/>
      <c r="AY42" s="559">
        <v>1</v>
      </c>
      <c r="AZ42" s="560">
        <f t="shared" si="0"/>
        <v>0.16</v>
      </c>
      <c r="BA42" s="559">
        <f t="shared" si="1"/>
        <v>0.12</v>
      </c>
      <c r="BB42" s="553">
        <f t="shared" si="2"/>
        <v>1</v>
      </c>
    </row>
    <row r="43" spans="1:54" x14ac:dyDescent="0.35">
      <c r="A43" s="710"/>
      <c r="B43" s="561" t="s">
        <v>159</v>
      </c>
      <c r="C43" s="878">
        <v>0</v>
      </c>
      <c r="D43" s="878">
        <v>0</v>
      </c>
      <c r="E43" s="878">
        <v>0</v>
      </c>
      <c r="F43" s="878">
        <v>0</v>
      </c>
      <c r="G43" s="878"/>
      <c r="H43" s="878"/>
      <c r="I43" s="878"/>
      <c r="J43" s="878"/>
      <c r="K43" s="878"/>
      <c r="L43" s="878"/>
      <c r="M43" s="878"/>
      <c r="N43" s="878"/>
      <c r="O43" s="878"/>
      <c r="P43" s="878"/>
      <c r="Q43" s="878"/>
      <c r="R43" s="878"/>
      <c r="S43" s="878"/>
      <c r="T43" s="878"/>
      <c r="U43" s="878"/>
      <c r="V43" s="878"/>
      <c r="W43" s="878"/>
      <c r="X43" s="878"/>
      <c r="Y43" s="878"/>
      <c r="Z43" s="878"/>
      <c r="AA43" s="878"/>
      <c r="AB43" s="878"/>
      <c r="AC43" s="878"/>
      <c r="AD43" s="878"/>
      <c r="AE43" s="878"/>
      <c r="AF43" s="878"/>
      <c r="AG43" s="878"/>
      <c r="AH43" s="878"/>
      <c r="AI43" s="878"/>
      <c r="AJ43" s="878"/>
      <c r="AK43" s="878"/>
      <c r="AL43" s="878"/>
      <c r="AM43" s="878"/>
      <c r="AN43" s="878"/>
      <c r="AO43" s="878"/>
      <c r="AP43" s="878"/>
      <c r="AQ43" s="878"/>
      <c r="AR43" s="878"/>
      <c r="AS43" s="878"/>
      <c r="AT43" s="878"/>
      <c r="AU43" s="878"/>
      <c r="AV43" s="878"/>
      <c r="AW43" s="878"/>
      <c r="AX43" s="878"/>
      <c r="AY43" s="559">
        <v>1</v>
      </c>
      <c r="AZ43" s="560">
        <f t="shared" si="0"/>
        <v>0</v>
      </c>
      <c r="BA43" s="559">
        <f t="shared" si="1"/>
        <v>0</v>
      </c>
      <c r="BB43" s="553">
        <f t="shared" si="2"/>
        <v>1</v>
      </c>
    </row>
    <row r="44" spans="1:54" x14ac:dyDescent="0.35">
      <c r="A44" s="710"/>
      <c r="B44" s="561" t="s">
        <v>131</v>
      </c>
      <c r="C44" s="878">
        <v>0</v>
      </c>
      <c r="D44" s="878">
        <v>0.05</v>
      </c>
      <c r="E44" s="878">
        <v>0.05</v>
      </c>
      <c r="F44" s="878">
        <v>0.05</v>
      </c>
      <c r="G44" s="878"/>
      <c r="H44" s="878"/>
      <c r="I44" s="878"/>
      <c r="J44" s="878"/>
      <c r="K44" s="878"/>
      <c r="L44" s="878"/>
      <c r="M44" s="878"/>
      <c r="N44" s="878"/>
      <c r="O44" s="878"/>
      <c r="P44" s="878"/>
      <c r="Q44" s="878"/>
      <c r="R44" s="878"/>
      <c r="S44" s="878"/>
      <c r="T44" s="878"/>
      <c r="U44" s="878"/>
      <c r="V44" s="878"/>
      <c r="W44" s="878"/>
      <c r="X44" s="878"/>
      <c r="Y44" s="878"/>
      <c r="Z44" s="878"/>
      <c r="AA44" s="878"/>
      <c r="AB44" s="878"/>
      <c r="AC44" s="878"/>
      <c r="AD44" s="878"/>
      <c r="AE44" s="878"/>
      <c r="AF44" s="878"/>
      <c r="AG44" s="878"/>
      <c r="AH44" s="878"/>
      <c r="AI44" s="878"/>
      <c r="AJ44" s="878"/>
      <c r="AK44" s="878"/>
      <c r="AL44" s="878"/>
      <c r="AM44" s="878"/>
      <c r="AN44" s="878"/>
      <c r="AO44" s="878"/>
      <c r="AP44" s="878"/>
      <c r="AQ44" s="878"/>
      <c r="AR44" s="878"/>
      <c r="AS44" s="878"/>
      <c r="AT44" s="878"/>
      <c r="AU44" s="878"/>
      <c r="AV44" s="878"/>
      <c r="AW44" s="878"/>
      <c r="AX44" s="878"/>
      <c r="AY44" s="559">
        <v>1</v>
      </c>
      <c r="AZ44" s="560">
        <f t="shared" si="0"/>
        <v>0.05</v>
      </c>
      <c r="BA44" s="559">
        <f t="shared" si="1"/>
        <v>0.04</v>
      </c>
      <c r="BB44" s="553">
        <f t="shared" si="2"/>
        <v>1</v>
      </c>
    </row>
    <row r="45" spans="1:54" x14ac:dyDescent="0.35">
      <c r="A45" s="710"/>
      <c r="B45" s="561" t="s">
        <v>121</v>
      </c>
      <c r="C45" s="878">
        <v>0</v>
      </c>
      <c r="D45" s="878">
        <v>0.1</v>
      </c>
      <c r="E45" s="878">
        <v>0.1</v>
      </c>
      <c r="F45" s="878">
        <v>0.1</v>
      </c>
      <c r="G45" s="878"/>
      <c r="H45" s="878"/>
      <c r="I45" s="878"/>
      <c r="J45" s="878"/>
      <c r="K45" s="878"/>
      <c r="L45" s="878"/>
      <c r="M45" s="878"/>
      <c r="N45" s="878"/>
      <c r="O45" s="878"/>
      <c r="P45" s="878"/>
      <c r="Q45" s="878"/>
      <c r="R45" s="878"/>
      <c r="S45" s="878"/>
      <c r="T45" s="878"/>
      <c r="U45" s="878"/>
      <c r="V45" s="878"/>
      <c r="W45" s="878"/>
      <c r="X45" s="878"/>
      <c r="Y45" s="878"/>
      <c r="Z45" s="878"/>
      <c r="AA45" s="878"/>
      <c r="AB45" s="878"/>
      <c r="AC45" s="878"/>
      <c r="AD45" s="878"/>
      <c r="AE45" s="878"/>
      <c r="AF45" s="878"/>
      <c r="AG45" s="878"/>
      <c r="AH45" s="878"/>
      <c r="AI45" s="878"/>
      <c r="AJ45" s="878"/>
      <c r="AK45" s="878"/>
      <c r="AL45" s="878"/>
      <c r="AM45" s="878"/>
      <c r="AN45" s="878"/>
      <c r="AO45" s="878"/>
      <c r="AP45" s="878"/>
      <c r="AQ45" s="878"/>
      <c r="AR45" s="878"/>
      <c r="AS45" s="878"/>
      <c r="AT45" s="878"/>
      <c r="AU45" s="878"/>
      <c r="AV45" s="878"/>
      <c r="AW45" s="878"/>
      <c r="AX45" s="878"/>
      <c r="AY45" s="559">
        <v>1</v>
      </c>
      <c r="AZ45" s="560">
        <f t="shared" si="0"/>
        <v>0.1</v>
      </c>
      <c r="BA45" s="559">
        <f t="shared" si="1"/>
        <v>0.08</v>
      </c>
      <c r="BB45" s="553">
        <f t="shared" si="2"/>
        <v>1</v>
      </c>
    </row>
    <row r="46" spans="1:54" x14ac:dyDescent="0.35">
      <c r="A46" s="710" t="str">
        <f>DISTRIBUCIÓN!A53</f>
        <v>Revisión de información asociada a los conflictos por uso del recurso hídrico</v>
      </c>
      <c r="B46" s="561" t="s">
        <v>302</v>
      </c>
      <c r="C46" s="878">
        <v>0</v>
      </c>
      <c r="D46" s="878">
        <v>0.05</v>
      </c>
      <c r="E46" s="878">
        <v>0.05</v>
      </c>
      <c r="F46" s="878">
        <v>0.05</v>
      </c>
      <c r="G46" s="878"/>
      <c r="H46" s="878"/>
      <c r="I46" s="878"/>
      <c r="J46" s="878"/>
      <c r="K46" s="878"/>
      <c r="L46" s="878"/>
      <c r="M46" s="878"/>
      <c r="N46" s="878"/>
      <c r="O46" s="878"/>
      <c r="P46" s="878"/>
      <c r="Q46" s="878"/>
      <c r="R46" s="878"/>
      <c r="S46" s="878"/>
      <c r="T46" s="878"/>
      <c r="U46" s="878"/>
      <c r="V46" s="878"/>
      <c r="W46" s="878"/>
      <c r="X46" s="878"/>
      <c r="Y46" s="878"/>
      <c r="Z46" s="878"/>
      <c r="AA46" s="878"/>
      <c r="AB46" s="878"/>
      <c r="AC46" s="878"/>
      <c r="AD46" s="878"/>
      <c r="AE46" s="878"/>
      <c r="AF46" s="878"/>
      <c r="AG46" s="878"/>
      <c r="AH46" s="878"/>
      <c r="AI46" s="878"/>
      <c r="AJ46" s="878"/>
      <c r="AK46" s="878"/>
      <c r="AL46" s="878"/>
      <c r="AM46" s="878"/>
      <c r="AN46" s="878"/>
      <c r="AO46" s="878"/>
      <c r="AP46" s="878"/>
      <c r="AQ46" s="878"/>
      <c r="AR46" s="878"/>
      <c r="AS46" s="878"/>
      <c r="AT46" s="878"/>
      <c r="AU46" s="878"/>
      <c r="AV46" s="878"/>
      <c r="AW46" s="878"/>
      <c r="AX46" s="878"/>
      <c r="AY46" s="559">
        <v>1</v>
      </c>
      <c r="AZ46" s="560">
        <f t="shared" si="0"/>
        <v>0.05</v>
      </c>
      <c r="BA46" s="559">
        <f t="shared" si="1"/>
        <v>0.04</v>
      </c>
      <c r="BB46" s="553">
        <f t="shared" si="2"/>
        <v>1</v>
      </c>
    </row>
    <row r="47" spans="1:54" x14ac:dyDescent="0.35">
      <c r="A47" s="710"/>
      <c r="B47" s="561" t="s">
        <v>156</v>
      </c>
      <c r="C47" s="878">
        <v>0</v>
      </c>
      <c r="D47" s="878">
        <v>0.09</v>
      </c>
      <c r="E47" s="878">
        <v>0.09</v>
      </c>
      <c r="F47" s="878">
        <v>0.09</v>
      </c>
      <c r="G47" s="878"/>
      <c r="H47" s="878"/>
      <c r="I47" s="878"/>
      <c r="J47" s="878"/>
      <c r="K47" s="878"/>
      <c r="L47" s="878"/>
      <c r="M47" s="878"/>
      <c r="N47" s="878"/>
      <c r="O47" s="878"/>
      <c r="P47" s="878"/>
      <c r="Q47" s="878"/>
      <c r="R47" s="878"/>
      <c r="S47" s="878"/>
      <c r="T47" s="878"/>
      <c r="U47" s="878"/>
      <c r="V47" s="878"/>
      <c r="W47" s="878"/>
      <c r="X47" s="878"/>
      <c r="Y47" s="878"/>
      <c r="Z47" s="878"/>
      <c r="AA47" s="878"/>
      <c r="AB47" s="878"/>
      <c r="AC47" s="878"/>
      <c r="AD47" s="878"/>
      <c r="AE47" s="878"/>
      <c r="AF47" s="878"/>
      <c r="AG47" s="878"/>
      <c r="AH47" s="878"/>
      <c r="AI47" s="878"/>
      <c r="AJ47" s="878"/>
      <c r="AK47" s="878"/>
      <c r="AL47" s="878"/>
      <c r="AM47" s="878"/>
      <c r="AN47" s="878"/>
      <c r="AO47" s="878"/>
      <c r="AP47" s="878"/>
      <c r="AQ47" s="878"/>
      <c r="AR47" s="878"/>
      <c r="AS47" s="878"/>
      <c r="AT47" s="878"/>
      <c r="AU47" s="878"/>
      <c r="AV47" s="878"/>
      <c r="AW47" s="878"/>
      <c r="AX47" s="878"/>
      <c r="AY47" s="559">
        <v>1</v>
      </c>
      <c r="AZ47" s="560">
        <f t="shared" si="0"/>
        <v>0.09</v>
      </c>
      <c r="BA47" s="559">
        <f t="shared" si="1"/>
        <v>7.0000000000000007E-2</v>
      </c>
      <c r="BB47" s="553">
        <f t="shared" si="2"/>
        <v>1</v>
      </c>
    </row>
    <row r="48" spans="1:54" x14ac:dyDescent="0.35">
      <c r="A48" s="710"/>
      <c r="B48" s="561" t="s">
        <v>157</v>
      </c>
      <c r="C48" s="878">
        <v>0</v>
      </c>
      <c r="D48" s="878">
        <v>0.05</v>
      </c>
      <c r="E48" s="878">
        <v>0.05</v>
      </c>
      <c r="F48" s="878">
        <v>0.05</v>
      </c>
      <c r="G48" s="878"/>
      <c r="H48" s="878"/>
      <c r="I48" s="878"/>
      <c r="J48" s="878"/>
      <c r="K48" s="878"/>
      <c r="L48" s="878"/>
      <c r="M48" s="878"/>
      <c r="N48" s="878"/>
      <c r="O48" s="878"/>
      <c r="P48" s="878"/>
      <c r="Q48" s="878"/>
      <c r="R48" s="878"/>
      <c r="S48" s="878"/>
      <c r="T48" s="878"/>
      <c r="U48" s="878"/>
      <c r="V48" s="878"/>
      <c r="W48" s="878"/>
      <c r="X48" s="878"/>
      <c r="Y48" s="878"/>
      <c r="Z48" s="878"/>
      <c r="AA48" s="878"/>
      <c r="AB48" s="878"/>
      <c r="AC48" s="878"/>
      <c r="AD48" s="878"/>
      <c r="AE48" s="878"/>
      <c r="AF48" s="878"/>
      <c r="AG48" s="878"/>
      <c r="AH48" s="878"/>
      <c r="AI48" s="878"/>
      <c r="AJ48" s="878"/>
      <c r="AK48" s="878"/>
      <c r="AL48" s="878"/>
      <c r="AM48" s="878"/>
      <c r="AN48" s="878"/>
      <c r="AO48" s="878"/>
      <c r="AP48" s="878"/>
      <c r="AQ48" s="878"/>
      <c r="AR48" s="878"/>
      <c r="AS48" s="878"/>
      <c r="AT48" s="878"/>
      <c r="AU48" s="878"/>
      <c r="AV48" s="878"/>
      <c r="AW48" s="878"/>
      <c r="AX48" s="878"/>
      <c r="AY48" s="559">
        <v>1</v>
      </c>
      <c r="AZ48" s="560">
        <f t="shared" si="0"/>
        <v>0.05</v>
      </c>
      <c r="BA48" s="559">
        <f t="shared" si="1"/>
        <v>0.04</v>
      </c>
      <c r="BB48" s="553">
        <f t="shared" si="2"/>
        <v>1</v>
      </c>
    </row>
    <row r="49" spans="1:54" x14ac:dyDescent="0.35">
      <c r="A49" s="710"/>
      <c r="B49" s="561" t="s">
        <v>158</v>
      </c>
      <c r="C49" s="878">
        <v>0</v>
      </c>
      <c r="D49" s="878">
        <v>0.09</v>
      </c>
      <c r="E49" s="878">
        <v>0.09</v>
      </c>
      <c r="F49" s="878">
        <v>0.09</v>
      </c>
      <c r="G49" s="878"/>
      <c r="H49" s="878"/>
      <c r="I49" s="878"/>
      <c r="J49" s="878"/>
      <c r="K49" s="878"/>
      <c r="L49" s="878"/>
      <c r="M49" s="878"/>
      <c r="N49" s="878"/>
      <c r="O49" s="878"/>
      <c r="P49" s="878"/>
      <c r="Q49" s="878"/>
      <c r="R49" s="878"/>
      <c r="S49" s="878"/>
      <c r="T49" s="878"/>
      <c r="U49" s="878"/>
      <c r="V49" s="878"/>
      <c r="W49" s="878"/>
      <c r="X49" s="878"/>
      <c r="Y49" s="878"/>
      <c r="Z49" s="878"/>
      <c r="AA49" s="878"/>
      <c r="AB49" s="878"/>
      <c r="AC49" s="878"/>
      <c r="AD49" s="878"/>
      <c r="AE49" s="878"/>
      <c r="AF49" s="878"/>
      <c r="AG49" s="878"/>
      <c r="AH49" s="878"/>
      <c r="AI49" s="878"/>
      <c r="AJ49" s="878"/>
      <c r="AK49" s="878"/>
      <c r="AL49" s="878"/>
      <c r="AM49" s="878"/>
      <c r="AN49" s="878"/>
      <c r="AO49" s="878"/>
      <c r="AP49" s="878"/>
      <c r="AQ49" s="878"/>
      <c r="AR49" s="878"/>
      <c r="AS49" s="878"/>
      <c r="AT49" s="878"/>
      <c r="AU49" s="878"/>
      <c r="AV49" s="878"/>
      <c r="AW49" s="878"/>
      <c r="AX49" s="878"/>
      <c r="AY49" s="559">
        <v>1</v>
      </c>
      <c r="AZ49" s="560">
        <f t="shared" si="0"/>
        <v>0.09</v>
      </c>
      <c r="BA49" s="559">
        <f t="shared" si="1"/>
        <v>7.0000000000000007E-2</v>
      </c>
      <c r="BB49" s="553">
        <f t="shared" si="2"/>
        <v>1</v>
      </c>
    </row>
    <row r="50" spans="1:54" x14ac:dyDescent="0.35">
      <c r="A50" s="710"/>
      <c r="B50" s="561" t="s">
        <v>159</v>
      </c>
      <c r="C50" s="878">
        <v>0</v>
      </c>
      <c r="D50" s="878">
        <v>0</v>
      </c>
      <c r="E50" s="878">
        <v>0</v>
      </c>
      <c r="F50" s="878">
        <v>0</v>
      </c>
      <c r="G50" s="878"/>
      <c r="H50" s="878"/>
      <c r="I50" s="878"/>
      <c r="J50" s="878"/>
      <c r="K50" s="878"/>
      <c r="L50" s="878"/>
      <c r="M50" s="878"/>
      <c r="N50" s="878"/>
      <c r="O50" s="878"/>
      <c r="P50" s="878"/>
      <c r="Q50" s="878"/>
      <c r="R50" s="878"/>
      <c r="S50" s="878"/>
      <c r="T50" s="878"/>
      <c r="U50" s="878"/>
      <c r="V50" s="878"/>
      <c r="W50" s="878"/>
      <c r="X50" s="878"/>
      <c r="Y50" s="878"/>
      <c r="Z50" s="878"/>
      <c r="AA50" s="878"/>
      <c r="AB50" s="878"/>
      <c r="AC50" s="878"/>
      <c r="AD50" s="878"/>
      <c r="AE50" s="878"/>
      <c r="AF50" s="878"/>
      <c r="AG50" s="878"/>
      <c r="AH50" s="878"/>
      <c r="AI50" s="878"/>
      <c r="AJ50" s="878"/>
      <c r="AK50" s="878"/>
      <c r="AL50" s="878"/>
      <c r="AM50" s="878"/>
      <c r="AN50" s="878"/>
      <c r="AO50" s="878"/>
      <c r="AP50" s="878"/>
      <c r="AQ50" s="878"/>
      <c r="AR50" s="878"/>
      <c r="AS50" s="878"/>
      <c r="AT50" s="878"/>
      <c r="AU50" s="878"/>
      <c r="AV50" s="878"/>
      <c r="AW50" s="878"/>
      <c r="AX50" s="878"/>
      <c r="AY50" s="559">
        <v>1</v>
      </c>
      <c r="AZ50" s="560">
        <f t="shared" si="0"/>
        <v>0</v>
      </c>
      <c r="BA50" s="559">
        <f t="shared" si="1"/>
        <v>0</v>
      </c>
      <c r="BB50" s="553">
        <f t="shared" si="2"/>
        <v>1</v>
      </c>
    </row>
    <row r="51" spans="1:54" x14ac:dyDescent="0.35">
      <c r="A51" s="710"/>
      <c r="B51" s="561" t="s">
        <v>131</v>
      </c>
      <c r="C51" s="878">
        <v>0</v>
      </c>
      <c r="D51" s="878">
        <v>0.15</v>
      </c>
      <c r="E51" s="878">
        <v>0.15</v>
      </c>
      <c r="F51" s="878">
        <v>0.15</v>
      </c>
      <c r="G51" s="878"/>
      <c r="H51" s="878"/>
      <c r="I51" s="878"/>
      <c r="J51" s="878"/>
      <c r="K51" s="878"/>
      <c r="L51" s="878"/>
      <c r="M51" s="878"/>
      <c r="N51" s="878"/>
      <c r="O51" s="878"/>
      <c r="P51" s="878"/>
      <c r="Q51" s="878"/>
      <c r="R51" s="878"/>
      <c r="S51" s="878"/>
      <c r="T51" s="878"/>
      <c r="U51" s="878"/>
      <c r="V51" s="878"/>
      <c r="W51" s="878"/>
      <c r="X51" s="878"/>
      <c r="Y51" s="878"/>
      <c r="Z51" s="878"/>
      <c r="AA51" s="878"/>
      <c r="AB51" s="878"/>
      <c r="AC51" s="878"/>
      <c r="AD51" s="878"/>
      <c r="AE51" s="878"/>
      <c r="AF51" s="878"/>
      <c r="AG51" s="878"/>
      <c r="AH51" s="878"/>
      <c r="AI51" s="878"/>
      <c r="AJ51" s="878"/>
      <c r="AK51" s="878"/>
      <c r="AL51" s="878"/>
      <c r="AM51" s="878"/>
      <c r="AN51" s="878"/>
      <c r="AO51" s="878"/>
      <c r="AP51" s="878"/>
      <c r="AQ51" s="878"/>
      <c r="AR51" s="878"/>
      <c r="AS51" s="878"/>
      <c r="AT51" s="878"/>
      <c r="AU51" s="878"/>
      <c r="AV51" s="878"/>
      <c r="AW51" s="878"/>
      <c r="AX51" s="878"/>
      <c r="AY51" s="559">
        <v>1</v>
      </c>
      <c r="AZ51" s="560">
        <f t="shared" si="0"/>
        <v>0.15</v>
      </c>
      <c r="BA51" s="559">
        <f t="shared" si="1"/>
        <v>0.11</v>
      </c>
      <c r="BB51" s="553">
        <f t="shared" si="2"/>
        <v>1</v>
      </c>
    </row>
    <row r="52" spans="1:54" x14ac:dyDescent="0.35">
      <c r="A52" s="710"/>
      <c r="B52" s="561" t="s">
        <v>121</v>
      </c>
      <c r="C52" s="878">
        <v>0</v>
      </c>
      <c r="D52" s="878">
        <v>0</v>
      </c>
      <c r="E52" s="878">
        <v>0</v>
      </c>
      <c r="F52" s="878">
        <v>0</v>
      </c>
      <c r="G52" s="878"/>
      <c r="H52" s="878"/>
      <c r="I52" s="878"/>
      <c r="J52" s="878"/>
      <c r="K52" s="878"/>
      <c r="L52" s="878"/>
      <c r="M52" s="878"/>
      <c r="N52" s="878"/>
      <c r="O52" s="878"/>
      <c r="P52" s="878"/>
      <c r="Q52" s="878"/>
      <c r="R52" s="878"/>
      <c r="S52" s="878"/>
      <c r="T52" s="878"/>
      <c r="U52" s="878"/>
      <c r="V52" s="878"/>
      <c r="W52" s="878"/>
      <c r="X52" s="878"/>
      <c r="Y52" s="878"/>
      <c r="Z52" s="878"/>
      <c r="AA52" s="878"/>
      <c r="AB52" s="878"/>
      <c r="AC52" s="878"/>
      <c r="AD52" s="878"/>
      <c r="AE52" s="878"/>
      <c r="AF52" s="878"/>
      <c r="AG52" s="878"/>
      <c r="AH52" s="878"/>
      <c r="AI52" s="878"/>
      <c r="AJ52" s="878"/>
      <c r="AK52" s="878"/>
      <c r="AL52" s="878"/>
      <c r="AM52" s="878"/>
      <c r="AN52" s="878"/>
      <c r="AO52" s="878"/>
      <c r="AP52" s="878"/>
      <c r="AQ52" s="878"/>
      <c r="AR52" s="878"/>
      <c r="AS52" s="878"/>
      <c r="AT52" s="878"/>
      <c r="AU52" s="878"/>
      <c r="AV52" s="878"/>
      <c r="AW52" s="878"/>
      <c r="AX52" s="878"/>
      <c r="AY52" s="559">
        <v>1</v>
      </c>
      <c r="AZ52" s="560">
        <f t="shared" si="0"/>
        <v>0</v>
      </c>
      <c r="BA52" s="559">
        <f t="shared" si="1"/>
        <v>0</v>
      </c>
      <c r="BB52" s="553">
        <f t="shared" si="2"/>
        <v>1</v>
      </c>
    </row>
    <row r="53" spans="1:54" x14ac:dyDescent="0.35">
      <c r="A53" s="710" t="str">
        <f>DISTRIBUCIÓN!A54</f>
        <v>Prediseño del plan de monitoreo de calidad y cantidad del recurso hídrico</v>
      </c>
      <c r="B53" s="561" t="s">
        <v>302</v>
      </c>
      <c r="C53" s="878">
        <v>0</v>
      </c>
      <c r="D53" s="878">
        <v>0.05</v>
      </c>
      <c r="E53" s="878">
        <v>0.05</v>
      </c>
      <c r="F53" s="878">
        <v>0.05</v>
      </c>
      <c r="G53" s="878"/>
      <c r="H53" s="878"/>
      <c r="I53" s="878"/>
      <c r="J53" s="878"/>
      <c r="K53" s="878"/>
      <c r="L53" s="878"/>
      <c r="M53" s="878"/>
      <c r="N53" s="878"/>
      <c r="O53" s="878"/>
      <c r="P53" s="878"/>
      <c r="Q53" s="878"/>
      <c r="R53" s="878"/>
      <c r="S53" s="878"/>
      <c r="T53" s="878"/>
      <c r="U53" s="878"/>
      <c r="V53" s="878"/>
      <c r="W53" s="878"/>
      <c r="X53" s="878"/>
      <c r="Y53" s="878"/>
      <c r="Z53" s="878"/>
      <c r="AA53" s="878"/>
      <c r="AB53" s="878"/>
      <c r="AC53" s="878"/>
      <c r="AD53" s="878"/>
      <c r="AE53" s="878"/>
      <c r="AF53" s="878"/>
      <c r="AG53" s="878"/>
      <c r="AH53" s="878"/>
      <c r="AI53" s="878"/>
      <c r="AJ53" s="878"/>
      <c r="AK53" s="878"/>
      <c r="AL53" s="878"/>
      <c r="AM53" s="878"/>
      <c r="AN53" s="878"/>
      <c r="AO53" s="878"/>
      <c r="AP53" s="878"/>
      <c r="AQ53" s="878"/>
      <c r="AR53" s="878"/>
      <c r="AS53" s="878"/>
      <c r="AT53" s="878"/>
      <c r="AU53" s="878"/>
      <c r="AV53" s="878"/>
      <c r="AW53" s="878"/>
      <c r="AX53" s="878"/>
      <c r="AY53" s="559">
        <v>1</v>
      </c>
      <c r="AZ53" s="560">
        <f t="shared" si="0"/>
        <v>0.05</v>
      </c>
      <c r="BA53" s="559">
        <f t="shared" si="1"/>
        <v>0.04</v>
      </c>
      <c r="BB53" s="553">
        <f t="shared" si="2"/>
        <v>1</v>
      </c>
    </row>
    <row r="54" spans="1:54" x14ac:dyDescent="0.35">
      <c r="A54" s="710"/>
      <c r="B54" s="561" t="s">
        <v>156</v>
      </c>
      <c r="C54" s="878">
        <v>0</v>
      </c>
      <c r="D54" s="878">
        <v>0.28000000000000003</v>
      </c>
      <c r="E54" s="878">
        <v>0.28000000000000003</v>
      </c>
      <c r="F54" s="878">
        <v>0.28000000000000003</v>
      </c>
      <c r="G54" s="878"/>
      <c r="H54" s="878"/>
      <c r="I54" s="878"/>
      <c r="J54" s="878"/>
      <c r="K54" s="878"/>
      <c r="L54" s="878"/>
      <c r="M54" s="878"/>
      <c r="N54" s="878"/>
      <c r="O54" s="878"/>
      <c r="P54" s="878"/>
      <c r="Q54" s="878"/>
      <c r="R54" s="878"/>
      <c r="S54" s="878"/>
      <c r="T54" s="878"/>
      <c r="U54" s="878"/>
      <c r="V54" s="878"/>
      <c r="W54" s="878"/>
      <c r="X54" s="878"/>
      <c r="Y54" s="878"/>
      <c r="Z54" s="878"/>
      <c r="AA54" s="878"/>
      <c r="AB54" s="878"/>
      <c r="AC54" s="878"/>
      <c r="AD54" s="878"/>
      <c r="AE54" s="878"/>
      <c r="AF54" s="878"/>
      <c r="AG54" s="878"/>
      <c r="AH54" s="878"/>
      <c r="AI54" s="878"/>
      <c r="AJ54" s="878"/>
      <c r="AK54" s="878"/>
      <c r="AL54" s="878"/>
      <c r="AM54" s="878"/>
      <c r="AN54" s="878"/>
      <c r="AO54" s="878"/>
      <c r="AP54" s="878"/>
      <c r="AQ54" s="878"/>
      <c r="AR54" s="878"/>
      <c r="AS54" s="878"/>
      <c r="AT54" s="878"/>
      <c r="AU54" s="878"/>
      <c r="AV54" s="878"/>
      <c r="AW54" s="878"/>
      <c r="AX54" s="878"/>
      <c r="AY54" s="559">
        <v>1</v>
      </c>
      <c r="AZ54" s="560">
        <f t="shared" si="0"/>
        <v>0.28000000000000003</v>
      </c>
      <c r="BA54" s="559">
        <f t="shared" si="1"/>
        <v>0.21</v>
      </c>
      <c r="BB54" s="553">
        <f t="shared" si="2"/>
        <v>1</v>
      </c>
    </row>
    <row r="55" spans="1:54" x14ac:dyDescent="0.35">
      <c r="A55" s="710"/>
      <c r="B55" s="561" t="s">
        <v>157</v>
      </c>
      <c r="C55" s="878">
        <v>0</v>
      </c>
      <c r="D55" s="878">
        <v>0.09</v>
      </c>
      <c r="E55" s="878">
        <v>0.09</v>
      </c>
      <c r="F55" s="878">
        <v>0.09</v>
      </c>
      <c r="G55" s="878"/>
      <c r="H55" s="878"/>
      <c r="I55" s="878"/>
      <c r="J55" s="878"/>
      <c r="K55" s="878"/>
      <c r="L55" s="878"/>
      <c r="M55" s="878"/>
      <c r="N55" s="878"/>
      <c r="O55" s="878"/>
      <c r="P55" s="878"/>
      <c r="Q55" s="878"/>
      <c r="R55" s="878"/>
      <c r="S55" s="878"/>
      <c r="T55" s="878"/>
      <c r="U55" s="878"/>
      <c r="V55" s="878"/>
      <c r="W55" s="878"/>
      <c r="X55" s="878"/>
      <c r="Y55" s="878"/>
      <c r="Z55" s="878"/>
      <c r="AA55" s="878"/>
      <c r="AB55" s="878"/>
      <c r="AC55" s="878"/>
      <c r="AD55" s="878"/>
      <c r="AE55" s="878"/>
      <c r="AF55" s="878"/>
      <c r="AG55" s="878"/>
      <c r="AH55" s="878"/>
      <c r="AI55" s="878"/>
      <c r="AJ55" s="878"/>
      <c r="AK55" s="878"/>
      <c r="AL55" s="878"/>
      <c r="AM55" s="878"/>
      <c r="AN55" s="878"/>
      <c r="AO55" s="878"/>
      <c r="AP55" s="878"/>
      <c r="AQ55" s="878"/>
      <c r="AR55" s="878"/>
      <c r="AS55" s="878"/>
      <c r="AT55" s="878"/>
      <c r="AU55" s="878"/>
      <c r="AV55" s="878"/>
      <c r="AW55" s="878"/>
      <c r="AX55" s="878"/>
      <c r="AY55" s="559">
        <v>1</v>
      </c>
      <c r="AZ55" s="560">
        <f t="shared" si="0"/>
        <v>0.09</v>
      </c>
      <c r="BA55" s="559">
        <f t="shared" si="1"/>
        <v>7.0000000000000007E-2</v>
      </c>
      <c r="BB55" s="553">
        <f t="shared" si="2"/>
        <v>1</v>
      </c>
    </row>
    <row r="56" spans="1:54" x14ac:dyDescent="0.35">
      <c r="A56" s="710"/>
      <c r="B56" s="561" t="s">
        <v>159</v>
      </c>
      <c r="C56" s="878">
        <v>0</v>
      </c>
      <c r="D56" s="878">
        <v>0</v>
      </c>
      <c r="E56" s="878">
        <v>0</v>
      </c>
      <c r="F56" s="878">
        <v>0</v>
      </c>
      <c r="G56" s="878"/>
      <c r="H56" s="878"/>
      <c r="I56" s="878"/>
      <c r="J56" s="878"/>
      <c r="K56" s="878"/>
      <c r="L56" s="878"/>
      <c r="M56" s="878"/>
      <c r="N56" s="878"/>
      <c r="O56" s="878"/>
      <c r="P56" s="878"/>
      <c r="Q56" s="878"/>
      <c r="R56" s="878"/>
      <c r="S56" s="878"/>
      <c r="T56" s="878"/>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8"/>
      <c r="AR56" s="878"/>
      <c r="AS56" s="878"/>
      <c r="AT56" s="878"/>
      <c r="AU56" s="878"/>
      <c r="AV56" s="878"/>
      <c r="AW56" s="878"/>
      <c r="AX56" s="878"/>
      <c r="AY56" s="559">
        <v>1</v>
      </c>
      <c r="AZ56" s="560">
        <f t="shared" si="0"/>
        <v>0</v>
      </c>
      <c r="BA56" s="559">
        <f t="shared" si="1"/>
        <v>0</v>
      </c>
      <c r="BB56" s="553">
        <f t="shared" si="2"/>
        <v>1</v>
      </c>
    </row>
    <row r="57" spans="1:54" x14ac:dyDescent="0.35">
      <c r="A57" s="710"/>
      <c r="B57" s="561" t="s">
        <v>158</v>
      </c>
      <c r="C57" s="878">
        <v>0</v>
      </c>
      <c r="D57" s="878">
        <v>0.06</v>
      </c>
      <c r="E57" s="878">
        <v>0.06</v>
      </c>
      <c r="F57" s="878">
        <v>0.06</v>
      </c>
      <c r="G57" s="878"/>
      <c r="H57" s="878"/>
      <c r="I57" s="878"/>
      <c r="J57" s="878"/>
      <c r="K57" s="878"/>
      <c r="L57" s="878"/>
      <c r="M57" s="878"/>
      <c r="N57" s="878"/>
      <c r="O57" s="878"/>
      <c r="P57" s="878"/>
      <c r="Q57" s="878"/>
      <c r="R57" s="878"/>
      <c r="S57" s="878"/>
      <c r="T57" s="878"/>
      <c r="U57" s="878"/>
      <c r="V57" s="878"/>
      <c r="W57" s="878"/>
      <c r="X57" s="878"/>
      <c r="Y57" s="878"/>
      <c r="Z57" s="878"/>
      <c r="AA57" s="878"/>
      <c r="AB57" s="878"/>
      <c r="AC57" s="878"/>
      <c r="AD57" s="878"/>
      <c r="AE57" s="878"/>
      <c r="AF57" s="878"/>
      <c r="AG57" s="878"/>
      <c r="AH57" s="878"/>
      <c r="AI57" s="878"/>
      <c r="AJ57" s="878"/>
      <c r="AK57" s="878"/>
      <c r="AL57" s="878"/>
      <c r="AM57" s="878"/>
      <c r="AN57" s="878"/>
      <c r="AO57" s="878"/>
      <c r="AP57" s="878"/>
      <c r="AQ57" s="878"/>
      <c r="AR57" s="878"/>
      <c r="AS57" s="878"/>
      <c r="AT57" s="878"/>
      <c r="AU57" s="878"/>
      <c r="AV57" s="878"/>
      <c r="AW57" s="878"/>
      <c r="AX57" s="878"/>
      <c r="AY57" s="559">
        <v>1</v>
      </c>
      <c r="AZ57" s="560">
        <f t="shared" si="0"/>
        <v>0.06</v>
      </c>
      <c r="BA57" s="559">
        <f t="shared" si="1"/>
        <v>0.05</v>
      </c>
      <c r="BB57" s="553">
        <f t="shared" si="2"/>
        <v>1</v>
      </c>
    </row>
    <row r="58" spans="1:54" x14ac:dyDescent="0.35">
      <c r="A58" s="710"/>
      <c r="B58" s="561" t="s">
        <v>131</v>
      </c>
      <c r="C58" s="878">
        <v>0</v>
      </c>
      <c r="D58" s="878">
        <v>0.1</v>
      </c>
      <c r="E58" s="878">
        <v>0.1</v>
      </c>
      <c r="F58" s="878">
        <v>0.1</v>
      </c>
      <c r="G58" s="878"/>
      <c r="H58" s="878"/>
      <c r="I58" s="878"/>
      <c r="J58" s="878"/>
      <c r="K58" s="878"/>
      <c r="L58" s="878"/>
      <c r="M58" s="878"/>
      <c r="N58" s="878"/>
      <c r="O58" s="878"/>
      <c r="P58" s="878"/>
      <c r="Q58" s="878"/>
      <c r="R58" s="878"/>
      <c r="S58" s="878"/>
      <c r="T58" s="878"/>
      <c r="U58" s="878"/>
      <c r="V58" s="878"/>
      <c r="W58" s="878"/>
      <c r="X58" s="878"/>
      <c r="Y58" s="878"/>
      <c r="Z58" s="878"/>
      <c r="AA58" s="878"/>
      <c r="AB58" s="878"/>
      <c r="AC58" s="878"/>
      <c r="AD58" s="878"/>
      <c r="AE58" s="878"/>
      <c r="AF58" s="878"/>
      <c r="AG58" s="878"/>
      <c r="AH58" s="878"/>
      <c r="AI58" s="878"/>
      <c r="AJ58" s="878"/>
      <c r="AK58" s="878"/>
      <c r="AL58" s="878"/>
      <c r="AM58" s="878"/>
      <c r="AN58" s="878"/>
      <c r="AO58" s="878"/>
      <c r="AP58" s="878"/>
      <c r="AQ58" s="878"/>
      <c r="AR58" s="878"/>
      <c r="AS58" s="878"/>
      <c r="AT58" s="878"/>
      <c r="AU58" s="878"/>
      <c r="AV58" s="878"/>
      <c r="AW58" s="878"/>
      <c r="AX58" s="878"/>
      <c r="AY58" s="559">
        <v>1</v>
      </c>
      <c r="AZ58" s="560">
        <f t="shared" si="0"/>
        <v>0.1</v>
      </c>
      <c r="BA58" s="559">
        <f t="shared" si="1"/>
        <v>0.08</v>
      </c>
      <c r="BB58" s="553">
        <f t="shared" si="2"/>
        <v>1</v>
      </c>
    </row>
    <row r="59" spans="1:54" x14ac:dyDescent="0.35">
      <c r="A59" s="710"/>
      <c r="B59" s="561" t="s">
        <v>121</v>
      </c>
      <c r="C59" s="878">
        <v>0</v>
      </c>
      <c r="D59" s="878">
        <v>0.09</v>
      </c>
      <c r="E59" s="878">
        <v>0.09</v>
      </c>
      <c r="F59" s="878">
        <v>0.09</v>
      </c>
      <c r="G59" s="878"/>
      <c r="H59" s="878"/>
      <c r="I59" s="878"/>
      <c r="J59" s="878"/>
      <c r="K59" s="878"/>
      <c r="L59" s="878"/>
      <c r="M59" s="878"/>
      <c r="N59" s="878"/>
      <c r="O59" s="878"/>
      <c r="P59" s="878"/>
      <c r="Q59" s="878"/>
      <c r="R59" s="878"/>
      <c r="S59" s="878"/>
      <c r="T59" s="878"/>
      <c r="U59" s="878"/>
      <c r="V59" s="878"/>
      <c r="W59" s="878"/>
      <c r="X59" s="878"/>
      <c r="Y59" s="878"/>
      <c r="Z59" s="878"/>
      <c r="AA59" s="878"/>
      <c r="AB59" s="878"/>
      <c r="AC59" s="878"/>
      <c r="AD59" s="878"/>
      <c r="AE59" s="878"/>
      <c r="AF59" s="878"/>
      <c r="AG59" s="878"/>
      <c r="AH59" s="878"/>
      <c r="AI59" s="878"/>
      <c r="AJ59" s="878"/>
      <c r="AK59" s="878"/>
      <c r="AL59" s="878"/>
      <c r="AM59" s="878"/>
      <c r="AN59" s="878"/>
      <c r="AO59" s="878"/>
      <c r="AP59" s="878"/>
      <c r="AQ59" s="878"/>
      <c r="AR59" s="878"/>
      <c r="AS59" s="878"/>
      <c r="AT59" s="878"/>
      <c r="AU59" s="878"/>
      <c r="AV59" s="878"/>
      <c r="AW59" s="878"/>
      <c r="AX59" s="878"/>
      <c r="AY59" s="559">
        <v>1</v>
      </c>
      <c r="AZ59" s="560">
        <f t="shared" si="0"/>
        <v>0.09</v>
      </c>
      <c r="BA59" s="559">
        <f t="shared" si="1"/>
        <v>7.0000000000000007E-2</v>
      </c>
      <c r="BB59" s="553">
        <f t="shared" si="2"/>
        <v>1</v>
      </c>
    </row>
    <row r="60" spans="1:54" x14ac:dyDescent="0.35">
      <c r="A60" s="710" t="str">
        <f>DISTRIBUCIÓN!A55</f>
        <v>Elaboración del plan de trabajo detallado</v>
      </c>
      <c r="B60" s="561" t="s">
        <v>302</v>
      </c>
      <c r="C60" s="878">
        <v>0.32</v>
      </c>
      <c r="D60" s="878">
        <v>0.32</v>
      </c>
      <c r="E60" s="878">
        <v>0.32</v>
      </c>
      <c r="F60" s="878">
        <v>0.32</v>
      </c>
      <c r="G60" s="878"/>
      <c r="H60" s="878"/>
      <c r="I60" s="878"/>
      <c r="J60" s="878"/>
      <c r="K60" s="878"/>
      <c r="L60" s="878"/>
      <c r="M60" s="878"/>
      <c r="N60" s="878"/>
      <c r="O60" s="878"/>
      <c r="P60" s="878"/>
      <c r="Q60" s="878"/>
      <c r="R60" s="878"/>
      <c r="S60" s="878"/>
      <c r="T60" s="878"/>
      <c r="U60" s="878"/>
      <c r="V60" s="878"/>
      <c r="W60" s="878"/>
      <c r="X60" s="878"/>
      <c r="Y60" s="878"/>
      <c r="Z60" s="878"/>
      <c r="AA60" s="878"/>
      <c r="AB60" s="878"/>
      <c r="AC60" s="878"/>
      <c r="AD60" s="878"/>
      <c r="AE60" s="878"/>
      <c r="AF60" s="878"/>
      <c r="AG60" s="878"/>
      <c r="AH60" s="878"/>
      <c r="AI60" s="878"/>
      <c r="AJ60" s="878"/>
      <c r="AK60" s="878"/>
      <c r="AL60" s="878"/>
      <c r="AM60" s="878"/>
      <c r="AN60" s="878"/>
      <c r="AO60" s="878"/>
      <c r="AP60" s="878"/>
      <c r="AQ60" s="878"/>
      <c r="AR60" s="878"/>
      <c r="AS60" s="878"/>
      <c r="AT60" s="878"/>
      <c r="AU60" s="878"/>
      <c r="AV60" s="878"/>
      <c r="AW60" s="878"/>
      <c r="AX60" s="878"/>
      <c r="AY60" s="559">
        <v>1</v>
      </c>
      <c r="AZ60" s="560">
        <f t="shared" si="0"/>
        <v>0.32</v>
      </c>
      <c r="BA60" s="559">
        <f t="shared" si="1"/>
        <v>0.32</v>
      </c>
      <c r="BB60" s="553">
        <f t="shared" si="2"/>
        <v>1</v>
      </c>
    </row>
    <row r="61" spans="1:54" x14ac:dyDescent="0.35">
      <c r="A61" s="710"/>
      <c r="B61" s="561" t="s">
        <v>156</v>
      </c>
      <c r="C61" s="878">
        <v>0.22</v>
      </c>
      <c r="D61" s="878">
        <v>0.22</v>
      </c>
      <c r="E61" s="878">
        <v>0.22</v>
      </c>
      <c r="F61" s="878">
        <v>0.22</v>
      </c>
      <c r="G61" s="878"/>
      <c r="H61" s="878"/>
      <c r="I61" s="878"/>
      <c r="J61" s="878"/>
      <c r="K61" s="878"/>
      <c r="L61" s="878"/>
      <c r="M61" s="878"/>
      <c r="N61" s="878"/>
      <c r="O61" s="878"/>
      <c r="P61" s="878"/>
      <c r="Q61" s="878"/>
      <c r="R61" s="878"/>
      <c r="S61" s="878"/>
      <c r="T61" s="878"/>
      <c r="U61" s="878"/>
      <c r="V61" s="878"/>
      <c r="W61" s="878"/>
      <c r="X61" s="878"/>
      <c r="Y61" s="878"/>
      <c r="Z61" s="878"/>
      <c r="AA61" s="878"/>
      <c r="AB61" s="878"/>
      <c r="AC61" s="878"/>
      <c r="AD61" s="878"/>
      <c r="AE61" s="878"/>
      <c r="AF61" s="878"/>
      <c r="AG61" s="878"/>
      <c r="AH61" s="878"/>
      <c r="AI61" s="878"/>
      <c r="AJ61" s="878"/>
      <c r="AK61" s="878"/>
      <c r="AL61" s="878"/>
      <c r="AM61" s="878"/>
      <c r="AN61" s="878"/>
      <c r="AO61" s="878"/>
      <c r="AP61" s="878"/>
      <c r="AQ61" s="878"/>
      <c r="AR61" s="878"/>
      <c r="AS61" s="878"/>
      <c r="AT61" s="878"/>
      <c r="AU61" s="878"/>
      <c r="AV61" s="878"/>
      <c r="AW61" s="878"/>
      <c r="AX61" s="878"/>
      <c r="AY61" s="559">
        <v>1</v>
      </c>
      <c r="AZ61" s="560">
        <f t="shared" si="0"/>
        <v>0.22</v>
      </c>
      <c r="BA61" s="559">
        <f t="shared" si="1"/>
        <v>0.22</v>
      </c>
      <c r="BB61" s="553">
        <f t="shared" si="2"/>
        <v>1</v>
      </c>
    </row>
    <row r="62" spans="1:54" x14ac:dyDescent="0.35">
      <c r="A62" s="710"/>
      <c r="B62" s="561" t="s">
        <v>157</v>
      </c>
      <c r="C62" s="878">
        <v>0.16</v>
      </c>
      <c r="D62" s="878">
        <v>0.16</v>
      </c>
      <c r="E62" s="878">
        <v>0.16</v>
      </c>
      <c r="F62" s="878">
        <v>0.16</v>
      </c>
      <c r="G62" s="878"/>
      <c r="H62" s="878"/>
      <c r="I62" s="878"/>
      <c r="J62" s="878"/>
      <c r="K62" s="878"/>
      <c r="L62" s="878"/>
      <c r="M62" s="878"/>
      <c r="N62" s="878"/>
      <c r="O62" s="878"/>
      <c r="P62" s="878"/>
      <c r="Q62" s="878"/>
      <c r="R62" s="878"/>
      <c r="S62" s="878"/>
      <c r="T62" s="878"/>
      <c r="U62" s="878"/>
      <c r="V62" s="878"/>
      <c r="W62" s="878"/>
      <c r="X62" s="878"/>
      <c r="Y62" s="878"/>
      <c r="Z62" s="878"/>
      <c r="AA62" s="878"/>
      <c r="AB62" s="878"/>
      <c r="AC62" s="878"/>
      <c r="AD62" s="878"/>
      <c r="AE62" s="878"/>
      <c r="AF62" s="878"/>
      <c r="AG62" s="878"/>
      <c r="AH62" s="878"/>
      <c r="AI62" s="878"/>
      <c r="AJ62" s="878"/>
      <c r="AK62" s="878"/>
      <c r="AL62" s="878"/>
      <c r="AM62" s="878"/>
      <c r="AN62" s="878"/>
      <c r="AO62" s="878"/>
      <c r="AP62" s="878"/>
      <c r="AQ62" s="878"/>
      <c r="AR62" s="878"/>
      <c r="AS62" s="878"/>
      <c r="AT62" s="878"/>
      <c r="AU62" s="878"/>
      <c r="AV62" s="878"/>
      <c r="AW62" s="878"/>
      <c r="AX62" s="878"/>
      <c r="AY62" s="559">
        <v>1</v>
      </c>
      <c r="AZ62" s="560">
        <f t="shared" si="0"/>
        <v>0.16</v>
      </c>
      <c r="BA62" s="559">
        <f t="shared" si="1"/>
        <v>0.16</v>
      </c>
      <c r="BB62" s="553">
        <f t="shared" si="2"/>
        <v>1</v>
      </c>
    </row>
    <row r="63" spans="1:54" x14ac:dyDescent="0.35">
      <c r="A63" s="710"/>
      <c r="B63" s="561" t="s">
        <v>158</v>
      </c>
      <c r="C63" s="878">
        <v>0.09</v>
      </c>
      <c r="D63" s="878">
        <v>0.09</v>
      </c>
      <c r="E63" s="878">
        <v>0.09</v>
      </c>
      <c r="F63" s="878">
        <v>0.09</v>
      </c>
      <c r="G63" s="878"/>
      <c r="H63" s="878"/>
      <c r="I63" s="878"/>
      <c r="J63" s="878"/>
      <c r="K63" s="878"/>
      <c r="L63" s="878"/>
      <c r="M63" s="878"/>
      <c r="N63" s="878"/>
      <c r="O63" s="878"/>
      <c r="P63" s="878"/>
      <c r="Q63" s="878"/>
      <c r="R63" s="878"/>
      <c r="S63" s="878"/>
      <c r="T63" s="878"/>
      <c r="U63" s="878"/>
      <c r="V63" s="878"/>
      <c r="W63" s="878"/>
      <c r="X63" s="878"/>
      <c r="Y63" s="878"/>
      <c r="Z63" s="878"/>
      <c r="AA63" s="878"/>
      <c r="AB63" s="878"/>
      <c r="AC63" s="878"/>
      <c r="AD63" s="878"/>
      <c r="AE63" s="878"/>
      <c r="AF63" s="878"/>
      <c r="AG63" s="878"/>
      <c r="AH63" s="878"/>
      <c r="AI63" s="878"/>
      <c r="AJ63" s="878"/>
      <c r="AK63" s="878"/>
      <c r="AL63" s="878"/>
      <c r="AM63" s="878"/>
      <c r="AN63" s="878"/>
      <c r="AO63" s="878"/>
      <c r="AP63" s="878"/>
      <c r="AQ63" s="878"/>
      <c r="AR63" s="878"/>
      <c r="AS63" s="878"/>
      <c r="AT63" s="878"/>
      <c r="AU63" s="878"/>
      <c r="AV63" s="878"/>
      <c r="AW63" s="878"/>
      <c r="AX63" s="878"/>
      <c r="AY63" s="559">
        <v>1</v>
      </c>
      <c r="AZ63" s="560">
        <f t="shared" si="0"/>
        <v>0.09</v>
      </c>
      <c r="BA63" s="559">
        <f t="shared" si="1"/>
        <v>0.09</v>
      </c>
      <c r="BB63" s="553">
        <f t="shared" si="2"/>
        <v>1</v>
      </c>
    </row>
    <row r="64" spans="1:54" x14ac:dyDescent="0.35">
      <c r="A64" s="710"/>
      <c r="B64" s="561" t="s">
        <v>159</v>
      </c>
      <c r="C64" s="878">
        <v>0</v>
      </c>
      <c r="D64" s="878">
        <v>0</v>
      </c>
      <c r="E64" s="878">
        <v>0</v>
      </c>
      <c r="F64" s="878">
        <v>0</v>
      </c>
      <c r="G64" s="878"/>
      <c r="H64" s="878"/>
      <c r="I64" s="878"/>
      <c r="J64" s="878"/>
      <c r="K64" s="878"/>
      <c r="L64" s="878"/>
      <c r="M64" s="878"/>
      <c r="N64" s="878"/>
      <c r="O64" s="878"/>
      <c r="P64" s="878"/>
      <c r="Q64" s="878"/>
      <c r="R64" s="878"/>
      <c r="S64" s="878"/>
      <c r="T64" s="878"/>
      <c r="U64" s="878"/>
      <c r="V64" s="878"/>
      <c r="W64" s="878"/>
      <c r="X64" s="878"/>
      <c r="Y64" s="878"/>
      <c r="Z64" s="878"/>
      <c r="AA64" s="878"/>
      <c r="AB64" s="878"/>
      <c r="AC64" s="878"/>
      <c r="AD64" s="878"/>
      <c r="AE64" s="878"/>
      <c r="AF64" s="878"/>
      <c r="AG64" s="878"/>
      <c r="AH64" s="878"/>
      <c r="AI64" s="878"/>
      <c r="AJ64" s="878"/>
      <c r="AK64" s="878"/>
      <c r="AL64" s="878"/>
      <c r="AM64" s="878"/>
      <c r="AN64" s="878"/>
      <c r="AO64" s="878"/>
      <c r="AP64" s="878"/>
      <c r="AQ64" s="878"/>
      <c r="AR64" s="878"/>
      <c r="AS64" s="878"/>
      <c r="AT64" s="878"/>
      <c r="AU64" s="878"/>
      <c r="AV64" s="878"/>
      <c r="AW64" s="878"/>
      <c r="AX64" s="878"/>
      <c r="AY64" s="559">
        <v>1</v>
      </c>
      <c r="AZ64" s="560">
        <f t="shared" si="0"/>
        <v>0</v>
      </c>
      <c r="BA64" s="559">
        <f t="shared" si="1"/>
        <v>0</v>
      </c>
      <c r="BB64" s="553">
        <f t="shared" si="2"/>
        <v>1</v>
      </c>
    </row>
    <row r="65" spans="1:54" x14ac:dyDescent="0.35">
      <c r="A65" s="710"/>
      <c r="B65" s="561" t="s">
        <v>131</v>
      </c>
      <c r="C65" s="878">
        <v>0.11</v>
      </c>
      <c r="D65" s="878">
        <v>0.11</v>
      </c>
      <c r="E65" s="878">
        <v>0.11</v>
      </c>
      <c r="F65" s="878">
        <v>0.11</v>
      </c>
      <c r="G65" s="878"/>
      <c r="H65" s="878"/>
      <c r="I65" s="878"/>
      <c r="J65" s="878"/>
      <c r="K65" s="878"/>
      <c r="L65" s="878"/>
      <c r="M65" s="878"/>
      <c r="N65" s="878"/>
      <c r="O65" s="878"/>
      <c r="P65" s="878"/>
      <c r="Q65" s="878"/>
      <c r="R65" s="878"/>
      <c r="S65" s="878"/>
      <c r="T65" s="878"/>
      <c r="U65" s="878"/>
      <c r="V65" s="878"/>
      <c r="W65" s="878"/>
      <c r="X65" s="878"/>
      <c r="Y65" s="878"/>
      <c r="Z65" s="878"/>
      <c r="AA65" s="878"/>
      <c r="AB65" s="878"/>
      <c r="AC65" s="878"/>
      <c r="AD65" s="878"/>
      <c r="AE65" s="878"/>
      <c r="AF65" s="878"/>
      <c r="AG65" s="878"/>
      <c r="AH65" s="878"/>
      <c r="AI65" s="878"/>
      <c r="AJ65" s="878"/>
      <c r="AK65" s="878"/>
      <c r="AL65" s="878"/>
      <c r="AM65" s="878"/>
      <c r="AN65" s="878"/>
      <c r="AO65" s="878"/>
      <c r="AP65" s="878"/>
      <c r="AQ65" s="878"/>
      <c r="AR65" s="878"/>
      <c r="AS65" s="878"/>
      <c r="AT65" s="878"/>
      <c r="AU65" s="878"/>
      <c r="AV65" s="878"/>
      <c r="AW65" s="878"/>
      <c r="AX65" s="878"/>
      <c r="AY65" s="559">
        <v>1</v>
      </c>
      <c r="AZ65" s="560">
        <f t="shared" si="0"/>
        <v>0.11</v>
      </c>
      <c r="BA65" s="559">
        <f t="shared" si="1"/>
        <v>0.11</v>
      </c>
      <c r="BB65" s="553">
        <f t="shared" si="2"/>
        <v>1</v>
      </c>
    </row>
    <row r="66" spans="1:54" x14ac:dyDescent="0.35">
      <c r="A66" s="710"/>
      <c r="B66" s="561" t="s">
        <v>121</v>
      </c>
      <c r="C66" s="878">
        <v>0.15</v>
      </c>
      <c r="D66" s="878">
        <v>0.15</v>
      </c>
      <c r="E66" s="878">
        <v>0.15</v>
      </c>
      <c r="F66" s="878">
        <v>0.15</v>
      </c>
      <c r="G66" s="878"/>
      <c r="H66" s="878"/>
      <c r="I66" s="878"/>
      <c r="J66" s="878"/>
      <c r="K66" s="878"/>
      <c r="L66" s="878"/>
      <c r="M66" s="878"/>
      <c r="N66" s="878"/>
      <c r="O66" s="878"/>
      <c r="P66" s="878"/>
      <c r="Q66" s="878"/>
      <c r="R66" s="878"/>
      <c r="S66" s="878"/>
      <c r="T66" s="878"/>
      <c r="U66" s="878"/>
      <c r="V66" s="878"/>
      <c r="W66" s="878"/>
      <c r="X66" s="878"/>
      <c r="Y66" s="878"/>
      <c r="Z66" s="878"/>
      <c r="AA66" s="878"/>
      <c r="AB66" s="878"/>
      <c r="AC66" s="878"/>
      <c r="AD66" s="878"/>
      <c r="AE66" s="878"/>
      <c r="AF66" s="878"/>
      <c r="AG66" s="878"/>
      <c r="AH66" s="878"/>
      <c r="AI66" s="878"/>
      <c r="AJ66" s="878"/>
      <c r="AK66" s="878"/>
      <c r="AL66" s="878"/>
      <c r="AM66" s="878"/>
      <c r="AN66" s="878"/>
      <c r="AO66" s="878"/>
      <c r="AP66" s="878"/>
      <c r="AQ66" s="878"/>
      <c r="AR66" s="878"/>
      <c r="AS66" s="878"/>
      <c r="AT66" s="878"/>
      <c r="AU66" s="878"/>
      <c r="AV66" s="878"/>
      <c r="AW66" s="878"/>
      <c r="AX66" s="878"/>
      <c r="AY66" s="559">
        <v>1</v>
      </c>
      <c r="AZ66" s="560">
        <f t="shared" si="0"/>
        <v>0.15</v>
      </c>
      <c r="BA66" s="559">
        <f t="shared" si="1"/>
        <v>0.15</v>
      </c>
      <c r="BB66" s="553">
        <f t="shared" si="2"/>
        <v>1</v>
      </c>
    </row>
    <row r="67" spans="1:54" x14ac:dyDescent="0.35">
      <c r="A67" s="711" t="str">
        <f>DISTRIBUCIÓN!A61</f>
        <v xml:space="preserve">Paso 1. Diseño e implementación del proceso de participación </v>
      </c>
      <c r="B67" s="561" t="s">
        <v>302</v>
      </c>
      <c r="C67" s="878"/>
      <c r="D67" s="878"/>
      <c r="E67" s="878"/>
      <c r="F67" s="878"/>
      <c r="G67" s="878">
        <v>0.25</v>
      </c>
      <c r="H67" s="878">
        <v>0.25</v>
      </c>
      <c r="I67" s="878">
        <v>0.25</v>
      </c>
      <c r="J67" s="878">
        <v>0.25</v>
      </c>
      <c r="K67" s="878"/>
      <c r="L67" s="878"/>
      <c r="M67" s="878"/>
      <c r="N67" s="878"/>
      <c r="O67" s="878"/>
      <c r="P67" s="878"/>
      <c r="Q67" s="878"/>
      <c r="R67" s="878"/>
      <c r="S67" s="878"/>
      <c r="T67" s="878"/>
      <c r="U67" s="878"/>
      <c r="V67" s="878"/>
      <c r="W67" s="878"/>
      <c r="X67" s="878"/>
      <c r="Y67" s="878"/>
      <c r="Z67" s="878"/>
      <c r="AA67" s="878"/>
      <c r="AB67" s="878"/>
      <c r="AC67" s="878"/>
      <c r="AD67" s="878"/>
      <c r="AE67" s="878"/>
      <c r="AF67" s="878"/>
      <c r="AG67" s="878"/>
      <c r="AH67" s="878"/>
      <c r="AI67" s="878"/>
      <c r="AJ67" s="878"/>
      <c r="AK67" s="878"/>
      <c r="AL67" s="878"/>
      <c r="AM67" s="878"/>
      <c r="AN67" s="878"/>
      <c r="AO67" s="878"/>
      <c r="AP67" s="878"/>
      <c r="AQ67" s="878"/>
      <c r="AR67" s="878"/>
      <c r="AS67" s="878"/>
      <c r="AT67" s="878"/>
      <c r="AU67" s="878"/>
      <c r="AV67" s="878"/>
      <c r="AW67" s="878"/>
      <c r="AX67" s="878"/>
      <c r="AY67" s="559">
        <v>1</v>
      </c>
      <c r="AZ67" s="560">
        <f t="shared" si="0"/>
        <v>0.25</v>
      </c>
      <c r="BA67" s="559">
        <f t="shared" si="1"/>
        <v>0.25</v>
      </c>
      <c r="BB67" s="553">
        <f t="shared" si="2"/>
        <v>1</v>
      </c>
    </row>
    <row r="68" spans="1:54" x14ac:dyDescent="0.35">
      <c r="A68" s="711"/>
      <c r="B68" s="561" t="s">
        <v>156</v>
      </c>
      <c r="C68" s="878"/>
      <c r="D68" s="878"/>
      <c r="E68" s="878"/>
      <c r="F68" s="878"/>
      <c r="G68" s="878">
        <v>0</v>
      </c>
      <c r="H68" s="878">
        <v>0</v>
      </c>
      <c r="I68" s="878">
        <v>0</v>
      </c>
      <c r="J68" s="878">
        <v>0</v>
      </c>
      <c r="K68" s="878"/>
      <c r="L68" s="878"/>
      <c r="M68" s="878"/>
      <c r="N68" s="878"/>
      <c r="O68" s="878"/>
      <c r="P68" s="878"/>
      <c r="Q68" s="878"/>
      <c r="R68" s="878"/>
      <c r="S68" s="878"/>
      <c r="T68" s="878"/>
      <c r="U68" s="878"/>
      <c r="V68" s="878"/>
      <c r="W68" s="878"/>
      <c r="X68" s="878"/>
      <c r="Y68" s="878"/>
      <c r="Z68" s="878"/>
      <c r="AA68" s="878"/>
      <c r="AB68" s="878"/>
      <c r="AC68" s="878"/>
      <c r="AD68" s="878"/>
      <c r="AE68" s="878"/>
      <c r="AF68" s="878"/>
      <c r="AG68" s="878"/>
      <c r="AH68" s="878"/>
      <c r="AI68" s="878"/>
      <c r="AJ68" s="878"/>
      <c r="AK68" s="878"/>
      <c r="AL68" s="878"/>
      <c r="AM68" s="878"/>
      <c r="AN68" s="878"/>
      <c r="AO68" s="878"/>
      <c r="AP68" s="878"/>
      <c r="AQ68" s="878"/>
      <c r="AR68" s="878"/>
      <c r="AS68" s="878"/>
      <c r="AT68" s="878"/>
      <c r="AU68" s="878"/>
      <c r="AV68" s="878"/>
      <c r="AW68" s="878"/>
      <c r="AX68" s="878"/>
      <c r="AY68" s="559">
        <v>1</v>
      </c>
      <c r="AZ68" s="560">
        <f t="shared" si="0"/>
        <v>0</v>
      </c>
      <c r="BA68" s="559">
        <f t="shared" si="1"/>
        <v>0</v>
      </c>
      <c r="BB68" s="553">
        <f t="shared" si="2"/>
        <v>1</v>
      </c>
    </row>
    <row r="69" spans="1:54" x14ac:dyDescent="0.35">
      <c r="A69" s="711"/>
      <c r="B69" s="561" t="s">
        <v>157</v>
      </c>
      <c r="C69" s="878"/>
      <c r="D69" s="878"/>
      <c r="E69" s="878"/>
      <c r="F69" s="878"/>
      <c r="G69" s="878">
        <v>0</v>
      </c>
      <c r="H69" s="878">
        <v>0</v>
      </c>
      <c r="I69" s="878">
        <v>0</v>
      </c>
      <c r="J69" s="878">
        <v>0</v>
      </c>
      <c r="K69" s="878"/>
      <c r="L69" s="878"/>
      <c r="M69" s="878"/>
      <c r="N69" s="878"/>
      <c r="O69" s="878"/>
      <c r="P69" s="878"/>
      <c r="Q69" s="878"/>
      <c r="R69" s="878"/>
      <c r="S69" s="878"/>
      <c r="T69" s="878"/>
      <c r="U69" s="878"/>
      <c r="V69" s="878"/>
      <c r="W69" s="878"/>
      <c r="X69" s="878"/>
      <c r="Y69" s="878"/>
      <c r="Z69" s="878"/>
      <c r="AA69" s="878"/>
      <c r="AB69" s="878"/>
      <c r="AC69" s="878"/>
      <c r="AD69" s="878"/>
      <c r="AE69" s="878"/>
      <c r="AF69" s="878"/>
      <c r="AG69" s="878"/>
      <c r="AH69" s="878"/>
      <c r="AI69" s="878"/>
      <c r="AJ69" s="878"/>
      <c r="AK69" s="878"/>
      <c r="AL69" s="878"/>
      <c r="AM69" s="878"/>
      <c r="AN69" s="878"/>
      <c r="AO69" s="878"/>
      <c r="AP69" s="878"/>
      <c r="AQ69" s="878"/>
      <c r="AR69" s="878"/>
      <c r="AS69" s="878"/>
      <c r="AT69" s="878"/>
      <c r="AU69" s="878"/>
      <c r="AV69" s="878"/>
      <c r="AW69" s="878"/>
      <c r="AX69" s="878"/>
      <c r="AY69" s="559">
        <v>1</v>
      </c>
      <c r="AZ69" s="560">
        <f t="shared" ref="AZ69:AZ132" si="3">IF(COUNTIF(B69:AX69,"&gt;0")=0,0,ROUND(SUM(B69:AX69)/COUNTIF(B69:AX69,"&gt;0"),4))</f>
        <v>0</v>
      </c>
      <c r="BA69" s="559">
        <f t="shared" ref="BA69:BA132" si="4">ROUND(SUM(B69:AX69)/4,2)</f>
        <v>0</v>
      </c>
      <c r="BB69" s="553">
        <f t="shared" ref="BB69:BB103" si="5">ROUND(1/(COUNT(B69:AX69)/4),2)</f>
        <v>1</v>
      </c>
    </row>
    <row r="70" spans="1:54" x14ac:dyDescent="0.35">
      <c r="A70" s="711"/>
      <c r="B70" s="561" t="s">
        <v>158</v>
      </c>
      <c r="C70" s="878"/>
      <c r="D70" s="878"/>
      <c r="E70" s="878"/>
      <c r="F70" s="878"/>
      <c r="G70" s="878">
        <v>0.28000000000000003</v>
      </c>
      <c r="H70" s="878">
        <v>0.28000000000000003</v>
      </c>
      <c r="I70" s="878">
        <v>0.28000000000000003</v>
      </c>
      <c r="J70" s="878">
        <v>0.28000000000000003</v>
      </c>
      <c r="K70" s="878"/>
      <c r="L70" s="878"/>
      <c r="M70" s="878"/>
      <c r="N70" s="878"/>
      <c r="O70" s="878"/>
      <c r="P70" s="878"/>
      <c r="Q70" s="878"/>
      <c r="R70" s="878"/>
      <c r="S70" s="878"/>
      <c r="T70" s="878"/>
      <c r="U70" s="878"/>
      <c r="V70" s="878"/>
      <c r="W70" s="878"/>
      <c r="X70" s="878"/>
      <c r="Y70" s="878"/>
      <c r="Z70" s="878"/>
      <c r="AA70" s="878"/>
      <c r="AB70" s="878"/>
      <c r="AC70" s="878"/>
      <c r="AD70" s="878"/>
      <c r="AE70" s="878"/>
      <c r="AF70" s="878"/>
      <c r="AG70" s="878"/>
      <c r="AH70" s="878"/>
      <c r="AI70" s="878"/>
      <c r="AJ70" s="878"/>
      <c r="AK70" s="878"/>
      <c r="AL70" s="878"/>
      <c r="AM70" s="878"/>
      <c r="AN70" s="878"/>
      <c r="AO70" s="878"/>
      <c r="AP70" s="878"/>
      <c r="AQ70" s="878"/>
      <c r="AR70" s="878"/>
      <c r="AS70" s="878"/>
      <c r="AT70" s="878"/>
      <c r="AU70" s="878"/>
      <c r="AV70" s="878"/>
      <c r="AW70" s="878"/>
      <c r="AX70" s="878"/>
      <c r="AY70" s="559">
        <v>1</v>
      </c>
      <c r="AZ70" s="560">
        <f t="shared" si="3"/>
        <v>0.28000000000000003</v>
      </c>
      <c r="BA70" s="559">
        <f t="shared" si="4"/>
        <v>0.28000000000000003</v>
      </c>
      <c r="BB70" s="553">
        <f t="shared" si="5"/>
        <v>1</v>
      </c>
    </row>
    <row r="71" spans="1:54" x14ac:dyDescent="0.35">
      <c r="A71" s="711"/>
      <c r="B71" s="561" t="s">
        <v>159</v>
      </c>
      <c r="C71" s="878"/>
      <c r="D71" s="878"/>
      <c r="E71" s="878"/>
      <c r="F71" s="878"/>
      <c r="G71" s="878">
        <v>0</v>
      </c>
      <c r="H71" s="878">
        <v>0</v>
      </c>
      <c r="I71" s="878">
        <v>0</v>
      </c>
      <c r="J71" s="878">
        <v>0</v>
      </c>
      <c r="K71" s="878"/>
      <c r="L71" s="878"/>
      <c r="M71" s="878"/>
      <c r="N71" s="878"/>
      <c r="O71" s="878"/>
      <c r="P71" s="878"/>
      <c r="Q71" s="878"/>
      <c r="R71" s="878"/>
      <c r="S71" s="878"/>
      <c r="T71" s="878"/>
      <c r="U71" s="878"/>
      <c r="V71" s="878"/>
      <c r="W71" s="878"/>
      <c r="X71" s="878"/>
      <c r="Y71" s="878"/>
      <c r="Z71" s="878"/>
      <c r="AA71" s="878"/>
      <c r="AB71" s="878"/>
      <c r="AC71" s="878"/>
      <c r="AD71" s="878"/>
      <c r="AE71" s="878"/>
      <c r="AF71" s="878"/>
      <c r="AG71" s="878"/>
      <c r="AH71" s="878"/>
      <c r="AI71" s="878"/>
      <c r="AJ71" s="878"/>
      <c r="AK71" s="878"/>
      <c r="AL71" s="878"/>
      <c r="AM71" s="878"/>
      <c r="AN71" s="878"/>
      <c r="AO71" s="878"/>
      <c r="AP71" s="878"/>
      <c r="AQ71" s="878"/>
      <c r="AR71" s="878"/>
      <c r="AS71" s="878"/>
      <c r="AT71" s="878"/>
      <c r="AU71" s="878"/>
      <c r="AV71" s="878"/>
      <c r="AW71" s="878"/>
      <c r="AX71" s="878"/>
      <c r="AY71" s="559">
        <v>1</v>
      </c>
      <c r="AZ71" s="560">
        <f t="shared" si="3"/>
        <v>0</v>
      </c>
      <c r="BA71" s="559">
        <f t="shared" si="4"/>
        <v>0</v>
      </c>
      <c r="BB71" s="553">
        <f t="shared" si="5"/>
        <v>1</v>
      </c>
    </row>
    <row r="72" spans="1:54" x14ac:dyDescent="0.35">
      <c r="A72" s="711"/>
      <c r="B72" s="561" t="s">
        <v>131</v>
      </c>
      <c r="C72" s="878"/>
      <c r="D72" s="878"/>
      <c r="E72" s="878"/>
      <c r="F72" s="878"/>
      <c r="G72" s="878">
        <v>0.3</v>
      </c>
      <c r="H72" s="878">
        <v>0.3</v>
      </c>
      <c r="I72" s="878">
        <v>0.3</v>
      </c>
      <c r="J72" s="878">
        <v>0.3</v>
      </c>
      <c r="K72" s="878"/>
      <c r="L72" s="878"/>
      <c r="M72" s="878"/>
      <c r="N72" s="878"/>
      <c r="O72" s="878"/>
      <c r="P72" s="878"/>
      <c r="Q72" s="878"/>
      <c r="R72" s="878"/>
      <c r="S72" s="878"/>
      <c r="T72" s="878"/>
      <c r="U72" s="878"/>
      <c r="V72" s="878"/>
      <c r="W72" s="878"/>
      <c r="X72" s="878"/>
      <c r="Y72" s="878"/>
      <c r="Z72" s="878"/>
      <c r="AA72" s="878"/>
      <c r="AB72" s="878"/>
      <c r="AC72" s="878"/>
      <c r="AD72" s="878"/>
      <c r="AE72" s="878"/>
      <c r="AF72" s="878"/>
      <c r="AG72" s="878"/>
      <c r="AH72" s="878"/>
      <c r="AI72" s="878"/>
      <c r="AJ72" s="878"/>
      <c r="AK72" s="878"/>
      <c r="AL72" s="878"/>
      <c r="AM72" s="878"/>
      <c r="AN72" s="878"/>
      <c r="AO72" s="878"/>
      <c r="AP72" s="878"/>
      <c r="AQ72" s="878"/>
      <c r="AR72" s="878"/>
      <c r="AS72" s="878"/>
      <c r="AT72" s="878"/>
      <c r="AU72" s="878"/>
      <c r="AV72" s="878"/>
      <c r="AW72" s="878"/>
      <c r="AX72" s="878"/>
      <c r="AY72" s="559">
        <v>1</v>
      </c>
      <c r="AZ72" s="560">
        <f t="shared" si="3"/>
        <v>0.3</v>
      </c>
      <c r="BA72" s="559">
        <f t="shared" si="4"/>
        <v>0.3</v>
      </c>
      <c r="BB72" s="553">
        <f t="shared" si="5"/>
        <v>1</v>
      </c>
    </row>
    <row r="73" spans="1:54" x14ac:dyDescent="0.35">
      <c r="A73" s="711"/>
      <c r="B73" s="561" t="s">
        <v>121</v>
      </c>
      <c r="C73" s="878"/>
      <c r="D73" s="878"/>
      <c r="E73" s="878"/>
      <c r="F73" s="878"/>
      <c r="G73" s="878">
        <v>0.19</v>
      </c>
      <c r="H73" s="878">
        <v>0.19</v>
      </c>
      <c r="I73" s="878">
        <v>0.19</v>
      </c>
      <c r="J73" s="878">
        <v>0.19</v>
      </c>
      <c r="K73" s="878"/>
      <c r="L73" s="878"/>
      <c r="M73" s="878"/>
      <c r="N73" s="878"/>
      <c r="O73" s="878"/>
      <c r="P73" s="878"/>
      <c r="Q73" s="878"/>
      <c r="R73" s="878"/>
      <c r="S73" s="878"/>
      <c r="T73" s="878"/>
      <c r="U73" s="878"/>
      <c r="V73" s="878"/>
      <c r="W73" s="878"/>
      <c r="X73" s="878"/>
      <c r="Y73" s="878"/>
      <c r="Z73" s="878"/>
      <c r="AA73" s="878"/>
      <c r="AB73" s="878"/>
      <c r="AC73" s="878"/>
      <c r="AD73" s="878"/>
      <c r="AE73" s="878"/>
      <c r="AF73" s="878"/>
      <c r="AG73" s="878"/>
      <c r="AH73" s="878"/>
      <c r="AI73" s="878"/>
      <c r="AJ73" s="878"/>
      <c r="AK73" s="878"/>
      <c r="AL73" s="878"/>
      <c r="AM73" s="878"/>
      <c r="AN73" s="878"/>
      <c r="AO73" s="878"/>
      <c r="AP73" s="878"/>
      <c r="AQ73" s="878"/>
      <c r="AR73" s="878"/>
      <c r="AS73" s="878"/>
      <c r="AT73" s="878"/>
      <c r="AU73" s="878"/>
      <c r="AV73" s="878"/>
      <c r="AW73" s="878"/>
      <c r="AX73" s="878"/>
      <c r="AY73" s="559">
        <v>1</v>
      </c>
      <c r="AZ73" s="560">
        <f t="shared" si="3"/>
        <v>0.19</v>
      </c>
      <c r="BA73" s="559">
        <f t="shared" si="4"/>
        <v>0.19</v>
      </c>
      <c r="BB73" s="553">
        <f t="shared" si="5"/>
        <v>1</v>
      </c>
    </row>
    <row r="74" spans="1:54" x14ac:dyDescent="0.35">
      <c r="A74" s="711" t="str">
        <f>DISTRIBUCIÓN!A62</f>
        <v>Paso 2. Definición de los tramos o sectores de análisis</v>
      </c>
      <c r="B74" s="561" t="s">
        <v>302</v>
      </c>
      <c r="C74" s="878"/>
      <c r="D74" s="878"/>
      <c r="E74" s="878"/>
      <c r="F74" s="878"/>
      <c r="G74" s="878">
        <v>0.2</v>
      </c>
      <c r="H74" s="878">
        <v>0.2</v>
      </c>
      <c r="I74" s="878">
        <v>0</v>
      </c>
      <c r="J74" s="878">
        <v>0</v>
      </c>
      <c r="K74" s="878"/>
      <c r="L74" s="878"/>
      <c r="M74" s="878"/>
      <c r="N74" s="878"/>
      <c r="O74" s="878"/>
      <c r="P74" s="878"/>
      <c r="Q74" s="878"/>
      <c r="R74" s="878"/>
      <c r="S74" s="878"/>
      <c r="T74" s="878"/>
      <c r="U74" s="878"/>
      <c r="V74" s="878"/>
      <c r="W74" s="878"/>
      <c r="X74" s="878"/>
      <c r="Y74" s="878"/>
      <c r="Z74" s="878"/>
      <c r="AA74" s="878"/>
      <c r="AB74" s="878"/>
      <c r="AC74" s="878"/>
      <c r="AD74" s="878"/>
      <c r="AE74" s="878"/>
      <c r="AF74" s="878"/>
      <c r="AG74" s="878"/>
      <c r="AH74" s="878"/>
      <c r="AI74" s="878"/>
      <c r="AJ74" s="878"/>
      <c r="AK74" s="878"/>
      <c r="AL74" s="878"/>
      <c r="AM74" s="878"/>
      <c r="AN74" s="878"/>
      <c r="AO74" s="878"/>
      <c r="AP74" s="878"/>
      <c r="AQ74" s="878"/>
      <c r="AR74" s="878"/>
      <c r="AS74" s="878"/>
      <c r="AT74" s="878"/>
      <c r="AU74" s="878"/>
      <c r="AV74" s="878"/>
      <c r="AW74" s="878"/>
      <c r="AX74" s="878"/>
      <c r="AY74" s="559">
        <v>1</v>
      </c>
      <c r="AZ74" s="560">
        <f t="shared" si="3"/>
        <v>0.2</v>
      </c>
      <c r="BA74" s="559">
        <f t="shared" si="4"/>
        <v>0.1</v>
      </c>
      <c r="BB74" s="553">
        <f t="shared" si="5"/>
        <v>1</v>
      </c>
    </row>
    <row r="75" spans="1:54" x14ac:dyDescent="0.35">
      <c r="A75" s="711"/>
      <c r="B75" s="561" t="s">
        <v>156</v>
      </c>
      <c r="C75" s="878"/>
      <c r="D75" s="878"/>
      <c r="E75" s="878"/>
      <c r="F75" s="878"/>
      <c r="G75" s="878">
        <v>0.64</v>
      </c>
      <c r="H75" s="878">
        <v>0.64</v>
      </c>
      <c r="I75" s="878">
        <v>0</v>
      </c>
      <c r="J75" s="878">
        <v>0</v>
      </c>
      <c r="K75" s="878"/>
      <c r="L75" s="878"/>
      <c r="M75" s="878"/>
      <c r="N75" s="878"/>
      <c r="O75" s="878"/>
      <c r="P75" s="878"/>
      <c r="Q75" s="878"/>
      <c r="R75" s="878"/>
      <c r="S75" s="878"/>
      <c r="T75" s="878"/>
      <c r="U75" s="878"/>
      <c r="V75" s="878"/>
      <c r="W75" s="878"/>
      <c r="X75" s="878"/>
      <c r="Y75" s="878"/>
      <c r="Z75" s="878"/>
      <c r="AA75" s="878"/>
      <c r="AB75" s="878"/>
      <c r="AC75" s="878"/>
      <c r="AD75" s="878"/>
      <c r="AE75" s="878"/>
      <c r="AF75" s="878"/>
      <c r="AG75" s="878"/>
      <c r="AH75" s="878"/>
      <c r="AI75" s="878"/>
      <c r="AJ75" s="878"/>
      <c r="AK75" s="878"/>
      <c r="AL75" s="878"/>
      <c r="AM75" s="878"/>
      <c r="AN75" s="878"/>
      <c r="AO75" s="878"/>
      <c r="AP75" s="878"/>
      <c r="AQ75" s="878"/>
      <c r="AR75" s="878"/>
      <c r="AS75" s="878"/>
      <c r="AT75" s="878"/>
      <c r="AU75" s="878"/>
      <c r="AV75" s="878"/>
      <c r="AW75" s="878"/>
      <c r="AX75" s="878"/>
      <c r="AY75" s="559">
        <v>1</v>
      </c>
      <c r="AZ75" s="560">
        <f t="shared" si="3"/>
        <v>0.64</v>
      </c>
      <c r="BA75" s="559">
        <f t="shared" si="4"/>
        <v>0.32</v>
      </c>
      <c r="BB75" s="553">
        <f t="shared" si="5"/>
        <v>1</v>
      </c>
    </row>
    <row r="76" spans="1:54" x14ac:dyDescent="0.35">
      <c r="A76" s="711"/>
      <c r="B76" s="561" t="s">
        <v>157</v>
      </c>
      <c r="C76" s="878"/>
      <c r="D76" s="878"/>
      <c r="E76" s="878"/>
      <c r="F76" s="878"/>
      <c r="G76" s="878">
        <v>0.42</v>
      </c>
      <c r="H76" s="878">
        <v>0.42</v>
      </c>
      <c r="I76" s="878">
        <v>0</v>
      </c>
      <c r="J76" s="878">
        <v>0</v>
      </c>
      <c r="K76" s="878"/>
      <c r="L76" s="878"/>
      <c r="M76" s="878"/>
      <c r="N76" s="878"/>
      <c r="O76" s="878"/>
      <c r="P76" s="878"/>
      <c r="Q76" s="878"/>
      <c r="R76" s="878"/>
      <c r="S76" s="878"/>
      <c r="T76" s="878"/>
      <c r="U76" s="878"/>
      <c r="V76" s="878"/>
      <c r="W76" s="878"/>
      <c r="X76" s="878"/>
      <c r="Y76" s="878"/>
      <c r="Z76" s="878"/>
      <c r="AA76" s="878"/>
      <c r="AB76" s="878"/>
      <c r="AC76" s="878"/>
      <c r="AD76" s="878"/>
      <c r="AE76" s="878"/>
      <c r="AF76" s="878"/>
      <c r="AG76" s="878"/>
      <c r="AH76" s="878"/>
      <c r="AI76" s="878"/>
      <c r="AJ76" s="878"/>
      <c r="AK76" s="878"/>
      <c r="AL76" s="878"/>
      <c r="AM76" s="878"/>
      <c r="AN76" s="878"/>
      <c r="AO76" s="878"/>
      <c r="AP76" s="878"/>
      <c r="AQ76" s="878"/>
      <c r="AR76" s="878"/>
      <c r="AS76" s="878"/>
      <c r="AT76" s="878"/>
      <c r="AU76" s="878"/>
      <c r="AV76" s="878"/>
      <c r="AW76" s="878"/>
      <c r="AX76" s="878"/>
      <c r="AY76" s="559">
        <v>1</v>
      </c>
      <c r="AZ76" s="560">
        <f t="shared" si="3"/>
        <v>0.42</v>
      </c>
      <c r="BA76" s="559">
        <f t="shared" si="4"/>
        <v>0.21</v>
      </c>
      <c r="BB76" s="553">
        <f t="shared" si="5"/>
        <v>1</v>
      </c>
    </row>
    <row r="77" spans="1:54" x14ac:dyDescent="0.35">
      <c r="A77" s="711"/>
      <c r="B77" s="561" t="s">
        <v>158</v>
      </c>
      <c r="C77" s="878"/>
      <c r="D77" s="878"/>
      <c r="E77" s="878"/>
      <c r="F77" s="878"/>
      <c r="G77" s="878">
        <v>0</v>
      </c>
      <c r="H77" s="878">
        <v>0</v>
      </c>
      <c r="I77" s="878">
        <v>0</v>
      </c>
      <c r="J77" s="878">
        <v>0</v>
      </c>
      <c r="K77" s="878"/>
      <c r="L77" s="878"/>
      <c r="M77" s="878"/>
      <c r="N77" s="878"/>
      <c r="O77" s="878"/>
      <c r="P77" s="878"/>
      <c r="Q77" s="878"/>
      <c r="R77" s="878"/>
      <c r="S77" s="878"/>
      <c r="T77" s="878"/>
      <c r="U77" s="878"/>
      <c r="V77" s="878"/>
      <c r="W77" s="878"/>
      <c r="X77" s="878"/>
      <c r="Y77" s="878"/>
      <c r="Z77" s="878"/>
      <c r="AA77" s="878"/>
      <c r="AB77" s="878"/>
      <c r="AC77" s="878"/>
      <c r="AD77" s="878"/>
      <c r="AE77" s="878"/>
      <c r="AF77" s="878"/>
      <c r="AG77" s="878"/>
      <c r="AH77" s="878"/>
      <c r="AI77" s="878"/>
      <c r="AJ77" s="878"/>
      <c r="AK77" s="878"/>
      <c r="AL77" s="878"/>
      <c r="AM77" s="878"/>
      <c r="AN77" s="878"/>
      <c r="AO77" s="878"/>
      <c r="AP77" s="878"/>
      <c r="AQ77" s="878"/>
      <c r="AR77" s="878"/>
      <c r="AS77" s="878"/>
      <c r="AT77" s="878"/>
      <c r="AU77" s="878"/>
      <c r="AV77" s="878"/>
      <c r="AW77" s="878"/>
      <c r="AX77" s="878"/>
      <c r="AY77" s="559">
        <v>1</v>
      </c>
      <c r="AZ77" s="560">
        <f t="shared" si="3"/>
        <v>0</v>
      </c>
      <c r="BA77" s="559">
        <f t="shared" si="4"/>
        <v>0</v>
      </c>
      <c r="BB77" s="553">
        <f t="shared" si="5"/>
        <v>1</v>
      </c>
    </row>
    <row r="78" spans="1:54" x14ac:dyDescent="0.35">
      <c r="A78" s="711"/>
      <c r="B78" s="561" t="s">
        <v>159</v>
      </c>
      <c r="C78" s="878"/>
      <c r="D78" s="878"/>
      <c r="E78" s="878"/>
      <c r="F78" s="878"/>
      <c r="G78" s="878">
        <v>0</v>
      </c>
      <c r="H78" s="878">
        <v>0</v>
      </c>
      <c r="I78" s="878">
        <v>0</v>
      </c>
      <c r="J78" s="878">
        <v>0</v>
      </c>
      <c r="K78" s="878"/>
      <c r="L78" s="878"/>
      <c r="M78" s="878"/>
      <c r="N78" s="878"/>
      <c r="O78" s="878"/>
      <c r="P78" s="878"/>
      <c r="Q78" s="878"/>
      <c r="R78" s="878"/>
      <c r="S78" s="878"/>
      <c r="T78" s="878"/>
      <c r="U78" s="878"/>
      <c r="V78" s="878"/>
      <c r="W78" s="878"/>
      <c r="X78" s="878"/>
      <c r="Y78" s="878"/>
      <c r="Z78" s="878"/>
      <c r="AA78" s="878"/>
      <c r="AB78" s="878"/>
      <c r="AC78" s="878"/>
      <c r="AD78" s="878"/>
      <c r="AE78" s="878"/>
      <c r="AF78" s="878"/>
      <c r="AG78" s="878"/>
      <c r="AH78" s="878"/>
      <c r="AI78" s="878"/>
      <c r="AJ78" s="878"/>
      <c r="AK78" s="878"/>
      <c r="AL78" s="878"/>
      <c r="AM78" s="878"/>
      <c r="AN78" s="878"/>
      <c r="AO78" s="878"/>
      <c r="AP78" s="878"/>
      <c r="AQ78" s="878"/>
      <c r="AR78" s="878"/>
      <c r="AS78" s="878"/>
      <c r="AT78" s="878"/>
      <c r="AU78" s="878"/>
      <c r="AV78" s="878"/>
      <c r="AW78" s="878"/>
      <c r="AX78" s="878"/>
      <c r="AY78" s="559">
        <v>1</v>
      </c>
      <c r="AZ78" s="560">
        <f t="shared" si="3"/>
        <v>0</v>
      </c>
      <c r="BA78" s="559">
        <f t="shared" si="4"/>
        <v>0</v>
      </c>
      <c r="BB78" s="553">
        <f t="shared" si="5"/>
        <v>1</v>
      </c>
    </row>
    <row r="79" spans="1:54" x14ac:dyDescent="0.35">
      <c r="A79" s="711"/>
      <c r="B79" s="561" t="s">
        <v>131</v>
      </c>
      <c r="C79" s="878"/>
      <c r="D79" s="878"/>
      <c r="E79" s="878"/>
      <c r="F79" s="878"/>
      <c r="G79" s="878">
        <v>0.13</v>
      </c>
      <c r="H79" s="878">
        <v>0.13</v>
      </c>
      <c r="I79" s="878">
        <v>0</v>
      </c>
      <c r="J79" s="878">
        <v>0</v>
      </c>
      <c r="K79" s="878"/>
      <c r="L79" s="878"/>
      <c r="M79" s="878"/>
      <c r="N79" s="878"/>
      <c r="O79" s="878"/>
      <c r="P79" s="878"/>
      <c r="Q79" s="878"/>
      <c r="R79" s="878"/>
      <c r="S79" s="878"/>
      <c r="T79" s="878"/>
      <c r="U79" s="878"/>
      <c r="V79" s="878"/>
      <c r="W79" s="878"/>
      <c r="X79" s="878"/>
      <c r="Y79" s="878"/>
      <c r="Z79" s="878"/>
      <c r="AA79" s="878"/>
      <c r="AB79" s="878"/>
      <c r="AC79" s="878"/>
      <c r="AD79" s="878"/>
      <c r="AE79" s="878"/>
      <c r="AF79" s="878"/>
      <c r="AG79" s="878"/>
      <c r="AH79" s="878"/>
      <c r="AI79" s="878"/>
      <c r="AJ79" s="878"/>
      <c r="AK79" s="878"/>
      <c r="AL79" s="878"/>
      <c r="AM79" s="878"/>
      <c r="AN79" s="878"/>
      <c r="AO79" s="878"/>
      <c r="AP79" s="878"/>
      <c r="AQ79" s="878"/>
      <c r="AR79" s="878"/>
      <c r="AS79" s="878"/>
      <c r="AT79" s="878"/>
      <c r="AU79" s="878"/>
      <c r="AV79" s="878"/>
      <c r="AW79" s="878"/>
      <c r="AX79" s="878"/>
      <c r="AY79" s="559">
        <v>1</v>
      </c>
      <c r="AZ79" s="560">
        <f t="shared" si="3"/>
        <v>0.13</v>
      </c>
      <c r="BA79" s="559">
        <f t="shared" si="4"/>
        <v>7.0000000000000007E-2</v>
      </c>
      <c r="BB79" s="553">
        <f t="shared" si="5"/>
        <v>1</v>
      </c>
    </row>
    <row r="80" spans="1:54" x14ac:dyDescent="0.35">
      <c r="A80" s="711"/>
      <c r="B80" s="561" t="s">
        <v>121</v>
      </c>
      <c r="C80" s="878"/>
      <c r="D80" s="878"/>
      <c r="E80" s="878"/>
      <c r="F80" s="878"/>
      <c r="G80" s="878">
        <v>0.1</v>
      </c>
      <c r="H80" s="878">
        <v>0.1</v>
      </c>
      <c r="I80" s="878">
        <v>0</v>
      </c>
      <c r="J80" s="878">
        <v>0</v>
      </c>
      <c r="K80" s="878"/>
      <c r="L80" s="878"/>
      <c r="M80" s="878"/>
      <c r="N80" s="878"/>
      <c r="O80" s="878"/>
      <c r="P80" s="878"/>
      <c r="Q80" s="878"/>
      <c r="R80" s="878"/>
      <c r="S80" s="878"/>
      <c r="T80" s="878"/>
      <c r="U80" s="878"/>
      <c r="V80" s="878"/>
      <c r="W80" s="878"/>
      <c r="X80" s="878"/>
      <c r="Y80" s="878"/>
      <c r="Z80" s="878"/>
      <c r="AA80" s="878"/>
      <c r="AB80" s="878"/>
      <c r="AC80" s="878"/>
      <c r="AD80" s="878"/>
      <c r="AE80" s="878"/>
      <c r="AF80" s="878"/>
      <c r="AG80" s="878"/>
      <c r="AH80" s="878"/>
      <c r="AI80" s="878"/>
      <c r="AJ80" s="878"/>
      <c r="AK80" s="878"/>
      <c r="AL80" s="878"/>
      <c r="AM80" s="878"/>
      <c r="AN80" s="878"/>
      <c r="AO80" s="878"/>
      <c r="AP80" s="878"/>
      <c r="AQ80" s="878"/>
      <c r="AR80" s="878"/>
      <c r="AS80" s="878"/>
      <c r="AT80" s="878"/>
      <c r="AU80" s="878"/>
      <c r="AV80" s="878"/>
      <c r="AW80" s="878"/>
      <c r="AX80" s="878"/>
      <c r="AY80" s="559">
        <v>1</v>
      </c>
      <c r="AZ80" s="560">
        <f t="shared" si="3"/>
        <v>0.1</v>
      </c>
      <c r="BA80" s="559">
        <f t="shared" si="4"/>
        <v>0.05</v>
      </c>
      <c r="BB80" s="553">
        <f t="shared" si="5"/>
        <v>1</v>
      </c>
    </row>
    <row r="81" spans="1:54" x14ac:dyDescent="0.35">
      <c r="A81" s="711" t="str">
        <f>DISTRIBUCIÓN!A63</f>
        <v xml:space="preserve">Paso 3. Definición para la estructura conceptual para la modelación de calidad del agua </v>
      </c>
      <c r="B81" s="561" t="s">
        <v>302</v>
      </c>
      <c r="C81" s="878"/>
      <c r="D81" s="878"/>
      <c r="E81" s="878"/>
      <c r="F81" s="878"/>
      <c r="G81" s="878">
        <v>0</v>
      </c>
      <c r="H81" s="878">
        <v>0</v>
      </c>
      <c r="I81" s="878">
        <v>0.16</v>
      </c>
      <c r="J81" s="878">
        <v>0.16</v>
      </c>
      <c r="K81" s="878"/>
      <c r="L81" s="878"/>
      <c r="M81" s="878"/>
      <c r="N81" s="878"/>
      <c r="O81" s="878"/>
      <c r="P81" s="878"/>
      <c r="Q81" s="878"/>
      <c r="R81" s="878"/>
      <c r="S81" s="878"/>
      <c r="T81" s="878"/>
      <c r="U81" s="878"/>
      <c r="V81" s="878"/>
      <c r="W81" s="878"/>
      <c r="X81" s="878"/>
      <c r="Y81" s="878"/>
      <c r="Z81" s="878"/>
      <c r="AA81" s="878"/>
      <c r="AB81" s="878"/>
      <c r="AC81" s="878"/>
      <c r="AD81" s="878"/>
      <c r="AE81" s="878"/>
      <c r="AF81" s="878"/>
      <c r="AG81" s="878"/>
      <c r="AH81" s="878"/>
      <c r="AI81" s="878"/>
      <c r="AJ81" s="878"/>
      <c r="AK81" s="878"/>
      <c r="AL81" s="878"/>
      <c r="AM81" s="878"/>
      <c r="AN81" s="878"/>
      <c r="AO81" s="878"/>
      <c r="AP81" s="878"/>
      <c r="AQ81" s="878"/>
      <c r="AR81" s="878"/>
      <c r="AS81" s="878"/>
      <c r="AT81" s="878"/>
      <c r="AU81" s="878"/>
      <c r="AV81" s="878"/>
      <c r="AW81" s="878"/>
      <c r="AX81" s="878"/>
      <c r="AY81" s="559">
        <v>1</v>
      </c>
      <c r="AZ81" s="560">
        <f t="shared" si="3"/>
        <v>0.16</v>
      </c>
      <c r="BA81" s="559">
        <f t="shared" si="4"/>
        <v>0.08</v>
      </c>
      <c r="BB81" s="553">
        <f t="shared" si="5"/>
        <v>1</v>
      </c>
    </row>
    <row r="82" spans="1:54" x14ac:dyDescent="0.35">
      <c r="A82" s="711"/>
      <c r="B82" s="561" t="s">
        <v>156</v>
      </c>
      <c r="C82" s="878"/>
      <c r="D82" s="878"/>
      <c r="E82" s="878"/>
      <c r="F82" s="878"/>
      <c r="G82" s="878">
        <v>0</v>
      </c>
      <c r="H82" s="878">
        <v>0</v>
      </c>
      <c r="I82" s="878">
        <v>0.64</v>
      </c>
      <c r="J82" s="878">
        <v>0.64</v>
      </c>
      <c r="K82" s="878"/>
      <c r="L82" s="878"/>
      <c r="M82" s="878"/>
      <c r="N82" s="878"/>
      <c r="O82" s="878"/>
      <c r="P82" s="878"/>
      <c r="Q82" s="878"/>
      <c r="R82" s="878"/>
      <c r="S82" s="878"/>
      <c r="T82" s="878"/>
      <c r="U82" s="878"/>
      <c r="V82" s="878"/>
      <c r="W82" s="878"/>
      <c r="X82" s="878"/>
      <c r="Y82" s="878"/>
      <c r="Z82" s="878"/>
      <c r="AA82" s="878"/>
      <c r="AB82" s="878"/>
      <c r="AC82" s="878"/>
      <c r="AD82" s="878"/>
      <c r="AE82" s="878"/>
      <c r="AF82" s="878"/>
      <c r="AG82" s="878"/>
      <c r="AH82" s="878"/>
      <c r="AI82" s="878"/>
      <c r="AJ82" s="878"/>
      <c r="AK82" s="878"/>
      <c r="AL82" s="878"/>
      <c r="AM82" s="878"/>
      <c r="AN82" s="878"/>
      <c r="AO82" s="878"/>
      <c r="AP82" s="878"/>
      <c r="AQ82" s="878"/>
      <c r="AR82" s="878"/>
      <c r="AS82" s="878"/>
      <c r="AT82" s="878"/>
      <c r="AU82" s="878"/>
      <c r="AV82" s="878"/>
      <c r="AW82" s="878"/>
      <c r="AX82" s="878"/>
      <c r="AY82" s="559">
        <v>1</v>
      </c>
      <c r="AZ82" s="560">
        <f t="shared" si="3"/>
        <v>0.64</v>
      </c>
      <c r="BA82" s="559">
        <f t="shared" si="4"/>
        <v>0.32</v>
      </c>
      <c r="BB82" s="553">
        <f t="shared" si="5"/>
        <v>1</v>
      </c>
    </row>
    <row r="83" spans="1:54" x14ac:dyDescent="0.35">
      <c r="A83" s="711"/>
      <c r="B83" s="561" t="s">
        <v>157</v>
      </c>
      <c r="C83" s="878"/>
      <c r="D83" s="878"/>
      <c r="E83" s="878"/>
      <c r="F83" s="878"/>
      <c r="G83" s="878">
        <v>0</v>
      </c>
      <c r="H83" s="878">
        <v>0</v>
      </c>
      <c r="I83" s="878">
        <v>0.42</v>
      </c>
      <c r="J83" s="878">
        <v>0.42</v>
      </c>
      <c r="K83" s="878"/>
      <c r="L83" s="878"/>
      <c r="M83" s="878"/>
      <c r="N83" s="878"/>
      <c r="O83" s="878"/>
      <c r="P83" s="878"/>
      <c r="Q83" s="878"/>
      <c r="R83" s="878"/>
      <c r="S83" s="878"/>
      <c r="T83" s="878"/>
      <c r="U83" s="878"/>
      <c r="V83" s="878"/>
      <c r="W83" s="878"/>
      <c r="X83" s="878"/>
      <c r="Y83" s="878"/>
      <c r="Z83" s="878"/>
      <c r="AA83" s="878"/>
      <c r="AB83" s="878"/>
      <c r="AC83" s="878"/>
      <c r="AD83" s="878"/>
      <c r="AE83" s="878"/>
      <c r="AF83" s="878"/>
      <c r="AG83" s="878"/>
      <c r="AH83" s="878"/>
      <c r="AI83" s="878"/>
      <c r="AJ83" s="878"/>
      <c r="AK83" s="878"/>
      <c r="AL83" s="878"/>
      <c r="AM83" s="878"/>
      <c r="AN83" s="878"/>
      <c r="AO83" s="878"/>
      <c r="AP83" s="878"/>
      <c r="AQ83" s="878"/>
      <c r="AR83" s="878"/>
      <c r="AS83" s="878"/>
      <c r="AT83" s="878"/>
      <c r="AU83" s="878"/>
      <c r="AV83" s="878"/>
      <c r="AW83" s="878"/>
      <c r="AX83" s="878"/>
      <c r="AY83" s="559">
        <v>1</v>
      </c>
      <c r="AZ83" s="560">
        <f t="shared" si="3"/>
        <v>0.42</v>
      </c>
      <c r="BA83" s="559">
        <f t="shared" si="4"/>
        <v>0.21</v>
      </c>
      <c r="BB83" s="553">
        <f t="shared" si="5"/>
        <v>1</v>
      </c>
    </row>
    <row r="84" spans="1:54" x14ac:dyDescent="0.35">
      <c r="A84" s="711"/>
      <c r="B84" s="561" t="s">
        <v>158</v>
      </c>
      <c r="C84" s="878"/>
      <c r="D84" s="878"/>
      <c r="E84" s="878"/>
      <c r="F84" s="878"/>
      <c r="G84" s="878">
        <v>0</v>
      </c>
      <c r="H84" s="878">
        <v>0</v>
      </c>
      <c r="I84" s="878">
        <v>0</v>
      </c>
      <c r="J84" s="878">
        <v>0</v>
      </c>
      <c r="K84" s="878"/>
      <c r="L84" s="878"/>
      <c r="M84" s="878"/>
      <c r="N84" s="878"/>
      <c r="O84" s="878"/>
      <c r="P84" s="878"/>
      <c r="Q84" s="878"/>
      <c r="R84" s="878"/>
      <c r="S84" s="878"/>
      <c r="T84" s="878"/>
      <c r="U84" s="878"/>
      <c r="V84" s="878"/>
      <c r="W84" s="878"/>
      <c r="X84" s="878"/>
      <c r="Y84" s="878"/>
      <c r="Z84" s="878"/>
      <c r="AA84" s="878"/>
      <c r="AB84" s="878"/>
      <c r="AC84" s="878"/>
      <c r="AD84" s="878"/>
      <c r="AE84" s="878"/>
      <c r="AF84" s="878"/>
      <c r="AG84" s="878"/>
      <c r="AH84" s="878"/>
      <c r="AI84" s="878"/>
      <c r="AJ84" s="878"/>
      <c r="AK84" s="878"/>
      <c r="AL84" s="878"/>
      <c r="AM84" s="878"/>
      <c r="AN84" s="878"/>
      <c r="AO84" s="878"/>
      <c r="AP84" s="878"/>
      <c r="AQ84" s="878"/>
      <c r="AR84" s="878"/>
      <c r="AS84" s="878"/>
      <c r="AT84" s="878"/>
      <c r="AU84" s="878"/>
      <c r="AV84" s="878"/>
      <c r="AW84" s="878"/>
      <c r="AX84" s="878"/>
      <c r="AY84" s="559">
        <v>1</v>
      </c>
      <c r="AZ84" s="560">
        <f t="shared" si="3"/>
        <v>0</v>
      </c>
      <c r="BA84" s="559">
        <f t="shared" si="4"/>
        <v>0</v>
      </c>
      <c r="BB84" s="553">
        <f t="shared" si="5"/>
        <v>1</v>
      </c>
    </row>
    <row r="85" spans="1:54" x14ac:dyDescent="0.35">
      <c r="A85" s="711"/>
      <c r="B85" s="561" t="s">
        <v>159</v>
      </c>
      <c r="C85" s="878"/>
      <c r="D85" s="878"/>
      <c r="E85" s="878"/>
      <c r="F85" s="878"/>
      <c r="G85" s="878">
        <v>0</v>
      </c>
      <c r="H85" s="878">
        <v>0</v>
      </c>
      <c r="I85" s="878">
        <v>0</v>
      </c>
      <c r="J85" s="878">
        <v>0</v>
      </c>
      <c r="K85" s="878"/>
      <c r="L85" s="878"/>
      <c r="M85" s="878"/>
      <c r="N85" s="878"/>
      <c r="O85" s="878"/>
      <c r="P85" s="878"/>
      <c r="Q85" s="878"/>
      <c r="R85" s="878"/>
      <c r="S85" s="878"/>
      <c r="T85" s="878"/>
      <c r="U85" s="878"/>
      <c r="V85" s="878"/>
      <c r="W85" s="878"/>
      <c r="X85" s="878"/>
      <c r="Y85" s="878"/>
      <c r="Z85" s="878"/>
      <c r="AA85" s="878"/>
      <c r="AB85" s="878"/>
      <c r="AC85" s="878"/>
      <c r="AD85" s="878"/>
      <c r="AE85" s="878"/>
      <c r="AF85" s="878"/>
      <c r="AG85" s="878"/>
      <c r="AH85" s="878"/>
      <c r="AI85" s="878"/>
      <c r="AJ85" s="878"/>
      <c r="AK85" s="878"/>
      <c r="AL85" s="878"/>
      <c r="AM85" s="878"/>
      <c r="AN85" s="878"/>
      <c r="AO85" s="878"/>
      <c r="AP85" s="878"/>
      <c r="AQ85" s="878"/>
      <c r="AR85" s="878"/>
      <c r="AS85" s="878"/>
      <c r="AT85" s="878"/>
      <c r="AU85" s="878"/>
      <c r="AV85" s="878"/>
      <c r="AW85" s="878"/>
      <c r="AX85" s="878"/>
      <c r="AY85" s="559">
        <v>1</v>
      </c>
      <c r="AZ85" s="560">
        <f t="shared" si="3"/>
        <v>0</v>
      </c>
      <c r="BA85" s="559">
        <f t="shared" si="4"/>
        <v>0</v>
      </c>
      <c r="BB85" s="553">
        <f t="shared" si="5"/>
        <v>1</v>
      </c>
    </row>
    <row r="86" spans="1:54" x14ac:dyDescent="0.35">
      <c r="A86" s="711"/>
      <c r="B86" s="561" t="s">
        <v>131</v>
      </c>
      <c r="C86" s="878"/>
      <c r="D86" s="878"/>
      <c r="E86" s="878"/>
      <c r="F86" s="878"/>
      <c r="G86" s="878">
        <v>0</v>
      </c>
      <c r="H86" s="878">
        <v>0</v>
      </c>
      <c r="I86" s="878">
        <v>0.13</v>
      </c>
      <c r="J86" s="878">
        <v>0.13</v>
      </c>
      <c r="K86" s="878"/>
      <c r="L86" s="878"/>
      <c r="M86" s="878"/>
      <c r="N86" s="878"/>
      <c r="O86" s="878"/>
      <c r="P86" s="878"/>
      <c r="Q86" s="878"/>
      <c r="R86" s="878"/>
      <c r="S86" s="878"/>
      <c r="T86" s="878"/>
      <c r="U86" s="878"/>
      <c r="V86" s="878"/>
      <c r="W86" s="878"/>
      <c r="X86" s="878"/>
      <c r="Y86" s="878"/>
      <c r="Z86" s="878"/>
      <c r="AA86" s="878"/>
      <c r="AB86" s="878"/>
      <c r="AC86" s="878"/>
      <c r="AD86" s="878"/>
      <c r="AE86" s="878"/>
      <c r="AF86" s="878"/>
      <c r="AG86" s="878"/>
      <c r="AH86" s="878"/>
      <c r="AI86" s="878"/>
      <c r="AJ86" s="878"/>
      <c r="AK86" s="878"/>
      <c r="AL86" s="878"/>
      <c r="AM86" s="878"/>
      <c r="AN86" s="878"/>
      <c r="AO86" s="878"/>
      <c r="AP86" s="878"/>
      <c r="AQ86" s="878"/>
      <c r="AR86" s="878"/>
      <c r="AS86" s="878"/>
      <c r="AT86" s="878"/>
      <c r="AU86" s="878"/>
      <c r="AV86" s="878"/>
      <c r="AW86" s="878"/>
      <c r="AX86" s="878"/>
      <c r="AY86" s="559">
        <v>1</v>
      </c>
      <c r="AZ86" s="560">
        <f t="shared" si="3"/>
        <v>0.13</v>
      </c>
      <c r="BA86" s="559">
        <f t="shared" si="4"/>
        <v>7.0000000000000007E-2</v>
      </c>
      <c r="BB86" s="553">
        <f t="shared" si="5"/>
        <v>1</v>
      </c>
    </row>
    <row r="87" spans="1:54" x14ac:dyDescent="0.35">
      <c r="A87" s="711"/>
      <c r="B87" s="561" t="s">
        <v>121</v>
      </c>
      <c r="C87" s="878"/>
      <c r="D87" s="878"/>
      <c r="E87" s="878"/>
      <c r="F87" s="878"/>
      <c r="G87" s="878">
        <v>0</v>
      </c>
      <c r="H87" s="878">
        <v>0</v>
      </c>
      <c r="I87" s="878">
        <v>0.1</v>
      </c>
      <c r="J87" s="878">
        <v>0.1</v>
      </c>
      <c r="K87" s="878"/>
      <c r="L87" s="878"/>
      <c r="M87" s="878"/>
      <c r="N87" s="878"/>
      <c r="O87" s="878"/>
      <c r="P87" s="878"/>
      <c r="Q87" s="878"/>
      <c r="R87" s="878"/>
      <c r="S87" s="878"/>
      <c r="T87" s="878"/>
      <c r="U87" s="878"/>
      <c r="V87" s="878"/>
      <c r="W87" s="878"/>
      <c r="X87" s="878"/>
      <c r="Y87" s="878"/>
      <c r="Z87" s="878"/>
      <c r="AA87" s="878"/>
      <c r="AB87" s="878"/>
      <c r="AC87" s="878"/>
      <c r="AD87" s="878"/>
      <c r="AE87" s="878"/>
      <c r="AF87" s="878"/>
      <c r="AG87" s="878"/>
      <c r="AH87" s="878"/>
      <c r="AI87" s="878"/>
      <c r="AJ87" s="878"/>
      <c r="AK87" s="878"/>
      <c r="AL87" s="878"/>
      <c r="AM87" s="878"/>
      <c r="AN87" s="878"/>
      <c r="AO87" s="878"/>
      <c r="AP87" s="878"/>
      <c r="AQ87" s="878"/>
      <c r="AR87" s="878"/>
      <c r="AS87" s="878"/>
      <c r="AT87" s="878"/>
      <c r="AU87" s="878"/>
      <c r="AV87" s="878"/>
      <c r="AW87" s="878"/>
      <c r="AX87" s="878"/>
      <c r="AY87" s="559">
        <v>1</v>
      </c>
      <c r="AZ87" s="560">
        <f t="shared" si="3"/>
        <v>0.1</v>
      </c>
      <c r="BA87" s="559">
        <f t="shared" si="4"/>
        <v>0.05</v>
      </c>
      <c r="BB87" s="553">
        <f t="shared" si="5"/>
        <v>1</v>
      </c>
    </row>
    <row r="88" spans="1:54" x14ac:dyDescent="0.35">
      <c r="A88" s="711" t="str">
        <f>DISTRIBUCIÓN!A65</f>
        <v xml:space="preserve">Paso 1. Censo de usuarios y consolidación de información </v>
      </c>
      <c r="B88" s="561" t="s">
        <v>302</v>
      </c>
      <c r="C88" s="878"/>
      <c r="D88" s="878"/>
      <c r="E88" s="878"/>
      <c r="F88" s="878"/>
      <c r="G88" s="878">
        <v>0.13</v>
      </c>
      <c r="H88" s="878">
        <v>0.13</v>
      </c>
      <c r="I88" s="878">
        <v>0.13</v>
      </c>
      <c r="J88" s="878">
        <v>0.13</v>
      </c>
      <c r="K88" s="878">
        <v>0.13</v>
      </c>
      <c r="L88" s="878">
        <v>0.13</v>
      </c>
      <c r="M88" s="878">
        <v>0.13</v>
      </c>
      <c r="N88" s="878">
        <v>0.13</v>
      </c>
      <c r="O88" s="878">
        <v>0.13</v>
      </c>
      <c r="P88" s="878">
        <v>0.13</v>
      </c>
      <c r="Q88" s="878">
        <v>0.13</v>
      </c>
      <c r="R88" s="878">
        <v>0.13</v>
      </c>
      <c r="S88" s="878">
        <v>0.13</v>
      </c>
      <c r="T88" s="878">
        <v>0.13</v>
      </c>
      <c r="U88" s="878">
        <v>0.13</v>
      </c>
      <c r="V88" s="878">
        <v>0.13</v>
      </c>
      <c r="W88" s="878"/>
      <c r="X88" s="878"/>
      <c r="Y88" s="878"/>
      <c r="Z88" s="878"/>
      <c r="AA88" s="878"/>
      <c r="AB88" s="878"/>
      <c r="AC88" s="878"/>
      <c r="AD88" s="878"/>
      <c r="AE88" s="878"/>
      <c r="AF88" s="878"/>
      <c r="AG88" s="878"/>
      <c r="AH88" s="878"/>
      <c r="AI88" s="878"/>
      <c r="AJ88" s="878"/>
      <c r="AK88" s="878"/>
      <c r="AL88" s="878"/>
      <c r="AM88" s="878"/>
      <c r="AN88" s="878"/>
      <c r="AO88" s="878"/>
      <c r="AP88" s="878"/>
      <c r="AQ88" s="878"/>
      <c r="AR88" s="878"/>
      <c r="AS88" s="878"/>
      <c r="AT88" s="878"/>
      <c r="AU88" s="878"/>
      <c r="AV88" s="878"/>
      <c r="AW88" s="878"/>
      <c r="AX88" s="878"/>
      <c r="AY88" s="559">
        <v>0.25</v>
      </c>
      <c r="AZ88" s="560">
        <f t="shared" si="3"/>
        <v>0.13</v>
      </c>
      <c r="BA88" s="559">
        <f t="shared" si="4"/>
        <v>0.52</v>
      </c>
      <c r="BB88" s="553">
        <f t="shared" si="5"/>
        <v>0.25</v>
      </c>
    </row>
    <row r="89" spans="1:54" x14ac:dyDescent="0.35">
      <c r="A89" s="711"/>
      <c r="B89" s="561" t="s">
        <v>156</v>
      </c>
      <c r="C89" s="878"/>
      <c r="D89" s="878"/>
      <c r="E89" s="878"/>
      <c r="F89" s="878"/>
      <c r="G89" s="878">
        <v>0</v>
      </c>
      <c r="H89" s="878">
        <v>0</v>
      </c>
      <c r="I89" s="878">
        <v>0</v>
      </c>
      <c r="J89" s="878">
        <v>0</v>
      </c>
      <c r="K89" s="878">
        <v>0</v>
      </c>
      <c r="L89" s="878">
        <v>0</v>
      </c>
      <c r="M89" s="878">
        <v>0</v>
      </c>
      <c r="N89" s="878">
        <v>0</v>
      </c>
      <c r="O89" s="878">
        <v>0</v>
      </c>
      <c r="P89" s="878">
        <v>0</v>
      </c>
      <c r="Q89" s="878">
        <v>0</v>
      </c>
      <c r="R89" s="878">
        <v>0</v>
      </c>
      <c r="S89" s="878">
        <v>0</v>
      </c>
      <c r="T89" s="878">
        <v>0</v>
      </c>
      <c r="U89" s="878">
        <v>0</v>
      </c>
      <c r="V89" s="878">
        <v>0</v>
      </c>
      <c r="W89" s="878"/>
      <c r="X89" s="878"/>
      <c r="Y89" s="878"/>
      <c r="Z89" s="878"/>
      <c r="AA89" s="878"/>
      <c r="AB89" s="878"/>
      <c r="AC89" s="878"/>
      <c r="AD89" s="878"/>
      <c r="AE89" s="878"/>
      <c r="AF89" s="878"/>
      <c r="AG89" s="878"/>
      <c r="AH89" s="878"/>
      <c r="AI89" s="878"/>
      <c r="AJ89" s="878"/>
      <c r="AK89" s="878"/>
      <c r="AL89" s="878"/>
      <c r="AM89" s="878"/>
      <c r="AN89" s="878"/>
      <c r="AO89" s="878"/>
      <c r="AP89" s="878"/>
      <c r="AQ89" s="878"/>
      <c r="AR89" s="878"/>
      <c r="AS89" s="878"/>
      <c r="AT89" s="878"/>
      <c r="AU89" s="878"/>
      <c r="AV89" s="878"/>
      <c r="AW89" s="878"/>
      <c r="AX89" s="878"/>
      <c r="AY89" s="559">
        <v>0.25</v>
      </c>
      <c r="AZ89" s="560">
        <f t="shared" si="3"/>
        <v>0</v>
      </c>
      <c r="BA89" s="559">
        <f t="shared" si="4"/>
        <v>0</v>
      </c>
      <c r="BB89" s="553">
        <f t="shared" si="5"/>
        <v>0.25</v>
      </c>
    </row>
    <row r="90" spans="1:54" x14ac:dyDescent="0.35">
      <c r="A90" s="711"/>
      <c r="B90" s="561" t="s">
        <v>157</v>
      </c>
      <c r="C90" s="878"/>
      <c r="D90" s="878"/>
      <c r="E90" s="878"/>
      <c r="F90" s="878"/>
      <c r="G90" s="878">
        <v>0</v>
      </c>
      <c r="H90" s="878">
        <v>0</v>
      </c>
      <c r="I90" s="878">
        <v>0</v>
      </c>
      <c r="J90" s="878">
        <v>0</v>
      </c>
      <c r="K90" s="878">
        <v>0</v>
      </c>
      <c r="L90" s="878">
        <v>0</v>
      </c>
      <c r="M90" s="878">
        <v>0</v>
      </c>
      <c r="N90" s="878">
        <v>0</v>
      </c>
      <c r="O90" s="878">
        <v>0</v>
      </c>
      <c r="P90" s="878">
        <v>0</v>
      </c>
      <c r="Q90" s="878">
        <v>0</v>
      </c>
      <c r="R90" s="878">
        <v>0</v>
      </c>
      <c r="S90" s="878">
        <v>0</v>
      </c>
      <c r="T90" s="878">
        <v>0</v>
      </c>
      <c r="U90" s="878">
        <v>0</v>
      </c>
      <c r="V90" s="878">
        <v>0</v>
      </c>
      <c r="W90" s="878"/>
      <c r="X90" s="878"/>
      <c r="Y90" s="878"/>
      <c r="Z90" s="878"/>
      <c r="AA90" s="878"/>
      <c r="AB90" s="878"/>
      <c r="AC90" s="878"/>
      <c r="AD90" s="878"/>
      <c r="AE90" s="878"/>
      <c r="AF90" s="878"/>
      <c r="AG90" s="878"/>
      <c r="AH90" s="878"/>
      <c r="AI90" s="878"/>
      <c r="AJ90" s="878"/>
      <c r="AK90" s="878"/>
      <c r="AL90" s="878"/>
      <c r="AM90" s="878"/>
      <c r="AN90" s="878"/>
      <c r="AO90" s="878"/>
      <c r="AP90" s="878"/>
      <c r="AQ90" s="878"/>
      <c r="AR90" s="878"/>
      <c r="AS90" s="878"/>
      <c r="AT90" s="878"/>
      <c r="AU90" s="878"/>
      <c r="AV90" s="878"/>
      <c r="AW90" s="878"/>
      <c r="AX90" s="878"/>
      <c r="AY90" s="559">
        <v>0.25</v>
      </c>
      <c r="AZ90" s="560">
        <f t="shared" si="3"/>
        <v>0</v>
      </c>
      <c r="BA90" s="559">
        <f t="shared" si="4"/>
        <v>0</v>
      </c>
      <c r="BB90" s="553">
        <f t="shared" si="5"/>
        <v>0.25</v>
      </c>
    </row>
    <row r="91" spans="1:54" x14ac:dyDescent="0.35">
      <c r="A91" s="711"/>
      <c r="B91" s="561" t="s">
        <v>158</v>
      </c>
      <c r="C91" s="878"/>
      <c r="D91" s="878"/>
      <c r="E91" s="878"/>
      <c r="F91" s="878"/>
      <c r="G91" s="878">
        <v>0.43</v>
      </c>
      <c r="H91" s="878">
        <v>0.43</v>
      </c>
      <c r="I91" s="878">
        <v>0.43</v>
      </c>
      <c r="J91" s="878">
        <v>0.43</v>
      </c>
      <c r="K91" s="878">
        <v>0.43</v>
      </c>
      <c r="L91" s="878">
        <v>0.43</v>
      </c>
      <c r="M91" s="878">
        <v>0.43</v>
      </c>
      <c r="N91" s="878">
        <v>0.43</v>
      </c>
      <c r="O91" s="878">
        <v>0.43</v>
      </c>
      <c r="P91" s="878">
        <v>0.43</v>
      </c>
      <c r="Q91" s="878">
        <v>0.43</v>
      </c>
      <c r="R91" s="878">
        <v>0.43</v>
      </c>
      <c r="S91" s="878">
        <v>0.43</v>
      </c>
      <c r="T91" s="878">
        <v>0.43</v>
      </c>
      <c r="U91" s="878">
        <v>0.43</v>
      </c>
      <c r="V91" s="878">
        <v>0.43</v>
      </c>
      <c r="W91" s="878"/>
      <c r="X91" s="878"/>
      <c r="Y91" s="878"/>
      <c r="Z91" s="878"/>
      <c r="AA91" s="878"/>
      <c r="AB91" s="878"/>
      <c r="AC91" s="878"/>
      <c r="AD91" s="878"/>
      <c r="AE91" s="878"/>
      <c r="AF91" s="878"/>
      <c r="AG91" s="878"/>
      <c r="AH91" s="878"/>
      <c r="AI91" s="878"/>
      <c r="AJ91" s="878"/>
      <c r="AK91" s="878"/>
      <c r="AL91" s="878"/>
      <c r="AM91" s="878"/>
      <c r="AN91" s="878"/>
      <c r="AO91" s="878"/>
      <c r="AP91" s="878"/>
      <c r="AQ91" s="878"/>
      <c r="AR91" s="878"/>
      <c r="AS91" s="878"/>
      <c r="AT91" s="878"/>
      <c r="AU91" s="878"/>
      <c r="AV91" s="878"/>
      <c r="AW91" s="878"/>
      <c r="AX91" s="878"/>
      <c r="AY91" s="559">
        <v>0.25</v>
      </c>
      <c r="AZ91" s="560">
        <f t="shared" si="3"/>
        <v>0.43</v>
      </c>
      <c r="BA91" s="559">
        <f t="shared" si="4"/>
        <v>1.72</v>
      </c>
      <c r="BB91" s="553">
        <f t="shared" si="5"/>
        <v>0.25</v>
      </c>
    </row>
    <row r="92" spans="1:54" x14ac:dyDescent="0.35">
      <c r="A92" s="711"/>
      <c r="B92" s="561" t="s">
        <v>159</v>
      </c>
      <c r="C92" s="878"/>
      <c r="D92" s="878"/>
      <c r="E92" s="878"/>
      <c r="F92" s="878"/>
      <c r="G92" s="878">
        <v>1</v>
      </c>
      <c r="H92" s="878">
        <v>1</v>
      </c>
      <c r="I92" s="878">
        <v>1</v>
      </c>
      <c r="J92" s="878">
        <v>1</v>
      </c>
      <c r="K92" s="878">
        <v>1</v>
      </c>
      <c r="L92" s="878">
        <v>1</v>
      </c>
      <c r="M92" s="878">
        <v>1</v>
      </c>
      <c r="N92" s="878">
        <v>1</v>
      </c>
      <c r="O92" s="878">
        <v>1</v>
      </c>
      <c r="P92" s="878">
        <v>1</v>
      </c>
      <c r="Q92" s="878">
        <v>1</v>
      </c>
      <c r="R92" s="878">
        <v>1</v>
      </c>
      <c r="S92" s="878">
        <v>1</v>
      </c>
      <c r="T92" s="878">
        <v>1</v>
      </c>
      <c r="U92" s="878">
        <v>1</v>
      </c>
      <c r="V92" s="878">
        <v>1</v>
      </c>
      <c r="W92" s="878"/>
      <c r="X92" s="878"/>
      <c r="Y92" s="878"/>
      <c r="Z92" s="878"/>
      <c r="AA92" s="878"/>
      <c r="AB92" s="878"/>
      <c r="AC92" s="878"/>
      <c r="AD92" s="878"/>
      <c r="AE92" s="878"/>
      <c r="AF92" s="878"/>
      <c r="AG92" s="878"/>
      <c r="AH92" s="878"/>
      <c r="AI92" s="878"/>
      <c r="AJ92" s="878"/>
      <c r="AK92" s="878"/>
      <c r="AL92" s="878"/>
      <c r="AM92" s="878"/>
      <c r="AN92" s="878"/>
      <c r="AO92" s="878"/>
      <c r="AP92" s="878"/>
      <c r="AQ92" s="878"/>
      <c r="AR92" s="878"/>
      <c r="AS92" s="878"/>
      <c r="AT92" s="878"/>
      <c r="AU92" s="878"/>
      <c r="AV92" s="878"/>
      <c r="AW92" s="878"/>
      <c r="AX92" s="878"/>
      <c r="AY92" s="559">
        <v>0.25</v>
      </c>
      <c r="AZ92" s="560">
        <f t="shared" si="3"/>
        <v>1</v>
      </c>
      <c r="BA92" s="559">
        <f t="shared" si="4"/>
        <v>4</v>
      </c>
      <c r="BB92" s="553">
        <f t="shared" si="5"/>
        <v>0.25</v>
      </c>
    </row>
    <row r="93" spans="1:54" x14ac:dyDescent="0.35">
      <c r="A93" s="711"/>
      <c r="B93" s="561" t="s">
        <v>131</v>
      </c>
      <c r="C93" s="878"/>
      <c r="D93" s="878"/>
      <c r="E93" s="878"/>
      <c r="F93" s="878"/>
      <c r="G93" s="878">
        <v>0</v>
      </c>
      <c r="H93" s="878">
        <v>0</v>
      </c>
      <c r="I93" s="878">
        <v>0</v>
      </c>
      <c r="J93" s="878">
        <v>0</v>
      </c>
      <c r="K93" s="878">
        <v>0</v>
      </c>
      <c r="L93" s="878">
        <v>0</v>
      </c>
      <c r="M93" s="878">
        <v>0</v>
      </c>
      <c r="N93" s="878">
        <v>0</v>
      </c>
      <c r="O93" s="878">
        <v>0</v>
      </c>
      <c r="P93" s="878">
        <v>0</v>
      </c>
      <c r="Q93" s="878">
        <v>0</v>
      </c>
      <c r="R93" s="878">
        <v>0</v>
      </c>
      <c r="S93" s="878">
        <v>0</v>
      </c>
      <c r="T93" s="878">
        <v>0</v>
      </c>
      <c r="U93" s="878">
        <v>0</v>
      </c>
      <c r="V93" s="878">
        <v>0</v>
      </c>
      <c r="W93" s="878"/>
      <c r="X93" s="878"/>
      <c r="Y93" s="878"/>
      <c r="Z93" s="878"/>
      <c r="AA93" s="878"/>
      <c r="AB93" s="878"/>
      <c r="AC93" s="878"/>
      <c r="AD93" s="878"/>
      <c r="AE93" s="878"/>
      <c r="AF93" s="878"/>
      <c r="AG93" s="878"/>
      <c r="AH93" s="878"/>
      <c r="AI93" s="878"/>
      <c r="AJ93" s="878"/>
      <c r="AK93" s="878"/>
      <c r="AL93" s="878"/>
      <c r="AM93" s="878"/>
      <c r="AN93" s="878"/>
      <c r="AO93" s="878"/>
      <c r="AP93" s="878"/>
      <c r="AQ93" s="878"/>
      <c r="AR93" s="878"/>
      <c r="AS93" s="878"/>
      <c r="AT93" s="878"/>
      <c r="AU93" s="878"/>
      <c r="AV93" s="878"/>
      <c r="AW93" s="878"/>
      <c r="AX93" s="878"/>
      <c r="AY93" s="559">
        <v>0.25</v>
      </c>
      <c r="AZ93" s="560">
        <f t="shared" si="3"/>
        <v>0</v>
      </c>
      <c r="BA93" s="559">
        <f t="shared" si="4"/>
        <v>0</v>
      </c>
      <c r="BB93" s="553">
        <f t="shared" si="5"/>
        <v>0.25</v>
      </c>
    </row>
    <row r="94" spans="1:54" x14ac:dyDescent="0.35">
      <c r="A94" s="711"/>
      <c r="B94" s="561" t="s">
        <v>121</v>
      </c>
      <c r="C94" s="878"/>
      <c r="D94" s="878"/>
      <c r="E94" s="878"/>
      <c r="F94" s="878"/>
      <c r="G94" s="878">
        <v>0.19</v>
      </c>
      <c r="H94" s="878">
        <v>0.19</v>
      </c>
      <c r="I94" s="878">
        <v>0.19</v>
      </c>
      <c r="J94" s="878">
        <v>0.19</v>
      </c>
      <c r="K94" s="878">
        <v>0.19</v>
      </c>
      <c r="L94" s="878">
        <v>0.19</v>
      </c>
      <c r="M94" s="878">
        <v>0.19</v>
      </c>
      <c r="N94" s="878">
        <v>0.19</v>
      </c>
      <c r="O94" s="878">
        <v>0.19</v>
      </c>
      <c r="P94" s="878">
        <v>0.19</v>
      </c>
      <c r="Q94" s="878">
        <v>0.19</v>
      </c>
      <c r="R94" s="878">
        <v>0.19</v>
      </c>
      <c r="S94" s="878">
        <v>0.19</v>
      </c>
      <c r="T94" s="878">
        <v>0.19</v>
      </c>
      <c r="U94" s="878">
        <v>0.19</v>
      </c>
      <c r="V94" s="878">
        <v>0.19</v>
      </c>
      <c r="W94" s="878"/>
      <c r="X94" s="878"/>
      <c r="Y94" s="878"/>
      <c r="Z94" s="878"/>
      <c r="AA94" s="878"/>
      <c r="AB94" s="878"/>
      <c r="AC94" s="878"/>
      <c r="AD94" s="878"/>
      <c r="AE94" s="878"/>
      <c r="AF94" s="878"/>
      <c r="AG94" s="878"/>
      <c r="AH94" s="878"/>
      <c r="AI94" s="878"/>
      <c r="AJ94" s="878"/>
      <c r="AK94" s="878"/>
      <c r="AL94" s="878"/>
      <c r="AM94" s="878"/>
      <c r="AN94" s="878"/>
      <c r="AO94" s="878"/>
      <c r="AP94" s="878"/>
      <c r="AQ94" s="878"/>
      <c r="AR94" s="878"/>
      <c r="AS94" s="878"/>
      <c r="AT94" s="878"/>
      <c r="AU94" s="878"/>
      <c r="AV94" s="878"/>
      <c r="AW94" s="878"/>
      <c r="AX94" s="878"/>
      <c r="AY94" s="559">
        <v>0.25</v>
      </c>
      <c r="AZ94" s="560">
        <f t="shared" si="3"/>
        <v>0.19</v>
      </c>
      <c r="BA94" s="559">
        <f t="shared" si="4"/>
        <v>0.76</v>
      </c>
      <c r="BB94" s="553">
        <f t="shared" si="5"/>
        <v>0.25</v>
      </c>
    </row>
    <row r="95" spans="1:54" x14ac:dyDescent="0.35">
      <c r="A95" s="711" t="str">
        <f>DISTRIBUCIÓN!A66</f>
        <v>Paso 2. Diseño y ejecución del plan de monitoreo</v>
      </c>
      <c r="B95" s="561" t="s">
        <v>302</v>
      </c>
      <c r="C95" s="878"/>
      <c r="D95" s="878"/>
      <c r="E95" s="878"/>
      <c r="F95" s="878"/>
      <c r="G95" s="878"/>
      <c r="H95" s="878"/>
      <c r="I95" s="878"/>
      <c r="J95" s="878"/>
      <c r="K95" s="878">
        <v>0.15</v>
      </c>
      <c r="L95" s="878">
        <v>0.15</v>
      </c>
      <c r="M95" s="878">
        <v>0.15</v>
      </c>
      <c r="N95" s="878">
        <v>0.15</v>
      </c>
      <c r="O95" s="878">
        <v>0.15</v>
      </c>
      <c r="P95" s="878">
        <v>0.15</v>
      </c>
      <c r="Q95" s="878">
        <v>0.15</v>
      </c>
      <c r="R95" s="878">
        <v>0.15</v>
      </c>
      <c r="S95" s="878"/>
      <c r="T95" s="878"/>
      <c r="U95" s="878"/>
      <c r="V95" s="878"/>
      <c r="W95" s="878">
        <v>0.15</v>
      </c>
      <c r="X95" s="878">
        <v>0.15</v>
      </c>
      <c r="Y95" s="878">
        <v>0.15</v>
      </c>
      <c r="Z95" s="878">
        <v>0.15</v>
      </c>
      <c r="AA95" s="878"/>
      <c r="AB95" s="878"/>
      <c r="AC95" s="878"/>
      <c r="AD95" s="878"/>
      <c r="AE95" s="878"/>
      <c r="AF95" s="878"/>
      <c r="AG95" s="878"/>
      <c r="AH95" s="878"/>
      <c r="AI95" s="878"/>
      <c r="AJ95" s="878"/>
      <c r="AK95" s="878"/>
      <c r="AL95" s="878"/>
      <c r="AM95" s="878"/>
      <c r="AN95" s="878"/>
      <c r="AO95" s="878"/>
      <c r="AP95" s="878"/>
      <c r="AQ95" s="878"/>
      <c r="AR95" s="878"/>
      <c r="AS95" s="878"/>
      <c r="AT95" s="878"/>
      <c r="AU95" s="878"/>
      <c r="AV95" s="878"/>
      <c r="AW95" s="878"/>
      <c r="AX95" s="878"/>
      <c r="AY95" s="559">
        <v>0.33</v>
      </c>
      <c r="AZ95" s="560">
        <f t="shared" si="3"/>
        <v>0.15</v>
      </c>
      <c r="BA95" s="559">
        <f t="shared" si="4"/>
        <v>0.45</v>
      </c>
      <c r="BB95" s="553">
        <f t="shared" si="5"/>
        <v>0.33</v>
      </c>
    </row>
    <row r="96" spans="1:54" x14ac:dyDescent="0.35">
      <c r="A96" s="711"/>
      <c r="B96" s="561" t="s">
        <v>156</v>
      </c>
      <c r="C96" s="878"/>
      <c r="D96" s="878"/>
      <c r="E96" s="878"/>
      <c r="F96" s="878"/>
      <c r="G96" s="878"/>
      <c r="H96" s="878"/>
      <c r="I96" s="878"/>
      <c r="J96" s="878"/>
      <c r="K96" s="878">
        <v>0.55000000000000004</v>
      </c>
      <c r="L96" s="878">
        <v>0.55000000000000004</v>
      </c>
      <c r="M96" s="878">
        <v>0.55000000000000004</v>
      </c>
      <c r="N96" s="878">
        <v>0.55000000000000004</v>
      </c>
      <c r="O96" s="878">
        <v>0.55000000000000004</v>
      </c>
      <c r="P96" s="878">
        <v>0.55000000000000004</v>
      </c>
      <c r="Q96" s="878">
        <v>0.55000000000000004</v>
      </c>
      <c r="R96" s="878">
        <v>0.55000000000000004</v>
      </c>
      <c r="S96" s="878"/>
      <c r="T96" s="878"/>
      <c r="U96" s="878"/>
      <c r="V96" s="878"/>
      <c r="W96" s="878">
        <v>0.55000000000000004</v>
      </c>
      <c r="X96" s="878">
        <v>0.55000000000000004</v>
      </c>
      <c r="Y96" s="878">
        <v>0.55000000000000004</v>
      </c>
      <c r="Z96" s="878">
        <v>0.55000000000000004</v>
      </c>
      <c r="AA96" s="878"/>
      <c r="AB96" s="878"/>
      <c r="AC96" s="878"/>
      <c r="AD96" s="878"/>
      <c r="AE96" s="878"/>
      <c r="AF96" s="878"/>
      <c r="AG96" s="878"/>
      <c r="AH96" s="878"/>
      <c r="AI96" s="878"/>
      <c r="AJ96" s="878"/>
      <c r="AK96" s="878"/>
      <c r="AL96" s="878"/>
      <c r="AM96" s="878"/>
      <c r="AN96" s="878"/>
      <c r="AO96" s="878"/>
      <c r="AP96" s="878"/>
      <c r="AQ96" s="878"/>
      <c r="AR96" s="878"/>
      <c r="AS96" s="878"/>
      <c r="AT96" s="878"/>
      <c r="AU96" s="878"/>
      <c r="AV96" s="878"/>
      <c r="AW96" s="878"/>
      <c r="AX96" s="878"/>
      <c r="AY96" s="559">
        <v>0.33</v>
      </c>
      <c r="AZ96" s="560">
        <f t="shared" si="3"/>
        <v>0.55000000000000004</v>
      </c>
      <c r="BA96" s="559">
        <f t="shared" si="4"/>
        <v>1.65</v>
      </c>
      <c r="BB96" s="553">
        <f t="shared" si="5"/>
        <v>0.33</v>
      </c>
    </row>
    <row r="97" spans="1:54" x14ac:dyDescent="0.35">
      <c r="A97" s="711"/>
      <c r="B97" s="561" t="s">
        <v>157</v>
      </c>
      <c r="C97" s="878"/>
      <c r="D97" s="878"/>
      <c r="E97" s="878"/>
      <c r="F97" s="878"/>
      <c r="G97" s="878"/>
      <c r="H97" s="878"/>
      <c r="I97" s="878"/>
      <c r="J97" s="878"/>
      <c r="K97" s="878">
        <v>0.06</v>
      </c>
      <c r="L97" s="878">
        <v>0.06</v>
      </c>
      <c r="M97" s="878">
        <v>0.06</v>
      </c>
      <c r="N97" s="878">
        <v>0.06</v>
      </c>
      <c r="O97" s="878">
        <v>0.06</v>
      </c>
      <c r="P97" s="878">
        <v>0.06</v>
      </c>
      <c r="Q97" s="878">
        <v>0.06</v>
      </c>
      <c r="R97" s="878">
        <v>0.06</v>
      </c>
      <c r="S97" s="878"/>
      <c r="T97" s="878"/>
      <c r="U97" s="878"/>
      <c r="V97" s="878"/>
      <c r="W97" s="878">
        <v>0.06</v>
      </c>
      <c r="X97" s="878">
        <v>0.06</v>
      </c>
      <c r="Y97" s="878">
        <v>0.06</v>
      </c>
      <c r="Z97" s="878">
        <v>0.06</v>
      </c>
      <c r="AA97" s="878"/>
      <c r="AB97" s="878"/>
      <c r="AC97" s="878"/>
      <c r="AD97" s="878"/>
      <c r="AE97" s="878"/>
      <c r="AF97" s="878"/>
      <c r="AG97" s="878"/>
      <c r="AH97" s="878"/>
      <c r="AI97" s="878"/>
      <c r="AJ97" s="878"/>
      <c r="AK97" s="878"/>
      <c r="AL97" s="878"/>
      <c r="AM97" s="878"/>
      <c r="AN97" s="878"/>
      <c r="AO97" s="878"/>
      <c r="AP97" s="878"/>
      <c r="AQ97" s="878"/>
      <c r="AR97" s="878"/>
      <c r="AS97" s="878"/>
      <c r="AT97" s="878"/>
      <c r="AU97" s="878"/>
      <c r="AV97" s="878"/>
      <c r="AW97" s="878"/>
      <c r="AX97" s="878"/>
      <c r="AY97" s="559">
        <v>0.33</v>
      </c>
      <c r="AZ97" s="560">
        <f t="shared" si="3"/>
        <v>0.06</v>
      </c>
      <c r="BA97" s="559">
        <f t="shared" si="4"/>
        <v>0.18</v>
      </c>
      <c r="BB97" s="553">
        <f t="shared" si="5"/>
        <v>0.33</v>
      </c>
    </row>
    <row r="98" spans="1:54" x14ac:dyDescent="0.35">
      <c r="A98" s="711"/>
      <c r="B98" s="561" t="s">
        <v>158</v>
      </c>
      <c r="C98" s="878"/>
      <c r="D98" s="878"/>
      <c r="E98" s="878"/>
      <c r="F98" s="878"/>
      <c r="G98" s="878"/>
      <c r="H98" s="878"/>
      <c r="I98" s="878"/>
      <c r="J98" s="878"/>
      <c r="K98" s="878">
        <v>0</v>
      </c>
      <c r="L98" s="878">
        <v>0</v>
      </c>
      <c r="M98" s="878">
        <v>0</v>
      </c>
      <c r="N98" s="878">
        <v>0</v>
      </c>
      <c r="O98" s="878">
        <v>0</v>
      </c>
      <c r="P98" s="878">
        <v>0</v>
      </c>
      <c r="Q98" s="878">
        <v>0</v>
      </c>
      <c r="R98" s="878">
        <v>0</v>
      </c>
      <c r="S98" s="878"/>
      <c r="T98" s="878"/>
      <c r="U98" s="878"/>
      <c r="V98" s="878"/>
      <c r="W98" s="878">
        <v>0</v>
      </c>
      <c r="X98" s="878">
        <v>0</v>
      </c>
      <c r="Y98" s="878">
        <v>0</v>
      </c>
      <c r="Z98" s="878">
        <v>0</v>
      </c>
      <c r="AA98" s="878"/>
      <c r="AB98" s="878"/>
      <c r="AC98" s="878"/>
      <c r="AD98" s="878"/>
      <c r="AE98" s="878"/>
      <c r="AF98" s="878"/>
      <c r="AG98" s="878"/>
      <c r="AH98" s="878"/>
      <c r="AI98" s="878"/>
      <c r="AJ98" s="878"/>
      <c r="AK98" s="878"/>
      <c r="AL98" s="878"/>
      <c r="AM98" s="878"/>
      <c r="AN98" s="878"/>
      <c r="AO98" s="878"/>
      <c r="AP98" s="878"/>
      <c r="AQ98" s="878"/>
      <c r="AR98" s="878"/>
      <c r="AS98" s="878"/>
      <c r="AT98" s="878"/>
      <c r="AU98" s="878"/>
      <c r="AV98" s="878"/>
      <c r="AW98" s="878"/>
      <c r="AX98" s="878"/>
      <c r="AY98" s="559">
        <v>0.33</v>
      </c>
      <c r="AZ98" s="560">
        <f t="shared" si="3"/>
        <v>0</v>
      </c>
      <c r="BA98" s="559">
        <f t="shared" si="4"/>
        <v>0</v>
      </c>
      <c r="BB98" s="553">
        <f t="shared" si="5"/>
        <v>0.33</v>
      </c>
    </row>
    <row r="99" spans="1:54" x14ac:dyDescent="0.35">
      <c r="A99" s="711"/>
      <c r="B99" s="561" t="s">
        <v>159</v>
      </c>
      <c r="C99" s="878"/>
      <c r="D99" s="878"/>
      <c r="E99" s="878"/>
      <c r="F99" s="878"/>
      <c r="G99" s="878"/>
      <c r="H99" s="878"/>
      <c r="I99" s="878"/>
      <c r="J99" s="878"/>
      <c r="K99" s="878">
        <v>0</v>
      </c>
      <c r="L99" s="878">
        <v>0</v>
      </c>
      <c r="M99" s="878">
        <v>0</v>
      </c>
      <c r="N99" s="878">
        <v>0</v>
      </c>
      <c r="O99" s="878">
        <v>0</v>
      </c>
      <c r="P99" s="878">
        <v>0</v>
      </c>
      <c r="Q99" s="878">
        <v>0</v>
      </c>
      <c r="R99" s="878">
        <v>0</v>
      </c>
      <c r="S99" s="878"/>
      <c r="T99" s="878"/>
      <c r="U99" s="878"/>
      <c r="V99" s="878"/>
      <c r="W99" s="878">
        <v>0</v>
      </c>
      <c r="X99" s="878">
        <v>0</v>
      </c>
      <c r="Y99" s="878">
        <v>0</v>
      </c>
      <c r="Z99" s="878">
        <v>0</v>
      </c>
      <c r="AA99" s="878"/>
      <c r="AB99" s="878"/>
      <c r="AC99" s="878"/>
      <c r="AD99" s="878"/>
      <c r="AE99" s="878"/>
      <c r="AF99" s="878"/>
      <c r="AG99" s="878"/>
      <c r="AH99" s="878"/>
      <c r="AI99" s="878"/>
      <c r="AJ99" s="878"/>
      <c r="AK99" s="878"/>
      <c r="AL99" s="878"/>
      <c r="AM99" s="878"/>
      <c r="AN99" s="878"/>
      <c r="AO99" s="878"/>
      <c r="AP99" s="878"/>
      <c r="AQ99" s="878"/>
      <c r="AR99" s="878"/>
      <c r="AS99" s="878"/>
      <c r="AT99" s="878"/>
      <c r="AU99" s="878"/>
      <c r="AV99" s="878"/>
      <c r="AW99" s="878"/>
      <c r="AX99" s="878"/>
      <c r="AY99" s="559">
        <v>0.33</v>
      </c>
      <c r="AZ99" s="560">
        <f t="shared" si="3"/>
        <v>0</v>
      </c>
      <c r="BA99" s="559">
        <f t="shared" si="4"/>
        <v>0</v>
      </c>
      <c r="BB99" s="553">
        <f t="shared" si="5"/>
        <v>0.33</v>
      </c>
    </row>
    <row r="100" spans="1:54" x14ac:dyDescent="0.35">
      <c r="A100" s="711"/>
      <c r="B100" s="561" t="s">
        <v>131</v>
      </c>
      <c r="C100" s="878"/>
      <c r="D100" s="878"/>
      <c r="E100" s="878"/>
      <c r="F100" s="878"/>
      <c r="G100" s="878"/>
      <c r="H100" s="878"/>
      <c r="I100" s="878"/>
      <c r="J100" s="878"/>
      <c r="K100" s="878">
        <v>0</v>
      </c>
      <c r="L100" s="878">
        <v>0</v>
      </c>
      <c r="M100" s="878">
        <v>0</v>
      </c>
      <c r="N100" s="878">
        <v>0</v>
      </c>
      <c r="O100" s="878">
        <v>0</v>
      </c>
      <c r="P100" s="878">
        <v>0</v>
      </c>
      <c r="Q100" s="878">
        <v>0</v>
      </c>
      <c r="R100" s="878">
        <v>0</v>
      </c>
      <c r="S100" s="878"/>
      <c r="T100" s="878"/>
      <c r="U100" s="878"/>
      <c r="V100" s="878"/>
      <c r="W100" s="878">
        <v>0.12</v>
      </c>
      <c r="X100" s="878">
        <v>0.12</v>
      </c>
      <c r="Y100" s="878">
        <v>0.12</v>
      </c>
      <c r="Z100" s="878">
        <v>0.12</v>
      </c>
      <c r="AA100" s="878"/>
      <c r="AB100" s="878"/>
      <c r="AC100" s="878"/>
      <c r="AD100" s="878"/>
      <c r="AE100" s="878"/>
      <c r="AF100" s="878"/>
      <c r="AG100" s="878"/>
      <c r="AH100" s="878"/>
      <c r="AI100" s="878"/>
      <c r="AJ100" s="878"/>
      <c r="AK100" s="878"/>
      <c r="AL100" s="878"/>
      <c r="AM100" s="878"/>
      <c r="AN100" s="878"/>
      <c r="AO100" s="878"/>
      <c r="AP100" s="878"/>
      <c r="AQ100" s="878"/>
      <c r="AR100" s="878"/>
      <c r="AS100" s="878"/>
      <c r="AT100" s="878"/>
      <c r="AU100" s="878"/>
      <c r="AV100" s="878"/>
      <c r="AW100" s="878"/>
      <c r="AX100" s="878"/>
      <c r="AY100" s="559">
        <v>0.33</v>
      </c>
      <c r="AZ100" s="560">
        <f t="shared" si="3"/>
        <v>0.12</v>
      </c>
      <c r="BA100" s="559">
        <f t="shared" si="4"/>
        <v>0.12</v>
      </c>
      <c r="BB100" s="553">
        <f t="shared" si="5"/>
        <v>0.33</v>
      </c>
    </row>
    <row r="101" spans="1:54" x14ac:dyDescent="0.35">
      <c r="A101" s="711"/>
      <c r="B101" s="561" t="s">
        <v>121</v>
      </c>
      <c r="C101" s="878"/>
      <c r="D101" s="878"/>
      <c r="E101" s="878"/>
      <c r="F101" s="878"/>
      <c r="G101" s="878"/>
      <c r="H101" s="878"/>
      <c r="I101" s="878"/>
      <c r="J101" s="878"/>
      <c r="K101" s="878">
        <v>0.12</v>
      </c>
      <c r="L101" s="878">
        <v>0.12</v>
      </c>
      <c r="M101" s="878">
        <v>0.12</v>
      </c>
      <c r="N101" s="878">
        <v>0.12</v>
      </c>
      <c r="O101" s="878">
        <v>0.12</v>
      </c>
      <c r="P101" s="878">
        <v>0.12</v>
      </c>
      <c r="Q101" s="878">
        <v>0.12</v>
      </c>
      <c r="R101" s="878">
        <v>0.12</v>
      </c>
      <c r="S101" s="878"/>
      <c r="T101" s="878"/>
      <c r="U101" s="878"/>
      <c r="V101" s="878"/>
      <c r="W101" s="878">
        <v>0.12</v>
      </c>
      <c r="X101" s="878">
        <v>0.12</v>
      </c>
      <c r="Y101" s="878">
        <v>0.12</v>
      </c>
      <c r="Z101" s="878">
        <v>0.12</v>
      </c>
      <c r="AA101" s="878"/>
      <c r="AB101" s="878"/>
      <c r="AC101" s="878"/>
      <c r="AD101" s="878"/>
      <c r="AE101" s="878"/>
      <c r="AF101" s="878"/>
      <c r="AG101" s="878"/>
      <c r="AH101" s="878"/>
      <c r="AI101" s="878"/>
      <c r="AJ101" s="878"/>
      <c r="AK101" s="878"/>
      <c r="AL101" s="878"/>
      <c r="AM101" s="878"/>
      <c r="AN101" s="878"/>
      <c r="AO101" s="878"/>
      <c r="AP101" s="878"/>
      <c r="AQ101" s="878"/>
      <c r="AR101" s="878"/>
      <c r="AS101" s="878"/>
      <c r="AT101" s="878"/>
      <c r="AU101" s="878"/>
      <c r="AV101" s="878"/>
      <c r="AW101" s="878"/>
      <c r="AX101" s="878"/>
      <c r="AY101" s="559">
        <v>0.33</v>
      </c>
      <c r="AZ101" s="560">
        <f t="shared" si="3"/>
        <v>0.12</v>
      </c>
      <c r="BA101" s="559">
        <f t="shared" si="4"/>
        <v>0.36</v>
      </c>
      <c r="BB101" s="553">
        <f t="shared" si="5"/>
        <v>0.33</v>
      </c>
    </row>
    <row r="102" spans="1:54" x14ac:dyDescent="0.35">
      <c r="A102" s="711" t="str">
        <f>DISTRIBUCIÓN!A68</f>
        <v>Paso 1. Consolidación de usos existentes del recurso hídrico</v>
      </c>
      <c r="B102" s="561" t="s">
        <v>302</v>
      </c>
      <c r="C102" s="878"/>
      <c r="D102" s="878"/>
      <c r="E102" s="878"/>
      <c r="F102" s="878"/>
      <c r="G102" s="878"/>
      <c r="H102" s="878"/>
      <c r="I102" s="878"/>
      <c r="J102" s="878"/>
      <c r="K102" s="878"/>
      <c r="L102" s="878"/>
      <c r="M102" s="878"/>
      <c r="N102" s="878"/>
      <c r="O102" s="878"/>
      <c r="P102" s="878"/>
      <c r="Q102" s="878"/>
      <c r="R102" s="878"/>
      <c r="S102" s="878"/>
      <c r="T102" s="878"/>
      <c r="U102" s="878"/>
      <c r="V102" s="878"/>
      <c r="W102" s="878">
        <v>7.0000000000000007E-2</v>
      </c>
      <c r="X102" s="878">
        <v>7.0000000000000007E-2</v>
      </c>
      <c r="Y102" s="878">
        <v>7.0000000000000007E-2</v>
      </c>
      <c r="Z102" s="878">
        <v>7.0000000000000007E-2</v>
      </c>
      <c r="AA102" s="878">
        <v>7.0000000000000007E-2</v>
      </c>
      <c r="AB102" s="878">
        <v>7.0000000000000007E-2</v>
      </c>
      <c r="AC102" s="878">
        <v>7.0000000000000007E-2</v>
      </c>
      <c r="AD102" s="878">
        <v>7.0000000000000007E-2</v>
      </c>
      <c r="AE102" s="878"/>
      <c r="AF102" s="878"/>
      <c r="AG102" s="878"/>
      <c r="AH102" s="878"/>
      <c r="AI102" s="878"/>
      <c r="AJ102" s="878"/>
      <c r="AK102" s="878"/>
      <c r="AL102" s="878"/>
      <c r="AM102" s="878"/>
      <c r="AN102" s="878"/>
      <c r="AO102" s="878"/>
      <c r="AP102" s="878"/>
      <c r="AQ102" s="878"/>
      <c r="AR102" s="878"/>
      <c r="AS102" s="878"/>
      <c r="AT102" s="878"/>
      <c r="AU102" s="878"/>
      <c r="AV102" s="878"/>
      <c r="AW102" s="878"/>
      <c r="AX102" s="878"/>
      <c r="AY102" s="559">
        <v>0.5</v>
      </c>
      <c r="AZ102" s="560">
        <f t="shared" si="3"/>
        <v>7.0000000000000007E-2</v>
      </c>
      <c r="BA102" s="559">
        <f t="shared" si="4"/>
        <v>0.14000000000000001</v>
      </c>
      <c r="BB102" s="553">
        <f t="shared" si="5"/>
        <v>0.5</v>
      </c>
    </row>
    <row r="103" spans="1:54" x14ac:dyDescent="0.35">
      <c r="A103" s="711"/>
      <c r="B103" s="561" t="s">
        <v>156</v>
      </c>
      <c r="C103" s="878"/>
      <c r="D103" s="878"/>
      <c r="E103" s="878"/>
      <c r="F103" s="878"/>
      <c r="G103" s="878"/>
      <c r="H103" s="878"/>
      <c r="I103" s="878"/>
      <c r="J103" s="878"/>
      <c r="K103" s="878"/>
      <c r="L103" s="878"/>
      <c r="M103" s="878"/>
      <c r="N103" s="878"/>
      <c r="O103" s="878"/>
      <c r="P103" s="878"/>
      <c r="Q103" s="878"/>
      <c r="R103" s="878"/>
      <c r="S103" s="878"/>
      <c r="T103" s="878"/>
      <c r="U103" s="878"/>
      <c r="V103" s="878"/>
      <c r="W103" s="878">
        <v>0.06</v>
      </c>
      <c r="X103" s="878">
        <v>0.06</v>
      </c>
      <c r="Y103" s="878">
        <v>0.06</v>
      </c>
      <c r="Z103" s="878">
        <v>0.06</v>
      </c>
      <c r="AA103" s="878">
        <v>0.06</v>
      </c>
      <c r="AB103" s="878">
        <v>0.06</v>
      </c>
      <c r="AC103" s="878">
        <v>0.06</v>
      </c>
      <c r="AD103" s="878">
        <v>0.06</v>
      </c>
      <c r="AE103" s="878"/>
      <c r="AF103" s="878"/>
      <c r="AG103" s="878"/>
      <c r="AH103" s="878"/>
      <c r="AI103" s="878"/>
      <c r="AJ103" s="878"/>
      <c r="AK103" s="878"/>
      <c r="AL103" s="878"/>
      <c r="AM103" s="878"/>
      <c r="AN103" s="878"/>
      <c r="AO103" s="878"/>
      <c r="AP103" s="878"/>
      <c r="AQ103" s="878"/>
      <c r="AR103" s="878"/>
      <c r="AS103" s="878"/>
      <c r="AT103" s="878"/>
      <c r="AU103" s="878"/>
      <c r="AV103" s="878"/>
      <c r="AW103" s="878"/>
      <c r="AX103" s="878"/>
      <c r="AY103" s="559">
        <v>0.5</v>
      </c>
      <c r="AZ103" s="560">
        <f t="shared" si="3"/>
        <v>0.06</v>
      </c>
      <c r="BA103" s="559">
        <f t="shared" si="4"/>
        <v>0.12</v>
      </c>
      <c r="BB103" s="553">
        <f t="shared" si="5"/>
        <v>0.5</v>
      </c>
    </row>
    <row r="104" spans="1:54" x14ac:dyDescent="0.35">
      <c r="A104" s="711"/>
      <c r="B104" s="561" t="s">
        <v>157</v>
      </c>
      <c r="C104" s="878"/>
      <c r="D104" s="878"/>
      <c r="E104" s="878"/>
      <c r="F104" s="878"/>
      <c r="G104" s="878"/>
      <c r="H104" s="878"/>
      <c r="I104" s="878"/>
      <c r="J104" s="878"/>
      <c r="K104" s="878"/>
      <c r="L104" s="878"/>
      <c r="M104" s="878"/>
      <c r="N104" s="878"/>
      <c r="O104" s="878"/>
      <c r="P104" s="878"/>
      <c r="Q104" s="878"/>
      <c r="R104" s="878"/>
      <c r="S104" s="878"/>
      <c r="T104" s="878"/>
      <c r="U104" s="878"/>
      <c r="V104" s="878"/>
      <c r="W104" s="878">
        <v>0.03</v>
      </c>
      <c r="X104" s="878">
        <v>0.03</v>
      </c>
      <c r="Y104" s="878">
        <v>0.03</v>
      </c>
      <c r="Z104" s="878">
        <v>0.03</v>
      </c>
      <c r="AA104" s="878">
        <v>0</v>
      </c>
      <c r="AB104" s="878">
        <v>0</v>
      </c>
      <c r="AC104" s="878">
        <v>0</v>
      </c>
      <c r="AD104" s="878">
        <v>0</v>
      </c>
      <c r="AE104" s="878"/>
      <c r="AF104" s="878"/>
      <c r="AG104" s="878"/>
      <c r="AH104" s="878"/>
      <c r="AI104" s="878"/>
      <c r="AJ104" s="878"/>
      <c r="AK104" s="878"/>
      <c r="AL104" s="878"/>
      <c r="AM104" s="878"/>
      <c r="AN104" s="878"/>
      <c r="AO104" s="878"/>
      <c r="AP104" s="878"/>
      <c r="AQ104" s="878"/>
      <c r="AR104" s="878"/>
      <c r="AS104" s="878"/>
      <c r="AT104" s="878"/>
      <c r="AU104" s="878"/>
      <c r="AV104" s="878"/>
      <c r="AW104" s="878"/>
      <c r="AX104" s="878"/>
      <c r="AY104" s="559">
        <v>0.5</v>
      </c>
      <c r="AZ104" s="560">
        <f t="shared" si="3"/>
        <v>0.03</v>
      </c>
      <c r="BA104" s="559">
        <f t="shared" si="4"/>
        <v>0.03</v>
      </c>
      <c r="BB104" s="553">
        <f>ROUND(1/(COUNT(B104:AX104)/4),2)</f>
        <v>0.5</v>
      </c>
    </row>
    <row r="105" spans="1:54" x14ac:dyDescent="0.35">
      <c r="A105" s="711"/>
      <c r="B105" s="561" t="s">
        <v>158</v>
      </c>
      <c r="C105" s="878"/>
      <c r="D105" s="878"/>
      <c r="E105" s="878"/>
      <c r="F105" s="878"/>
      <c r="G105" s="878"/>
      <c r="H105" s="878"/>
      <c r="I105" s="878"/>
      <c r="J105" s="878"/>
      <c r="K105" s="878"/>
      <c r="L105" s="878"/>
      <c r="M105" s="878"/>
      <c r="N105" s="878"/>
      <c r="O105" s="878"/>
      <c r="P105" s="878"/>
      <c r="Q105" s="878"/>
      <c r="R105" s="878"/>
      <c r="S105" s="878"/>
      <c r="T105" s="878"/>
      <c r="U105" s="878"/>
      <c r="V105" s="878"/>
      <c r="W105" s="878">
        <v>0</v>
      </c>
      <c r="X105" s="878">
        <v>0</v>
      </c>
      <c r="Y105" s="878">
        <v>0</v>
      </c>
      <c r="Z105" s="878">
        <v>0</v>
      </c>
      <c r="AA105" s="878">
        <v>0</v>
      </c>
      <c r="AB105" s="878">
        <v>0</v>
      </c>
      <c r="AC105" s="878">
        <v>0</v>
      </c>
      <c r="AD105" s="878">
        <v>0</v>
      </c>
      <c r="AE105" s="878"/>
      <c r="AF105" s="878"/>
      <c r="AG105" s="878"/>
      <c r="AH105" s="878"/>
      <c r="AI105" s="878"/>
      <c r="AJ105" s="878"/>
      <c r="AK105" s="878"/>
      <c r="AL105" s="878"/>
      <c r="AM105" s="878"/>
      <c r="AN105" s="878"/>
      <c r="AO105" s="878"/>
      <c r="AP105" s="878"/>
      <c r="AQ105" s="878"/>
      <c r="AR105" s="878"/>
      <c r="AS105" s="878"/>
      <c r="AT105" s="878"/>
      <c r="AU105" s="878"/>
      <c r="AV105" s="878"/>
      <c r="AW105" s="878"/>
      <c r="AX105" s="878"/>
      <c r="AY105" s="559">
        <v>0.5</v>
      </c>
      <c r="AZ105" s="560">
        <f t="shared" si="3"/>
        <v>0</v>
      </c>
      <c r="BA105" s="559">
        <f t="shared" si="4"/>
        <v>0</v>
      </c>
      <c r="BB105" s="553">
        <f t="shared" ref="BB105:BB116" si="6">ROUND(1/(COUNT(B105:AX105)/4),2)</f>
        <v>0.5</v>
      </c>
    </row>
    <row r="106" spans="1:54" x14ac:dyDescent="0.35">
      <c r="A106" s="711"/>
      <c r="B106" s="561" t="s">
        <v>159</v>
      </c>
      <c r="C106" s="878"/>
      <c r="D106" s="878"/>
      <c r="E106" s="878"/>
      <c r="F106" s="878"/>
      <c r="G106" s="878"/>
      <c r="H106" s="878"/>
      <c r="I106" s="878"/>
      <c r="J106" s="878"/>
      <c r="K106" s="878"/>
      <c r="L106" s="878"/>
      <c r="M106" s="878"/>
      <c r="N106" s="878"/>
      <c r="O106" s="878"/>
      <c r="P106" s="878"/>
      <c r="Q106" s="878"/>
      <c r="R106" s="878"/>
      <c r="S106" s="878"/>
      <c r="T106" s="878"/>
      <c r="U106" s="878"/>
      <c r="V106" s="878"/>
      <c r="W106" s="878">
        <v>0</v>
      </c>
      <c r="X106" s="878">
        <v>0</v>
      </c>
      <c r="Y106" s="878">
        <v>0</v>
      </c>
      <c r="Z106" s="878">
        <v>0</v>
      </c>
      <c r="AA106" s="878">
        <v>0</v>
      </c>
      <c r="AB106" s="878">
        <v>0</v>
      </c>
      <c r="AC106" s="878">
        <v>0</v>
      </c>
      <c r="AD106" s="878">
        <v>0</v>
      </c>
      <c r="AE106" s="878"/>
      <c r="AF106" s="878"/>
      <c r="AG106" s="878"/>
      <c r="AH106" s="878"/>
      <c r="AI106" s="878"/>
      <c r="AJ106" s="878"/>
      <c r="AK106" s="878"/>
      <c r="AL106" s="878"/>
      <c r="AM106" s="878"/>
      <c r="AN106" s="878"/>
      <c r="AO106" s="878"/>
      <c r="AP106" s="878"/>
      <c r="AQ106" s="878"/>
      <c r="AR106" s="878"/>
      <c r="AS106" s="878"/>
      <c r="AT106" s="878"/>
      <c r="AU106" s="878"/>
      <c r="AV106" s="878"/>
      <c r="AW106" s="878"/>
      <c r="AX106" s="878"/>
      <c r="AY106" s="559">
        <v>0.5</v>
      </c>
      <c r="AZ106" s="560">
        <f t="shared" si="3"/>
        <v>0</v>
      </c>
      <c r="BA106" s="559">
        <f t="shared" si="4"/>
        <v>0</v>
      </c>
      <c r="BB106" s="553">
        <f t="shared" si="6"/>
        <v>0.5</v>
      </c>
    </row>
    <row r="107" spans="1:54" x14ac:dyDescent="0.35">
      <c r="A107" s="711"/>
      <c r="B107" s="561" t="s">
        <v>131</v>
      </c>
      <c r="C107" s="878"/>
      <c r="D107" s="878"/>
      <c r="E107" s="878"/>
      <c r="F107" s="878"/>
      <c r="G107" s="878"/>
      <c r="H107" s="878"/>
      <c r="I107" s="878"/>
      <c r="J107" s="878"/>
      <c r="K107" s="878"/>
      <c r="L107" s="878"/>
      <c r="M107" s="878"/>
      <c r="N107" s="878"/>
      <c r="O107" s="878"/>
      <c r="P107" s="878"/>
      <c r="Q107" s="878"/>
      <c r="R107" s="878"/>
      <c r="S107" s="878"/>
      <c r="T107" s="878"/>
      <c r="U107" s="878"/>
      <c r="V107" s="878"/>
      <c r="W107" s="878">
        <v>0</v>
      </c>
      <c r="X107" s="878">
        <v>0</v>
      </c>
      <c r="Y107" s="878">
        <v>0</v>
      </c>
      <c r="Z107" s="878">
        <v>0</v>
      </c>
      <c r="AA107" s="878">
        <v>0</v>
      </c>
      <c r="AB107" s="878">
        <v>0</v>
      </c>
      <c r="AC107" s="878">
        <v>0</v>
      </c>
      <c r="AD107" s="878">
        <v>0</v>
      </c>
      <c r="AE107" s="878"/>
      <c r="AF107" s="878"/>
      <c r="AG107" s="878"/>
      <c r="AH107" s="878"/>
      <c r="AI107" s="878"/>
      <c r="AJ107" s="878"/>
      <c r="AK107" s="878"/>
      <c r="AL107" s="878"/>
      <c r="AM107" s="878"/>
      <c r="AN107" s="878"/>
      <c r="AO107" s="878"/>
      <c r="AP107" s="878"/>
      <c r="AQ107" s="878"/>
      <c r="AR107" s="878"/>
      <c r="AS107" s="878"/>
      <c r="AT107" s="878"/>
      <c r="AU107" s="878"/>
      <c r="AV107" s="878"/>
      <c r="AW107" s="878"/>
      <c r="AX107" s="878"/>
      <c r="AY107" s="559">
        <v>0.5</v>
      </c>
      <c r="AZ107" s="560">
        <f t="shared" si="3"/>
        <v>0</v>
      </c>
      <c r="BA107" s="559">
        <f t="shared" si="4"/>
        <v>0</v>
      </c>
      <c r="BB107" s="553">
        <f t="shared" si="6"/>
        <v>0.5</v>
      </c>
    </row>
    <row r="108" spans="1:54" x14ac:dyDescent="0.35">
      <c r="A108" s="711"/>
      <c r="B108" s="561" t="s">
        <v>121</v>
      </c>
      <c r="C108" s="878"/>
      <c r="D108" s="878"/>
      <c r="E108" s="878"/>
      <c r="F108" s="878"/>
      <c r="G108" s="878"/>
      <c r="H108" s="878"/>
      <c r="I108" s="878"/>
      <c r="J108" s="878"/>
      <c r="K108" s="878"/>
      <c r="L108" s="878"/>
      <c r="M108" s="878"/>
      <c r="N108" s="878"/>
      <c r="O108" s="878"/>
      <c r="P108" s="878"/>
      <c r="Q108" s="878"/>
      <c r="R108" s="878"/>
      <c r="S108" s="878"/>
      <c r="T108" s="878"/>
      <c r="U108" s="878"/>
      <c r="V108" s="878"/>
      <c r="W108" s="878">
        <v>7.0000000000000007E-2</v>
      </c>
      <c r="X108" s="878">
        <v>7.0000000000000007E-2</v>
      </c>
      <c r="Y108" s="878">
        <v>7.0000000000000007E-2</v>
      </c>
      <c r="Z108" s="878">
        <v>7.0000000000000007E-2</v>
      </c>
      <c r="AA108" s="878">
        <v>7.0000000000000007E-2</v>
      </c>
      <c r="AB108" s="878">
        <v>7.0000000000000007E-2</v>
      </c>
      <c r="AC108" s="878">
        <v>7.0000000000000007E-2</v>
      </c>
      <c r="AD108" s="878">
        <v>7.0000000000000007E-2</v>
      </c>
      <c r="AE108" s="878"/>
      <c r="AF108" s="878"/>
      <c r="AG108" s="878"/>
      <c r="AH108" s="878"/>
      <c r="AI108" s="878"/>
      <c r="AJ108" s="878"/>
      <c r="AK108" s="878"/>
      <c r="AL108" s="878"/>
      <c r="AM108" s="878"/>
      <c r="AN108" s="878"/>
      <c r="AO108" s="878"/>
      <c r="AP108" s="878"/>
      <c r="AQ108" s="878"/>
      <c r="AR108" s="878"/>
      <c r="AS108" s="878"/>
      <c r="AT108" s="878"/>
      <c r="AU108" s="878"/>
      <c r="AV108" s="878"/>
      <c r="AW108" s="878"/>
      <c r="AX108" s="878"/>
      <c r="AY108" s="559">
        <v>0.5</v>
      </c>
      <c r="AZ108" s="560">
        <f t="shared" si="3"/>
        <v>7.0000000000000007E-2</v>
      </c>
      <c r="BA108" s="559">
        <f t="shared" si="4"/>
        <v>0.14000000000000001</v>
      </c>
      <c r="BB108" s="553">
        <f t="shared" si="6"/>
        <v>0.5</v>
      </c>
    </row>
    <row r="109" spans="1:54" x14ac:dyDescent="0.35">
      <c r="A109" s="711" t="str">
        <f>DISTRIBUCIÓN!A69</f>
        <v>Paso 2. Estimación de la oferta hídrica total y oferta hídrica total disponible e indicadores de estado</v>
      </c>
      <c r="B109" s="561" t="s">
        <v>302</v>
      </c>
      <c r="C109" s="878"/>
      <c r="D109" s="878"/>
      <c r="E109" s="878"/>
      <c r="F109" s="878"/>
      <c r="G109" s="878"/>
      <c r="H109" s="878"/>
      <c r="I109" s="878"/>
      <c r="J109" s="878"/>
      <c r="K109" s="878">
        <v>0.13</v>
      </c>
      <c r="L109" s="878">
        <v>0.13</v>
      </c>
      <c r="M109" s="878">
        <v>0.13</v>
      </c>
      <c r="N109" s="878">
        <v>0.13</v>
      </c>
      <c r="O109" s="878">
        <v>0.13</v>
      </c>
      <c r="P109" s="878">
        <v>0.13</v>
      </c>
      <c r="Q109" s="878">
        <v>0.13</v>
      </c>
      <c r="R109" s="878">
        <v>0.13</v>
      </c>
      <c r="S109" s="878">
        <v>0.13</v>
      </c>
      <c r="T109" s="878">
        <v>0.13</v>
      </c>
      <c r="U109" s="878">
        <v>0.13</v>
      </c>
      <c r="V109" s="878">
        <v>0.13</v>
      </c>
      <c r="W109" s="878"/>
      <c r="X109" s="878"/>
      <c r="Y109" s="878"/>
      <c r="Z109" s="878"/>
      <c r="AA109" s="878"/>
      <c r="AB109" s="878"/>
      <c r="AC109" s="878"/>
      <c r="AD109" s="878"/>
      <c r="AE109" s="878"/>
      <c r="AF109" s="878"/>
      <c r="AG109" s="878"/>
      <c r="AH109" s="878"/>
      <c r="AI109" s="878"/>
      <c r="AJ109" s="878"/>
      <c r="AK109" s="878"/>
      <c r="AL109" s="878"/>
      <c r="AM109" s="878"/>
      <c r="AN109" s="878"/>
      <c r="AO109" s="878"/>
      <c r="AP109" s="878"/>
      <c r="AQ109" s="878"/>
      <c r="AR109" s="878"/>
      <c r="AS109" s="878"/>
      <c r="AT109" s="878"/>
      <c r="AU109" s="878"/>
      <c r="AV109" s="878"/>
      <c r="AW109" s="878"/>
      <c r="AX109" s="878"/>
      <c r="AY109" s="559">
        <v>0.33</v>
      </c>
      <c r="AZ109" s="560">
        <f t="shared" si="3"/>
        <v>0.13</v>
      </c>
      <c r="BA109" s="559">
        <f t="shared" si="4"/>
        <v>0.39</v>
      </c>
      <c r="BB109" s="553">
        <f t="shared" si="6"/>
        <v>0.33</v>
      </c>
    </row>
    <row r="110" spans="1:54" x14ac:dyDescent="0.35">
      <c r="A110" s="711"/>
      <c r="B110" s="561" t="s">
        <v>156</v>
      </c>
      <c r="C110" s="878"/>
      <c r="D110" s="878"/>
      <c r="E110" s="878"/>
      <c r="F110" s="878"/>
      <c r="G110" s="878"/>
      <c r="H110" s="878"/>
      <c r="I110" s="878"/>
      <c r="J110" s="878"/>
      <c r="K110" s="878">
        <v>0.09</v>
      </c>
      <c r="L110" s="878">
        <v>0.09</v>
      </c>
      <c r="M110" s="878">
        <v>0.09</v>
      </c>
      <c r="N110" s="878">
        <v>0.09</v>
      </c>
      <c r="O110" s="878">
        <v>0.09</v>
      </c>
      <c r="P110" s="878">
        <v>0.09</v>
      </c>
      <c r="Q110" s="878">
        <v>0.09</v>
      </c>
      <c r="R110" s="878">
        <v>0.09</v>
      </c>
      <c r="S110" s="878">
        <v>0.09</v>
      </c>
      <c r="T110" s="878">
        <v>0.09</v>
      </c>
      <c r="U110" s="878">
        <v>0.09</v>
      </c>
      <c r="V110" s="878">
        <v>0.09</v>
      </c>
      <c r="W110" s="878"/>
      <c r="X110" s="878"/>
      <c r="Y110" s="878"/>
      <c r="Z110" s="878"/>
      <c r="AA110" s="878"/>
      <c r="AB110" s="878"/>
      <c r="AC110" s="878"/>
      <c r="AD110" s="878"/>
      <c r="AE110" s="878"/>
      <c r="AF110" s="878"/>
      <c r="AG110" s="878"/>
      <c r="AH110" s="878"/>
      <c r="AI110" s="878"/>
      <c r="AJ110" s="878"/>
      <c r="AK110" s="878"/>
      <c r="AL110" s="878"/>
      <c r="AM110" s="878"/>
      <c r="AN110" s="878"/>
      <c r="AO110" s="878"/>
      <c r="AP110" s="878"/>
      <c r="AQ110" s="878"/>
      <c r="AR110" s="878"/>
      <c r="AS110" s="878"/>
      <c r="AT110" s="878"/>
      <c r="AU110" s="878"/>
      <c r="AV110" s="878"/>
      <c r="AW110" s="878"/>
      <c r="AX110" s="878"/>
      <c r="AY110" s="559">
        <v>0.33</v>
      </c>
      <c r="AZ110" s="560">
        <f t="shared" si="3"/>
        <v>0.09</v>
      </c>
      <c r="BA110" s="559">
        <f t="shared" si="4"/>
        <v>0.27</v>
      </c>
      <c r="BB110" s="553">
        <f t="shared" si="6"/>
        <v>0.33</v>
      </c>
    </row>
    <row r="111" spans="1:54" x14ac:dyDescent="0.35">
      <c r="A111" s="711"/>
      <c r="B111" s="561" t="s">
        <v>157</v>
      </c>
      <c r="C111" s="878"/>
      <c r="D111" s="878"/>
      <c r="E111" s="878"/>
      <c r="F111" s="878"/>
      <c r="G111" s="878"/>
      <c r="H111" s="878"/>
      <c r="I111" s="878"/>
      <c r="J111" s="878"/>
      <c r="K111" s="878">
        <v>0.31</v>
      </c>
      <c r="L111" s="878">
        <v>0.31</v>
      </c>
      <c r="M111" s="878">
        <v>0.31</v>
      </c>
      <c r="N111" s="878">
        <v>0.31</v>
      </c>
      <c r="O111" s="878">
        <v>0.31</v>
      </c>
      <c r="P111" s="878">
        <v>0.31</v>
      </c>
      <c r="Q111" s="878">
        <v>0.31</v>
      </c>
      <c r="R111" s="878">
        <v>0.31</v>
      </c>
      <c r="S111" s="878">
        <v>0.31</v>
      </c>
      <c r="T111" s="878">
        <v>0.31</v>
      </c>
      <c r="U111" s="878">
        <v>0.31</v>
      </c>
      <c r="V111" s="878">
        <v>0.31</v>
      </c>
      <c r="W111" s="878"/>
      <c r="X111" s="878"/>
      <c r="Y111" s="878"/>
      <c r="Z111" s="878"/>
      <c r="AA111" s="878"/>
      <c r="AB111" s="878"/>
      <c r="AC111" s="878"/>
      <c r="AD111" s="878"/>
      <c r="AE111" s="878"/>
      <c r="AF111" s="878"/>
      <c r="AG111" s="878"/>
      <c r="AH111" s="878"/>
      <c r="AI111" s="878"/>
      <c r="AJ111" s="878"/>
      <c r="AK111" s="878"/>
      <c r="AL111" s="878"/>
      <c r="AM111" s="878"/>
      <c r="AN111" s="878"/>
      <c r="AO111" s="878"/>
      <c r="AP111" s="878"/>
      <c r="AQ111" s="878"/>
      <c r="AR111" s="878"/>
      <c r="AS111" s="878"/>
      <c r="AT111" s="878"/>
      <c r="AU111" s="878"/>
      <c r="AV111" s="878"/>
      <c r="AW111" s="878"/>
      <c r="AX111" s="878"/>
      <c r="AY111" s="559">
        <v>0.33</v>
      </c>
      <c r="AZ111" s="560">
        <f t="shared" si="3"/>
        <v>0.31</v>
      </c>
      <c r="BA111" s="559">
        <f t="shared" si="4"/>
        <v>0.93</v>
      </c>
      <c r="BB111" s="553">
        <f t="shared" si="6"/>
        <v>0.33</v>
      </c>
    </row>
    <row r="112" spans="1:54" x14ac:dyDescent="0.35">
      <c r="A112" s="711"/>
      <c r="B112" s="561" t="s">
        <v>158</v>
      </c>
      <c r="C112" s="878"/>
      <c r="D112" s="878"/>
      <c r="E112" s="878"/>
      <c r="F112" s="878"/>
      <c r="G112" s="878"/>
      <c r="H112" s="878"/>
      <c r="I112" s="878"/>
      <c r="J112" s="878"/>
      <c r="K112" s="878">
        <v>0</v>
      </c>
      <c r="L112" s="878">
        <v>0</v>
      </c>
      <c r="M112" s="878">
        <v>0</v>
      </c>
      <c r="N112" s="878">
        <v>0</v>
      </c>
      <c r="O112" s="878">
        <v>0</v>
      </c>
      <c r="P112" s="878">
        <v>0</v>
      </c>
      <c r="Q112" s="878">
        <v>0</v>
      </c>
      <c r="R112" s="878">
        <v>0</v>
      </c>
      <c r="S112" s="878">
        <v>0</v>
      </c>
      <c r="T112" s="878">
        <v>0</v>
      </c>
      <c r="U112" s="878">
        <v>0</v>
      </c>
      <c r="V112" s="878">
        <v>0</v>
      </c>
      <c r="W112" s="878"/>
      <c r="X112" s="878"/>
      <c r="Y112" s="878"/>
      <c r="Z112" s="878"/>
      <c r="AA112" s="878"/>
      <c r="AB112" s="878"/>
      <c r="AC112" s="878"/>
      <c r="AD112" s="878"/>
      <c r="AE112" s="878"/>
      <c r="AF112" s="878"/>
      <c r="AG112" s="878"/>
      <c r="AH112" s="878"/>
      <c r="AI112" s="878"/>
      <c r="AJ112" s="878"/>
      <c r="AK112" s="878"/>
      <c r="AL112" s="878"/>
      <c r="AM112" s="878"/>
      <c r="AN112" s="878"/>
      <c r="AO112" s="878"/>
      <c r="AP112" s="878"/>
      <c r="AQ112" s="878"/>
      <c r="AR112" s="878"/>
      <c r="AS112" s="878"/>
      <c r="AT112" s="878"/>
      <c r="AU112" s="878"/>
      <c r="AV112" s="878"/>
      <c r="AW112" s="878"/>
      <c r="AX112" s="878"/>
      <c r="AY112" s="559">
        <v>0.33</v>
      </c>
      <c r="AZ112" s="560">
        <f t="shared" si="3"/>
        <v>0</v>
      </c>
      <c r="BA112" s="559">
        <f t="shared" si="4"/>
        <v>0</v>
      </c>
      <c r="BB112" s="553">
        <f t="shared" si="6"/>
        <v>0.33</v>
      </c>
    </row>
    <row r="113" spans="1:54" x14ac:dyDescent="0.35">
      <c r="A113" s="711"/>
      <c r="B113" s="561" t="s">
        <v>159</v>
      </c>
      <c r="C113" s="878"/>
      <c r="D113" s="878"/>
      <c r="E113" s="878"/>
      <c r="F113" s="878"/>
      <c r="G113" s="878"/>
      <c r="H113" s="878"/>
      <c r="I113" s="878"/>
      <c r="J113" s="878"/>
      <c r="K113" s="878">
        <v>0</v>
      </c>
      <c r="L113" s="878">
        <v>0</v>
      </c>
      <c r="M113" s="878">
        <v>0</v>
      </c>
      <c r="N113" s="878">
        <v>0</v>
      </c>
      <c r="O113" s="878">
        <v>0</v>
      </c>
      <c r="P113" s="878">
        <v>0</v>
      </c>
      <c r="Q113" s="878">
        <v>0</v>
      </c>
      <c r="R113" s="878">
        <v>0</v>
      </c>
      <c r="S113" s="878">
        <v>0</v>
      </c>
      <c r="T113" s="878">
        <v>0</v>
      </c>
      <c r="U113" s="878">
        <v>0</v>
      </c>
      <c r="V113" s="878">
        <v>0</v>
      </c>
      <c r="W113" s="878"/>
      <c r="X113" s="878"/>
      <c r="Y113" s="878"/>
      <c r="Z113" s="878"/>
      <c r="AA113" s="878"/>
      <c r="AB113" s="878"/>
      <c r="AC113" s="878"/>
      <c r="AD113" s="878"/>
      <c r="AE113" s="878"/>
      <c r="AF113" s="878"/>
      <c r="AG113" s="878"/>
      <c r="AH113" s="878"/>
      <c r="AI113" s="878"/>
      <c r="AJ113" s="878"/>
      <c r="AK113" s="878"/>
      <c r="AL113" s="878"/>
      <c r="AM113" s="878"/>
      <c r="AN113" s="878"/>
      <c r="AO113" s="878"/>
      <c r="AP113" s="878"/>
      <c r="AQ113" s="878"/>
      <c r="AR113" s="878"/>
      <c r="AS113" s="878"/>
      <c r="AT113" s="878"/>
      <c r="AU113" s="878"/>
      <c r="AV113" s="878"/>
      <c r="AW113" s="878"/>
      <c r="AX113" s="878"/>
      <c r="AY113" s="559">
        <v>0.33</v>
      </c>
      <c r="AZ113" s="560">
        <f t="shared" si="3"/>
        <v>0</v>
      </c>
      <c r="BA113" s="559">
        <f t="shared" si="4"/>
        <v>0</v>
      </c>
      <c r="BB113" s="553">
        <f t="shared" si="6"/>
        <v>0.33</v>
      </c>
    </row>
    <row r="114" spans="1:54" x14ac:dyDescent="0.35">
      <c r="A114" s="711"/>
      <c r="B114" s="561" t="s">
        <v>131</v>
      </c>
      <c r="C114" s="878"/>
      <c r="D114" s="878"/>
      <c r="E114" s="878"/>
      <c r="F114" s="878"/>
      <c r="G114" s="878"/>
      <c r="H114" s="878"/>
      <c r="I114" s="878"/>
      <c r="J114" s="878"/>
      <c r="K114" s="878">
        <v>0</v>
      </c>
      <c r="L114" s="878">
        <v>0</v>
      </c>
      <c r="M114" s="878">
        <v>0</v>
      </c>
      <c r="N114" s="878">
        <v>0</v>
      </c>
      <c r="O114" s="878">
        <v>0</v>
      </c>
      <c r="P114" s="878">
        <v>0</v>
      </c>
      <c r="Q114" s="878">
        <v>0</v>
      </c>
      <c r="R114" s="878">
        <v>0</v>
      </c>
      <c r="S114" s="878">
        <v>0</v>
      </c>
      <c r="T114" s="878">
        <v>0</v>
      </c>
      <c r="U114" s="878">
        <v>0</v>
      </c>
      <c r="V114" s="878">
        <v>0</v>
      </c>
      <c r="W114" s="878"/>
      <c r="X114" s="878"/>
      <c r="Y114" s="878"/>
      <c r="Z114" s="878"/>
      <c r="AA114" s="878"/>
      <c r="AB114" s="878"/>
      <c r="AC114" s="878"/>
      <c r="AD114" s="878"/>
      <c r="AE114" s="878"/>
      <c r="AF114" s="878"/>
      <c r="AG114" s="878"/>
      <c r="AH114" s="878"/>
      <c r="AI114" s="878"/>
      <c r="AJ114" s="878"/>
      <c r="AK114" s="878"/>
      <c r="AL114" s="878"/>
      <c r="AM114" s="878"/>
      <c r="AN114" s="878"/>
      <c r="AO114" s="878"/>
      <c r="AP114" s="878"/>
      <c r="AQ114" s="878"/>
      <c r="AR114" s="878"/>
      <c r="AS114" s="878"/>
      <c r="AT114" s="878"/>
      <c r="AU114" s="878"/>
      <c r="AV114" s="878"/>
      <c r="AW114" s="878"/>
      <c r="AX114" s="878"/>
      <c r="AY114" s="559">
        <v>0.33</v>
      </c>
      <c r="AZ114" s="560">
        <f t="shared" si="3"/>
        <v>0</v>
      </c>
      <c r="BA114" s="559">
        <f t="shared" si="4"/>
        <v>0</v>
      </c>
      <c r="BB114" s="553">
        <f t="shared" si="6"/>
        <v>0.33</v>
      </c>
    </row>
    <row r="115" spans="1:54" x14ac:dyDescent="0.35">
      <c r="A115" s="711"/>
      <c r="B115" s="561" t="s">
        <v>121</v>
      </c>
      <c r="C115" s="878"/>
      <c r="D115" s="878"/>
      <c r="E115" s="878"/>
      <c r="F115" s="878"/>
      <c r="G115" s="878"/>
      <c r="H115" s="878"/>
      <c r="I115" s="878"/>
      <c r="J115" s="878"/>
      <c r="K115" s="878">
        <v>7.0000000000000007E-2</v>
      </c>
      <c r="L115" s="878">
        <v>7.0000000000000007E-2</v>
      </c>
      <c r="M115" s="878">
        <v>7.0000000000000007E-2</v>
      </c>
      <c r="N115" s="878">
        <v>7.0000000000000007E-2</v>
      </c>
      <c r="O115" s="878">
        <v>7.0000000000000007E-2</v>
      </c>
      <c r="P115" s="878">
        <v>7.0000000000000007E-2</v>
      </c>
      <c r="Q115" s="878">
        <v>7.0000000000000007E-2</v>
      </c>
      <c r="R115" s="878">
        <v>7.0000000000000007E-2</v>
      </c>
      <c r="S115" s="878">
        <v>7.0000000000000007E-2</v>
      </c>
      <c r="T115" s="878">
        <v>7.0000000000000007E-2</v>
      </c>
      <c r="U115" s="878">
        <v>7.0000000000000007E-2</v>
      </c>
      <c r="V115" s="878">
        <v>7.0000000000000007E-2</v>
      </c>
      <c r="W115" s="878"/>
      <c r="X115" s="878"/>
      <c r="Y115" s="878"/>
      <c r="Z115" s="878"/>
      <c r="AA115" s="878"/>
      <c r="AB115" s="878"/>
      <c r="AC115" s="878"/>
      <c r="AD115" s="878"/>
      <c r="AE115" s="878"/>
      <c r="AF115" s="878"/>
      <c r="AG115" s="878"/>
      <c r="AH115" s="878"/>
      <c r="AI115" s="878"/>
      <c r="AJ115" s="878"/>
      <c r="AK115" s="878"/>
      <c r="AL115" s="878"/>
      <c r="AM115" s="878"/>
      <c r="AN115" s="878"/>
      <c r="AO115" s="878"/>
      <c r="AP115" s="878"/>
      <c r="AQ115" s="878"/>
      <c r="AR115" s="878"/>
      <c r="AS115" s="878"/>
      <c r="AT115" s="878"/>
      <c r="AU115" s="878"/>
      <c r="AV115" s="878"/>
      <c r="AW115" s="878"/>
      <c r="AX115" s="878"/>
      <c r="AY115" s="559">
        <v>0.33</v>
      </c>
      <c r="AZ115" s="560">
        <f t="shared" si="3"/>
        <v>7.0000000000000007E-2</v>
      </c>
      <c r="BA115" s="559">
        <f t="shared" si="4"/>
        <v>0.21</v>
      </c>
      <c r="BB115" s="553">
        <f t="shared" si="6"/>
        <v>0.33</v>
      </c>
    </row>
    <row r="116" spans="1:54" x14ac:dyDescent="0.35">
      <c r="A116" s="711" t="str">
        <f>DISTRIBUCIÓN!A70</f>
        <v>Paso 3. Identificación de zonas de recarga del acuífero o interacciones con las aguas superficiales</v>
      </c>
      <c r="B116" s="561" t="s">
        <v>302</v>
      </c>
      <c r="C116" s="878"/>
      <c r="D116" s="878"/>
      <c r="E116" s="878"/>
      <c r="F116" s="878"/>
      <c r="G116" s="878"/>
      <c r="H116" s="878"/>
      <c r="I116" s="878"/>
      <c r="J116" s="878"/>
      <c r="K116" s="878"/>
      <c r="L116" s="878"/>
      <c r="M116" s="878"/>
      <c r="N116" s="878"/>
      <c r="O116" s="878"/>
      <c r="P116" s="878"/>
      <c r="Q116" s="878"/>
      <c r="R116" s="878"/>
      <c r="S116" s="878">
        <v>7.0000000000000007E-2</v>
      </c>
      <c r="T116" s="878">
        <v>7.0000000000000007E-2</v>
      </c>
      <c r="U116" s="878">
        <v>7.0000000000000007E-2</v>
      </c>
      <c r="V116" s="878">
        <v>7.0000000000000007E-2</v>
      </c>
      <c r="W116" s="878">
        <v>7.0000000000000007E-2</v>
      </c>
      <c r="X116" s="878">
        <v>7.0000000000000007E-2</v>
      </c>
      <c r="Y116" s="878">
        <v>7.0000000000000007E-2</v>
      </c>
      <c r="Z116" s="878">
        <v>7.0000000000000007E-2</v>
      </c>
      <c r="AA116" s="878"/>
      <c r="AB116" s="878"/>
      <c r="AC116" s="878"/>
      <c r="AD116" s="878"/>
      <c r="AE116" s="878"/>
      <c r="AF116" s="878"/>
      <c r="AG116" s="878"/>
      <c r="AH116" s="878"/>
      <c r="AI116" s="878"/>
      <c r="AJ116" s="878"/>
      <c r="AK116" s="878"/>
      <c r="AL116" s="878"/>
      <c r="AM116" s="878"/>
      <c r="AN116" s="878"/>
      <c r="AO116" s="878"/>
      <c r="AP116" s="878"/>
      <c r="AQ116" s="878"/>
      <c r="AR116" s="878"/>
      <c r="AS116" s="878"/>
      <c r="AT116" s="878"/>
      <c r="AU116" s="878"/>
      <c r="AV116" s="878"/>
      <c r="AW116" s="878"/>
      <c r="AX116" s="878"/>
      <c r="AY116" s="559">
        <v>0.5</v>
      </c>
      <c r="AZ116" s="560">
        <f t="shared" si="3"/>
        <v>7.0000000000000007E-2</v>
      </c>
      <c r="BA116" s="559">
        <f t="shared" si="4"/>
        <v>0.14000000000000001</v>
      </c>
      <c r="BB116" s="553">
        <f t="shared" si="6"/>
        <v>0.5</v>
      </c>
    </row>
    <row r="117" spans="1:54" x14ac:dyDescent="0.35">
      <c r="A117" s="711"/>
      <c r="B117" s="561" t="s">
        <v>156</v>
      </c>
      <c r="C117" s="878"/>
      <c r="D117" s="878"/>
      <c r="E117" s="878"/>
      <c r="F117" s="878"/>
      <c r="G117" s="878"/>
      <c r="H117" s="878"/>
      <c r="I117" s="878"/>
      <c r="J117" s="878"/>
      <c r="K117" s="878"/>
      <c r="L117" s="878"/>
      <c r="M117" s="878"/>
      <c r="N117" s="878"/>
      <c r="O117" s="878"/>
      <c r="P117" s="878"/>
      <c r="Q117" s="878"/>
      <c r="R117" s="878"/>
      <c r="S117" s="878">
        <v>0</v>
      </c>
      <c r="T117" s="878">
        <v>0</v>
      </c>
      <c r="U117" s="878">
        <v>0</v>
      </c>
      <c r="V117" s="878">
        <v>0</v>
      </c>
      <c r="W117" s="878">
        <v>0</v>
      </c>
      <c r="X117" s="878">
        <v>0</v>
      </c>
      <c r="Y117" s="878">
        <v>0</v>
      </c>
      <c r="Z117" s="878">
        <v>0</v>
      </c>
      <c r="AA117" s="878"/>
      <c r="AB117" s="878"/>
      <c r="AC117" s="878"/>
      <c r="AD117" s="878"/>
      <c r="AE117" s="878"/>
      <c r="AF117" s="878"/>
      <c r="AG117" s="878"/>
      <c r="AH117" s="878"/>
      <c r="AI117" s="878"/>
      <c r="AJ117" s="878"/>
      <c r="AK117" s="878"/>
      <c r="AL117" s="878"/>
      <c r="AM117" s="878"/>
      <c r="AN117" s="878"/>
      <c r="AO117" s="878"/>
      <c r="AP117" s="878"/>
      <c r="AQ117" s="878"/>
      <c r="AR117" s="878"/>
      <c r="AS117" s="878"/>
      <c r="AT117" s="878"/>
      <c r="AU117" s="878"/>
      <c r="AV117" s="878"/>
      <c r="AW117" s="878"/>
      <c r="AX117" s="878"/>
      <c r="AY117" s="559">
        <v>0.5</v>
      </c>
      <c r="AZ117" s="560">
        <f t="shared" si="3"/>
        <v>0</v>
      </c>
      <c r="BA117" s="559">
        <f t="shared" si="4"/>
        <v>0</v>
      </c>
      <c r="BB117" s="553">
        <f>ROUND(1/(COUNT(B117:AX117)/4),2)</f>
        <v>0.5</v>
      </c>
    </row>
    <row r="118" spans="1:54" x14ac:dyDescent="0.35">
      <c r="A118" s="711"/>
      <c r="B118" s="561" t="s">
        <v>157</v>
      </c>
      <c r="C118" s="878"/>
      <c r="D118" s="878"/>
      <c r="E118" s="878"/>
      <c r="F118" s="878"/>
      <c r="G118" s="878"/>
      <c r="H118" s="878"/>
      <c r="I118" s="878"/>
      <c r="J118" s="878"/>
      <c r="K118" s="878"/>
      <c r="L118" s="878"/>
      <c r="M118" s="878"/>
      <c r="N118" s="878"/>
      <c r="O118" s="878"/>
      <c r="P118" s="878"/>
      <c r="Q118" s="878"/>
      <c r="R118" s="878"/>
      <c r="S118" s="878">
        <v>0.06</v>
      </c>
      <c r="T118" s="878">
        <v>0.06</v>
      </c>
      <c r="U118" s="878">
        <v>0.06</v>
      </c>
      <c r="V118" s="878">
        <v>0.06</v>
      </c>
      <c r="W118" s="878">
        <v>0.06</v>
      </c>
      <c r="X118" s="878">
        <v>0.06</v>
      </c>
      <c r="Y118" s="878">
        <v>0.06</v>
      </c>
      <c r="Z118" s="878">
        <v>0.06</v>
      </c>
      <c r="AA118" s="878"/>
      <c r="AB118" s="878"/>
      <c r="AC118" s="878"/>
      <c r="AD118" s="878"/>
      <c r="AE118" s="878"/>
      <c r="AF118" s="878"/>
      <c r="AG118" s="878"/>
      <c r="AH118" s="878"/>
      <c r="AI118" s="878"/>
      <c r="AJ118" s="878"/>
      <c r="AK118" s="878"/>
      <c r="AL118" s="878"/>
      <c r="AM118" s="878"/>
      <c r="AN118" s="878"/>
      <c r="AO118" s="878"/>
      <c r="AP118" s="878"/>
      <c r="AQ118" s="878"/>
      <c r="AR118" s="878"/>
      <c r="AS118" s="878"/>
      <c r="AT118" s="878"/>
      <c r="AU118" s="878"/>
      <c r="AV118" s="878"/>
      <c r="AW118" s="878"/>
      <c r="AX118" s="878"/>
      <c r="AY118" s="559">
        <v>0.5</v>
      </c>
      <c r="AZ118" s="560">
        <f t="shared" si="3"/>
        <v>0.06</v>
      </c>
      <c r="BA118" s="559">
        <f t="shared" si="4"/>
        <v>0.12</v>
      </c>
      <c r="BB118" s="553">
        <f t="shared" ref="BB118:BB150" si="7">ROUND(1/(COUNT(B118:AX118)/4),2)</f>
        <v>0.5</v>
      </c>
    </row>
    <row r="119" spans="1:54" x14ac:dyDescent="0.35">
      <c r="A119" s="711"/>
      <c r="B119" s="561" t="s">
        <v>158</v>
      </c>
      <c r="C119" s="878"/>
      <c r="D119" s="878"/>
      <c r="E119" s="878"/>
      <c r="F119" s="878"/>
      <c r="G119" s="878"/>
      <c r="H119" s="878"/>
      <c r="I119" s="878"/>
      <c r="J119" s="878"/>
      <c r="K119" s="878"/>
      <c r="L119" s="878"/>
      <c r="M119" s="878"/>
      <c r="N119" s="878"/>
      <c r="O119" s="878"/>
      <c r="P119" s="878"/>
      <c r="Q119" s="878"/>
      <c r="R119" s="878"/>
      <c r="S119" s="878">
        <v>0</v>
      </c>
      <c r="T119" s="878">
        <v>0</v>
      </c>
      <c r="U119" s="878">
        <v>0</v>
      </c>
      <c r="V119" s="878">
        <v>0</v>
      </c>
      <c r="W119" s="878">
        <v>0</v>
      </c>
      <c r="X119" s="878">
        <v>0</v>
      </c>
      <c r="Y119" s="878">
        <v>0</v>
      </c>
      <c r="Z119" s="878">
        <v>0</v>
      </c>
      <c r="AA119" s="878"/>
      <c r="AB119" s="878"/>
      <c r="AC119" s="878"/>
      <c r="AD119" s="878"/>
      <c r="AE119" s="878"/>
      <c r="AF119" s="878"/>
      <c r="AG119" s="878"/>
      <c r="AH119" s="878"/>
      <c r="AI119" s="878"/>
      <c r="AJ119" s="878"/>
      <c r="AK119" s="878"/>
      <c r="AL119" s="878"/>
      <c r="AM119" s="878"/>
      <c r="AN119" s="878"/>
      <c r="AO119" s="878"/>
      <c r="AP119" s="878"/>
      <c r="AQ119" s="878"/>
      <c r="AR119" s="878"/>
      <c r="AS119" s="878"/>
      <c r="AT119" s="878"/>
      <c r="AU119" s="878"/>
      <c r="AV119" s="878"/>
      <c r="AW119" s="878"/>
      <c r="AX119" s="878"/>
      <c r="AY119" s="559">
        <v>0.5</v>
      </c>
      <c r="AZ119" s="560">
        <f t="shared" si="3"/>
        <v>0</v>
      </c>
      <c r="BA119" s="559">
        <f t="shared" si="4"/>
        <v>0</v>
      </c>
      <c r="BB119" s="553">
        <f t="shared" si="7"/>
        <v>0.5</v>
      </c>
    </row>
    <row r="120" spans="1:54" x14ac:dyDescent="0.35">
      <c r="A120" s="711"/>
      <c r="B120" s="561" t="s">
        <v>159</v>
      </c>
      <c r="C120" s="878"/>
      <c r="D120" s="878"/>
      <c r="E120" s="878"/>
      <c r="F120" s="878"/>
      <c r="G120" s="878"/>
      <c r="H120" s="878"/>
      <c r="I120" s="878"/>
      <c r="J120" s="878"/>
      <c r="K120" s="878"/>
      <c r="L120" s="878"/>
      <c r="M120" s="878"/>
      <c r="N120" s="878"/>
      <c r="O120" s="878"/>
      <c r="P120" s="878"/>
      <c r="Q120" s="878"/>
      <c r="R120" s="878"/>
      <c r="S120" s="878">
        <v>0</v>
      </c>
      <c r="T120" s="878">
        <v>0</v>
      </c>
      <c r="U120" s="878">
        <v>0</v>
      </c>
      <c r="V120" s="878">
        <v>0</v>
      </c>
      <c r="W120" s="878">
        <v>0</v>
      </c>
      <c r="X120" s="878">
        <v>0</v>
      </c>
      <c r="Y120" s="878">
        <v>0</v>
      </c>
      <c r="Z120" s="878">
        <v>0</v>
      </c>
      <c r="AA120" s="878"/>
      <c r="AB120" s="878"/>
      <c r="AC120" s="878"/>
      <c r="AD120" s="878"/>
      <c r="AE120" s="878"/>
      <c r="AF120" s="878"/>
      <c r="AG120" s="878"/>
      <c r="AH120" s="878"/>
      <c r="AI120" s="878"/>
      <c r="AJ120" s="878"/>
      <c r="AK120" s="878"/>
      <c r="AL120" s="878"/>
      <c r="AM120" s="878"/>
      <c r="AN120" s="878"/>
      <c r="AO120" s="878"/>
      <c r="AP120" s="878"/>
      <c r="AQ120" s="878"/>
      <c r="AR120" s="878"/>
      <c r="AS120" s="878"/>
      <c r="AT120" s="878"/>
      <c r="AU120" s="878"/>
      <c r="AV120" s="878"/>
      <c r="AW120" s="878"/>
      <c r="AX120" s="878"/>
      <c r="AY120" s="559">
        <v>0.5</v>
      </c>
      <c r="AZ120" s="560">
        <f t="shared" si="3"/>
        <v>0</v>
      </c>
      <c r="BA120" s="559">
        <f t="shared" si="4"/>
        <v>0</v>
      </c>
      <c r="BB120" s="553">
        <f t="shared" si="7"/>
        <v>0.5</v>
      </c>
    </row>
    <row r="121" spans="1:54" x14ac:dyDescent="0.35">
      <c r="A121" s="711"/>
      <c r="B121" s="561" t="s">
        <v>131</v>
      </c>
      <c r="C121" s="878"/>
      <c r="D121" s="878"/>
      <c r="E121" s="878"/>
      <c r="F121" s="878"/>
      <c r="G121" s="878"/>
      <c r="H121" s="878"/>
      <c r="I121" s="878"/>
      <c r="J121" s="878"/>
      <c r="K121" s="878"/>
      <c r="L121" s="878"/>
      <c r="M121" s="878"/>
      <c r="N121" s="878"/>
      <c r="O121" s="878"/>
      <c r="P121" s="878"/>
      <c r="Q121" s="878"/>
      <c r="R121" s="878"/>
      <c r="S121" s="878">
        <v>0</v>
      </c>
      <c r="T121" s="878">
        <v>0</v>
      </c>
      <c r="U121" s="878">
        <v>0</v>
      </c>
      <c r="V121" s="878">
        <v>0</v>
      </c>
      <c r="W121" s="878">
        <v>0</v>
      </c>
      <c r="X121" s="878">
        <v>0</v>
      </c>
      <c r="Y121" s="878">
        <v>0</v>
      </c>
      <c r="Z121" s="878">
        <v>0</v>
      </c>
      <c r="AA121" s="878"/>
      <c r="AB121" s="878"/>
      <c r="AC121" s="878"/>
      <c r="AD121" s="878"/>
      <c r="AE121" s="878"/>
      <c r="AF121" s="878"/>
      <c r="AG121" s="878"/>
      <c r="AH121" s="878"/>
      <c r="AI121" s="878"/>
      <c r="AJ121" s="878"/>
      <c r="AK121" s="878"/>
      <c r="AL121" s="878"/>
      <c r="AM121" s="878"/>
      <c r="AN121" s="878"/>
      <c r="AO121" s="878"/>
      <c r="AP121" s="878"/>
      <c r="AQ121" s="878"/>
      <c r="AR121" s="878"/>
      <c r="AS121" s="878"/>
      <c r="AT121" s="878"/>
      <c r="AU121" s="878"/>
      <c r="AV121" s="878"/>
      <c r="AW121" s="878"/>
      <c r="AX121" s="878"/>
      <c r="AY121" s="559">
        <v>0.5</v>
      </c>
      <c r="AZ121" s="560">
        <f t="shared" si="3"/>
        <v>0</v>
      </c>
      <c r="BA121" s="559">
        <f t="shared" si="4"/>
        <v>0</v>
      </c>
      <c r="BB121" s="553">
        <f t="shared" si="7"/>
        <v>0.5</v>
      </c>
    </row>
    <row r="122" spans="1:54" x14ac:dyDescent="0.35">
      <c r="A122" s="711"/>
      <c r="B122" s="561" t="s">
        <v>121</v>
      </c>
      <c r="C122" s="878"/>
      <c r="D122" s="878"/>
      <c r="E122" s="878"/>
      <c r="F122" s="878"/>
      <c r="G122" s="878"/>
      <c r="H122" s="878"/>
      <c r="I122" s="878"/>
      <c r="J122" s="878"/>
      <c r="K122" s="878"/>
      <c r="L122" s="878"/>
      <c r="M122" s="878"/>
      <c r="N122" s="878"/>
      <c r="O122" s="878"/>
      <c r="P122" s="878"/>
      <c r="Q122" s="878"/>
      <c r="R122" s="879"/>
      <c r="S122" s="878">
        <v>0.04</v>
      </c>
      <c r="T122" s="878">
        <v>0.04</v>
      </c>
      <c r="U122" s="878">
        <v>0.04</v>
      </c>
      <c r="V122" s="878">
        <v>0.04</v>
      </c>
      <c r="W122" s="878">
        <v>0.04</v>
      </c>
      <c r="X122" s="878">
        <v>0.04</v>
      </c>
      <c r="Y122" s="878">
        <v>0.04</v>
      </c>
      <c r="Z122" s="878">
        <v>0.04</v>
      </c>
      <c r="AA122" s="878"/>
      <c r="AB122" s="878"/>
      <c r="AC122" s="878"/>
      <c r="AD122" s="878"/>
      <c r="AE122" s="878"/>
      <c r="AF122" s="878"/>
      <c r="AG122" s="878"/>
      <c r="AH122" s="878"/>
      <c r="AI122" s="878"/>
      <c r="AJ122" s="878"/>
      <c r="AK122" s="878"/>
      <c r="AL122" s="878"/>
      <c r="AM122" s="878"/>
      <c r="AN122" s="878"/>
      <c r="AO122" s="878"/>
      <c r="AP122" s="878"/>
      <c r="AQ122" s="878"/>
      <c r="AR122" s="878"/>
      <c r="AS122" s="878"/>
      <c r="AT122" s="878"/>
      <c r="AU122" s="878"/>
      <c r="AV122" s="878"/>
      <c r="AW122" s="878"/>
      <c r="AX122" s="878"/>
      <c r="AY122" s="559">
        <v>0.5</v>
      </c>
      <c r="AZ122" s="560">
        <f t="shared" si="3"/>
        <v>0.04</v>
      </c>
      <c r="BA122" s="559">
        <f t="shared" si="4"/>
        <v>0.08</v>
      </c>
      <c r="BB122" s="553">
        <f t="shared" si="7"/>
        <v>0.5</v>
      </c>
    </row>
    <row r="123" spans="1:54" x14ac:dyDescent="0.35">
      <c r="A123" s="711" t="str">
        <f>DISTRIBUCIÓN!A71</f>
        <v>Paso 4. Elaboración de perfiles de calidad actual de cada cuerpo de agua</v>
      </c>
      <c r="B123" s="561" t="s">
        <v>302</v>
      </c>
      <c r="C123" s="878"/>
      <c r="D123" s="878"/>
      <c r="E123" s="878"/>
      <c r="F123" s="878"/>
      <c r="G123" s="878"/>
      <c r="H123" s="878"/>
      <c r="I123" s="878"/>
      <c r="J123" s="878"/>
      <c r="K123" s="878"/>
      <c r="L123" s="878"/>
      <c r="M123" s="878"/>
      <c r="N123" s="878"/>
      <c r="O123" s="878"/>
      <c r="P123" s="878"/>
      <c r="Q123" s="878"/>
      <c r="R123" s="878"/>
      <c r="S123" s="878">
        <v>0.05</v>
      </c>
      <c r="T123" s="878">
        <v>0.05</v>
      </c>
      <c r="U123" s="878">
        <v>0.05</v>
      </c>
      <c r="V123" s="878">
        <v>0.05</v>
      </c>
      <c r="W123" s="878"/>
      <c r="X123" s="878"/>
      <c r="Y123" s="878"/>
      <c r="Z123" s="878"/>
      <c r="AA123" s="878">
        <v>0.05</v>
      </c>
      <c r="AB123" s="878">
        <v>0.05</v>
      </c>
      <c r="AC123" s="878">
        <v>0.05</v>
      </c>
      <c r="AD123" s="878">
        <v>0.05</v>
      </c>
      <c r="AE123" s="878"/>
      <c r="AF123" s="878"/>
      <c r="AG123" s="878"/>
      <c r="AH123" s="878"/>
      <c r="AI123" s="878"/>
      <c r="AJ123" s="878"/>
      <c r="AK123" s="878"/>
      <c r="AL123" s="878"/>
      <c r="AM123" s="878"/>
      <c r="AN123" s="878"/>
      <c r="AO123" s="878"/>
      <c r="AP123" s="878"/>
      <c r="AQ123" s="878"/>
      <c r="AR123" s="878"/>
      <c r="AS123" s="878"/>
      <c r="AT123" s="878"/>
      <c r="AU123" s="878"/>
      <c r="AV123" s="878"/>
      <c r="AW123" s="878"/>
      <c r="AX123" s="878"/>
      <c r="AY123" s="559">
        <v>0.5</v>
      </c>
      <c r="AZ123" s="560">
        <f t="shared" si="3"/>
        <v>0.05</v>
      </c>
      <c r="BA123" s="559">
        <f t="shared" si="4"/>
        <v>0.1</v>
      </c>
      <c r="BB123" s="553">
        <f t="shared" si="7"/>
        <v>0.5</v>
      </c>
    </row>
    <row r="124" spans="1:54" x14ac:dyDescent="0.35">
      <c r="A124" s="711"/>
      <c r="B124" s="561" t="s">
        <v>156</v>
      </c>
      <c r="C124" s="878"/>
      <c r="D124" s="878"/>
      <c r="E124" s="878"/>
      <c r="F124" s="878"/>
      <c r="G124" s="878"/>
      <c r="H124" s="878"/>
      <c r="I124" s="878"/>
      <c r="J124" s="878"/>
      <c r="K124" s="878"/>
      <c r="L124" s="878"/>
      <c r="M124" s="878"/>
      <c r="N124" s="878"/>
      <c r="O124" s="878"/>
      <c r="P124" s="878"/>
      <c r="Q124" s="878"/>
      <c r="R124" s="878"/>
      <c r="S124" s="878">
        <v>0.28999999999999998</v>
      </c>
      <c r="T124" s="878">
        <v>0.28999999999999998</v>
      </c>
      <c r="U124" s="878">
        <v>0.28999999999999998</v>
      </c>
      <c r="V124" s="878">
        <v>0.28999999999999998</v>
      </c>
      <c r="W124" s="878"/>
      <c r="X124" s="878"/>
      <c r="Y124" s="878"/>
      <c r="Z124" s="878"/>
      <c r="AA124" s="878">
        <v>0.28999999999999998</v>
      </c>
      <c r="AB124" s="878">
        <v>0.28999999999999998</v>
      </c>
      <c r="AC124" s="878">
        <v>0.28999999999999998</v>
      </c>
      <c r="AD124" s="878">
        <v>0.28999999999999998</v>
      </c>
      <c r="AE124" s="878"/>
      <c r="AF124" s="878"/>
      <c r="AG124" s="878"/>
      <c r="AH124" s="878"/>
      <c r="AI124" s="878"/>
      <c r="AJ124" s="878"/>
      <c r="AK124" s="878"/>
      <c r="AL124" s="878"/>
      <c r="AM124" s="878"/>
      <c r="AN124" s="878"/>
      <c r="AO124" s="878"/>
      <c r="AP124" s="878"/>
      <c r="AQ124" s="878"/>
      <c r="AR124" s="878"/>
      <c r="AS124" s="878"/>
      <c r="AT124" s="878"/>
      <c r="AU124" s="878"/>
      <c r="AV124" s="878"/>
      <c r="AW124" s="878"/>
      <c r="AX124" s="878"/>
      <c r="AY124" s="559">
        <v>0.5</v>
      </c>
      <c r="AZ124" s="560">
        <f t="shared" si="3"/>
        <v>0.28999999999999998</v>
      </c>
      <c r="BA124" s="559">
        <f t="shared" si="4"/>
        <v>0.57999999999999996</v>
      </c>
      <c r="BB124" s="553">
        <f t="shared" si="7"/>
        <v>0.5</v>
      </c>
    </row>
    <row r="125" spans="1:54" x14ac:dyDescent="0.35">
      <c r="A125" s="711"/>
      <c r="B125" s="561" t="s">
        <v>157</v>
      </c>
      <c r="C125" s="878"/>
      <c r="D125" s="878"/>
      <c r="E125" s="878"/>
      <c r="F125" s="878"/>
      <c r="G125" s="878"/>
      <c r="H125" s="878"/>
      <c r="I125" s="878"/>
      <c r="J125" s="878"/>
      <c r="K125" s="878"/>
      <c r="L125" s="878"/>
      <c r="M125" s="878"/>
      <c r="N125" s="878"/>
      <c r="O125" s="878"/>
      <c r="P125" s="878"/>
      <c r="Q125" s="878"/>
      <c r="R125" s="878"/>
      <c r="S125" s="878">
        <v>0</v>
      </c>
      <c r="T125" s="878">
        <v>0</v>
      </c>
      <c r="U125" s="878">
        <v>0</v>
      </c>
      <c r="V125" s="878">
        <v>0</v>
      </c>
      <c r="W125" s="878"/>
      <c r="X125" s="878"/>
      <c r="Y125" s="878"/>
      <c r="Z125" s="878"/>
      <c r="AA125" s="878">
        <v>0</v>
      </c>
      <c r="AB125" s="878">
        <v>0</v>
      </c>
      <c r="AC125" s="878">
        <v>0</v>
      </c>
      <c r="AD125" s="878">
        <v>0</v>
      </c>
      <c r="AE125" s="878"/>
      <c r="AF125" s="878"/>
      <c r="AG125" s="878"/>
      <c r="AH125" s="878"/>
      <c r="AI125" s="878"/>
      <c r="AJ125" s="878"/>
      <c r="AK125" s="878"/>
      <c r="AL125" s="878"/>
      <c r="AM125" s="878"/>
      <c r="AN125" s="878"/>
      <c r="AO125" s="878"/>
      <c r="AP125" s="878"/>
      <c r="AQ125" s="878"/>
      <c r="AR125" s="878"/>
      <c r="AS125" s="878"/>
      <c r="AT125" s="878"/>
      <c r="AU125" s="878"/>
      <c r="AV125" s="878"/>
      <c r="AW125" s="878"/>
      <c r="AX125" s="878"/>
      <c r="AY125" s="559">
        <v>0.5</v>
      </c>
      <c r="AZ125" s="560">
        <f t="shared" si="3"/>
        <v>0</v>
      </c>
      <c r="BA125" s="559">
        <f t="shared" si="4"/>
        <v>0</v>
      </c>
      <c r="BB125" s="553">
        <f t="shared" si="7"/>
        <v>0.5</v>
      </c>
    </row>
    <row r="126" spans="1:54" x14ac:dyDescent="0.35">
      <c r="A126" s="711"/>
      <c r="B126" s="561" t="s">
        <v>158</v>
      </c>
      <c r="C126" s="878"/>
      <c r="D126" s="878"/>
      <c r="E126" s="878"/>
      <c r="F126" s="878"/>
      <c r="G126" s="878"/>
      <c r="H126" s="878"/>
      <c r="I126" s="878"/>
      <c r="J126" s="878"/>
      <c r="K126" s="878"/>
      <c r="L126" s="878"/>
      <c r="M126" s="878"/>
      <c r="N126" s="878"/>
      <c r="O126" s="878"/>
      <c r="P126" s="878"/>
      <c r="Q126" s="878"/>
      <c r="R126" s="878"/>
      <c r="S126" s="878">
        <v>0</v>
      </c>
      <c r="T126" s="878">
        <v>0</v>
      </c>
      <c r="U126" s="878">
        <v>0</v>
      </c>
      <c r="V126" s="878">
        <v>0</v>
      </c>
      <c r="W126" s="878"/>
      <c r="X126" s="878"/>
      <c r="Y126" s="878"/>
      <c r="Z126" s="878"/>
      <c r="AA126" s="878">
        <v>0</v>
      </c>
      <c r="AB126" s="878">
        <v>0</v>
      </c>
      <c r="AC126" s="878">
        <v>0</v>
      </c>
      <c r="AD126" s="878">
        <v>0</v>
      </c>
      <c r="AE126" s="878"/>
      <c r="AF126" s="878"/>
      <c r="AG126" s="878"/>
      <c r="AH126" s="878"/>
      <c r="AI126" s="878"/>
      <c r="AJ126" s="878"/>
      <c r="AK126" s="878"/>
      <c r="AL126" s="878"/>
      <c r="AM126" s="878"/>
      <c r="AN126" s="878"/>
      <c r="AO126" s="878"/>
      <c r="AP126" s="878"/>
      <c r="AQ126" s="878"/>
      <c r="AR126" s="878"/>
      <c r="AS126" s="878"/>
      <c r="AT126" s="878"/>
      <c r="AU126" s="878"/>
      <c r="AV126" s="878"/>
      <c r="AW126" s="878"/>
      <c r="AX126" s="878"/>
      <c r="AY126" s="559">
        <v>0.5</v>
      </c>
      <c r="AZ126" s="560">
        <f t="shared" si="3"/>
        <v>0</v>
      </c>
      <c r="BA126" s="559">
        <f t="shared" si="4"/>
        <v>0</v>
      </c>
      <c r="BB126" s="553">
        <f t="shared" si="7"/>
        <v>0.5</v>
      </c>
    </row>
    <row r="127" spans="1:54" x14ac:dyDescent="0.35">
      <c r="A127" s="711"/>
      <c r="B127" s="561" t="s">
        <v>159</v>
      </c>
      <c r="C127" s="878"/>
      <c r="D127" s="878"/>
      <c r="E127" s="878"/>
      <c r="F127" s="878"/>
      <c r="G127" s="878"/>
      <c r="H127" s="878"/>
      <c r="I127" s="878"/>
      <c r="J127" s="878"/>
      <c r="K127" s="878"/>
      <c r="L127" s="878"/>
      <c r="M127" s="878"/>
      <c r="N127" s="878"/>
      <c r="O127" s="878"/>
      <c r="P127" s="878"/>
      <c r="Q127" s="878"/>
      <c r="R127" s="878"/>
      <c r="S127" s="878">
        <v>0</v>
      </c>
      <c r="T127" s="878">
        <v>0</v>
      </c>
      <c r="U127" s="878">
        <v>0</v>
      </c>
      <c r="V127" s="878">
        <v>0</v>
      </c>
      <c r="W127" s="878"/>
      <c r="X127" s="878"/>
      <c r="Y127" s="878"/>
      <c r="Z127" s="878"/>
      <c r="AA127" s="878">
        <v>0</v>
      </c>
      <c r="AB127" s="878">
        <v>0</v>
      </c>
      <c r="AC127" s="878">
        <v>0</v>
      </c>
      <c r="AD127" s="878">
        <v>0</v>
      </c>
      <c r="AE127" s="878"/>
      <c r="AF127" s="878"/>
      <c r="AG127" s="878"/>
      <c r="AH127" s="878"/>
      <c r="AI127" s="878"/>
      <c r="AJ127" s="878"/>
      <c r="AK127" s="878"/>
      <c r="AL127" s="878"/>
      <c r="AM127" s="878"/>
      <c r="AN127" s="878"/>
      <c r="AO127" s="878"/>
      <c r="AP127" s="878"/>
      <c r="AQ127" s="878"/>
      <c r="AR127" s="878"/>
      <c r="AS127" s="878"/>
      <c r="AT127" s="878"/>
      <c r="AU127" s="878"/>
      <c r="AV127" s="878"/>
      <c r="AW127" s="878"/>
      <c r="AX127" s="878"/>
      <c r="AY127" s="559">
        <v>0.5</v>
      </c>
      <c r="AZ127" s="560">
        <f t="shared" si="3"/>
        <v>0</v>
      </c>
      <c r="BA127" s="559">
        <f t="shared" si="4"/>
        <v>0</v>
      </c>
      <c r="BB127" s="553">
        <f t="shared" si="7"/>
        <v>0.5</v>
      </c>
    </row>
    <row r="128" spans="1:54" x14ac:dyDescent="0.35">
      <c r="A128" s="711"/>
      <c r="B128" s="561" t="s">
        <v>131</v>
      </c>
      <c r="C128" s="878"/>
      <c r="D128" s="878"/>
      <c r="E128" s="878"/>
      <c r="F128" s="878"/>
      <c r="G128" s="878"/>
      <c r="H128" s="878"/>
      <c r="I128" s="878"/>
      <c r="J128" s="878"/>
      <c r="K128" s="878"/>
      <c r="L128" s="878"/>
      <c r="M128" s="878"/>
      <c r="N128" s="878"/>
      <c r="O128" s="878"/>
      <c r="P128" s="878"/>
      <c r="Q128" s="878"/>
      <c r="R128" s="878"/>
      <c r="S128" s="878">
        <v>0</v>
      </c>
      <c r="T128" s="878">
        <v>0</v>
      </c>
      <c r="U128" s="878">
        <v>0</v>
      </c>
      <c r="V128" s="878">
        <v>0</v>
      </c>
      <c r="W128" s="878"/>
      <c r="X128" s="878"/>
      <c r="Y128" s="878"/>
      <c r="Z128" s="878"/>
      <c r="AA128" s="878">
        <v>0</v>
      </c>
      <c r="AB128" s="878">
        <v>0</v>
      </c>
      <c r="AC128" s="878">
        <v>0</v>
      </c>
      <c r="AD128" s="878">
        <v>0</v>
      </c>
      <c r="AE128" s="878"/>
      <c r="AF128" s="878"/>
      <c r="AG128" s="878"/>
      <c r="AH128" s="878"/>
      <c r="AI128" s="878"/>
      <c r="AJ128" s="878"/>
      <c r="AK128" s="878"/>
      <c r="AL128" s="878"/>
      <c r="AM128" s="878"/>
      <c r="AN128" s="878"/>
      <c r="AO128" s="878"/>
      <c r="AP128" s="878"/>
      <c r="AQ128" s="878"/>
      <c r="AR128" s="878"/>
      <c r="AS128" s="878"/>
      <c r="AT128" s="878"/>
      <c r="AU128" s="878"/>
      <c r="AV128" s="878"/>
      <c r="AW128" s="878"/>
      <c r="AX128" s="878"/>
      <c r="AY128" s="559">
        <v>0.5</v>
      </c>
      <c r="AZ128" s="560">
        <f t="shared" si="3"/>
        <v>0</v>
      </c>
      <c r="BA128" s="559">
        <f t="shared" si="4"/>
        <v>0</v>
      </c>
      <c r="BB128" s="553">
        <f t="shared" si="7"/>
        <v>0.5</v>
      </c>
    </row>
    <row r="129" spans="1:54" x14ac:dyDescent="0.35">
      <c r="A129" s="711"/>
      <c r="B129" s="561" t="s">
        <v>121</v>
      </c>
      <c r="C129" s="878"/>
      <c r="D129" s="878"/>
      <c r="E129" s="878"/>
      <c r="F129" s="878"/>
      <c r="G129" s="878"/>
      <c r="H129" s="878"/>
      <c r="I129" s="878"/>
      <c r="J129" s="878"/>
      <c r="K129" s="878"/>
      <c r="L129" s="878"/>
      <c r="M129" s="878"/>
      <c r="N129" s="878"/>
      <c r="O129" s="878"/>
      <c r="P129" s="878"/>
      <c r="Q129" s="878"/>
      <c r="R129" s="878"/>
      <c r="S129" s="878">
        <v>0.04</v>
      </c>
      <c r="T129" s="878">
        <v>0.04</v>
      </c>
      <c r="U129" s="878">
        <v>0.04</v>
      </c>
      <c r="V129" s="878">
        <v>0.04</v>
      </c>
      <c r="W129" s="878"/>
      <c r="X129" s="878"/>
      <c r="Y129" s="878"/>
      <c r="Z129" s="878"/>
      <c r="AA129" s="878">
        <v>0.04</v>
      </c>
      <c r="AB129" s="878">
        <v>0.04</v>
      </c>
      <c r="AC129" s="878">
        <v>0.04</v>
      </c>
      <c r="AD129" s="878">
        <v>0.04</v>
      </c>
      <c r="AE129" s="878"/>
      <c r="AF129" s="878"/>
      <c r="AG129" s="878"/>
      <c r="AH129" s="878"/>
      <c r="AI129" s="878"/>
      <c r="AJ129" s="878"/>
      <c r="AK129" s="878"/>
      <c r="AL129" s="878"/>
      <c r="AM129" s="878"/>
      <c r="AN129" s="878"/>
      <c r="AO129" s="878"/>
      <c r="AP129" s="878"/>
      <c r="AQ129" s="878"/>
      <c r="AR129" s="878"/>
      <c r="AS129" s="878"/>
      <c r="AT129" s="878"/>
      <c r="AU129" s="878"/>
      <c r="AV129" s="878"/>
      <c r="AW129" s="878"/>
      <c r="AX129" s="878"/>
      <c r="AY129" s="559">
        <v>0.5</v>
      </c>
      <c r="AZ129" s="560">
        <f t="shared" si="3"/>
        <v>0.04</v>
      </c>
      <c r="BA129" s="559">
        <f t="shared" si="4"/>
        <v>0.08</v>
      </c>
      <c r="BB129" s="553">
        <f t="shared" si="7"/>
        <v>0.5</v>
      </c>
    </row>
    <row r="130" spans="1:54" x14ac:dyDescent="0.35">
      <c r="A130" s="711" t="str">
        <f>DISTRIBUCIÓN!A72</f>
        <v>Paso 5. Estimación de indicadores de calidad de agua</v>
      </c>
      <c r="B130" s="561" t="s">
        <v>302</v>
      </c>
      <c r="C130" s="878"/>
      <c r="D130" s="878"/>
      <c r="E130" s="878"/>
      <c r="F130" s="878"/>
      <c r="G130" s="878"/>
      <c r="H130" s="878"/>
      <c r="I130" s="878"/>
      <c r="J130" s="878"/>
      <c r="K130" s="878"/>
      <c r="L130" s="878"/>
      <c r="M130" s="878"/>
      <c r="N130" s="878"/>
      <c r="O130" s="878"/>
      <c r="P130" s="878"/>
      <c r="Q130" s="878"/>
      <c r="R130" s="878"/>
      <c r="S130" s="878">
        <v>0.03</v>
      </c>
      <c r="T130" s="878">
        <v>0.03</v>
      </c>
      <c r="U130" s="878">
        <v>0.03</v>
      </c>
      <c r="V130" s="878">
        <v>0.03</v>
      </c>
      <c r="W130" s="878"/>
      <c r="X130" s="878"/>
      <c r="Y130" s="878"/>
      <c r="Z130" s="878"/>
      <c r="AA130" s="878">
        <v>0.03</v>
      </c>
      <c r="AB130" s="878">
        <v>0.03</v>
      </c>
      <c r="AC130" s="878">
        <v>0.03</v>
      </c>
      <c r="AD130" s="878">
        <v>0.03</v>
      </c>
      <c r="AE130" s="878"/>
      <c r="AF130" s="878"/>
      <c r="AG130" s="878"/>
      <c r="AH130" s="878"/>
      <c r="AI130" s="878"/>
      <c r="AJ130" s="878"/>
      <c r="AK130" s="878"/>
      <c r="AL130" s="878"/>
      <c r="AM130" s="878"/>
      <c r="AN130" s="878"/>
      <c r="AO130" s="878"/>
      <c r="AP130" s="878"/>
      <c r="AQ130" s="878"/>
      <c r="AR130" s="878"/>
      <c r="AS130" s="878"/>
      <c r="AT130" s="878"/>
      <c r="AU130" s="878"/>
      <c r="AV130" s="878"/>
      <c r="AW130" s="878"/>
      <c r="AX130" s="878"/>
      <c r="AY130" s="559">
        <v>0.5</v>
      </c>
      <c r="AZ130" s="560">
        <f t="shared" si="3"/>
        <v>0.03</v>
      </c>
      <c r="BA130" s="559">
        <f t="shared" si="4"/>
        <v>0.06</v>
      </c>
      <c r="BB130" s="553">
        <f t="shared" si="7"/>
        <v>0.5</v>
      </c>
    </row>
    <row r="131" spans="1:54" x14ac:dyDescent="0.35">
      <c r="A131" s="711"/>
      <c r="B131" s="561" t="s">
        <v>156</v>
      </c>
      <c r="C131" s="878"/>
      <c r="D131" s="878"/>
      <c r="E131" s="878"/>
      <c r="F131" s="878"/>
      <c r="G131" s="878"/>
      <c r="H131" s="878"/>
      <c r="I131" s="878"/>
      <c r="J131" s="878"/>
      <c r="K131" s="878"/>
      <c r="L131" s="878"/>
      <c r="M131" s="878"/>
      <c r="N131" s="878"/>
      <c r="O131" s="878"/>
      <c r="P131" s="878"/>
      <c r="Q131" s="878"/>
      <c r="R131" s="878"/>
      <c r="S131" s="878">
        <v>0.26</v>
      </c>
      <c r="T131" s="878">
        <v>0.26</v>
      </c>
      <c r="U131" s="878">
        <v>0.26</v>
      </c>
      <c r="V131" s="878">
        <v>0.26</v>
      </c>
      <c r="W131" s="878"/>
      <c r="X131" s="878"/>
      <c r="Y131" s="878"/>
      <c r="Z131" s="878"/>
      <c r="AA131" s="878">
        <v>0.26</v>
      </c>
      <c r="AB131" s="878">
        <v>0.26</v>
      </c>
      <c r="AC131" s="878">
        <v>0.26</v>
      </c>
      <c r="AD131" s="878">
        <v>0.26</v>
      </c>
      <c r="AE131" s="878"/>
      <c r="AF131" s="878"/>
      <c r="AG131" s="878"/>
      <c r="AH131" s="878"/>
      <c r="AI131" s="878"/>
      <c r="AJ131" s="878"/>
      <c r="AK131" s="878"/>
      <c r="AL131" s="878"/>
      <c r="AM131" s="878"/>
      <c r="AN131" s="878"/>
      <c r="AO131" s="878"/>
      <c r="AP131" s="878"/>
      <c r="AQ131" s="878"/>
      <c r="AR131" s="878"/>
      <c r="AS131" s="878"/>
      <c r="AT131" s="878"/>
      <c r="AU131" s="878"/>
      <c r="AV131" s="878"/>
      <c r="AW131" s="878"/>
      <c r="AX131" s="878"/>
      <c r="AY131" s="559">
        <v>0.5</v>
      </c>
      <c r="AZ131" s="560">
        <f t="shared" si="3"/>
        <v>0.26</v>
      </c>
      <c r="BA131" s="559">
        <f t="shared" si="4"/>
        <v>0.52</v>
      </c>
      <c r="BB131" s="553">
        <f t="shared" si="7"/>
        <v>0.5</v>
      </c>
    </row>
    <row r="132" spans="1:54" x14ac:dyDescent="0.35">
      <c r="A132" s="711"/>
      <c r="B132" s="561" t="s">
        <v>157</v>
      </c>
      <c r="C132" s="878"/>
      <c r="D132" s="878"/>
      <c r="E132" s="878"/>
      <c r="F132" s="878"/>
      <c r="G132" s="878"/>
      <c r="H132" s="878"/>
      <c r="I132" s="878"/>
      <c r="J132" s="878"/>
      <c r="K132" s="878"/>
      <c r="L132" s="878"/>
      <c r="M132" s="878"/>
      <c r="N132" s="878"/>
      <c r="O132" s="878"/>
      <c r="P132" s="878"/>
      <c r="Q132" s="878"/>
      <c r="R132" s="878"/>
      <c r="S132" s="878">
        <v>0</v>
      </c>
      <c r="T132" s="878">
        <v>0</v>
      </c>
      <c r="U132" s="878">
        <v>0</v>
      </c>
      <c r="V132" s="878">
        <v>0</v>
      </c>
      <c r="W132" s="878"/>
      <c r="X132" s="878"/>
      <c r="Y132" s="878"/>
      <c r="Z132" s="878"/>
      <c r="AA132" s="878">
        <v>0</v>
      </c>
      <c r="AB132" s="878">
        <v>0</v>
      </c>
      <c r="AC132" s="878">
        <v>0</v>
      </c>
      <c r="AD132" s="878">
        <v>0</v>
      </c>
      <c r="AE132" s="878"/>
      <c r="AF132" s="878"/>
      <c r="AG132" s="878"/>
      <c r="AH132" s="878"/>
      <c r="AI132" s="878"/>
      <c r="AJ132" s="878"/>
      <c r="AK132" s="878"/>
      <c r="AL132" s="878"/>
      <c r="AM132" s="878"/>
      <c r="AN132" s="878"/>
      <c r="AO132" s="878"/>
      <c r="AP132" s="878"/>
      <c r="AQ132" s="878"/>
      <c r="AR132" s="878"/>
      <c r="AS132" s="878"/>
      <c r="AT132" s="878"/>
      <c r="AU132" s="878"/>
      <c r="AV132" s="878"/>
      <c r="AW132" s="878"/>
      <c r="AX132" s="878"/>
      <c r="AY132" s="559">
        <v>0.5</v>
      </c>
      <c r="AZ132" s="560">
        <f t="shared" si="3"/>
        <v>0</v>
      </c>
      <c r="BA132" s="559">
        <f t="shared" si="4"/>
        <v>0</v>
      </c>
      <c r="BB132" s="553">
        <f t="shared" si="7"/>
        <v>0.5</v>
      </c>
    </row>
    <row r="133" spans="1:54" x14ac:dyDescent="0.35">
      <c r="A133" s="711"/>
      <c r="B133" s="561" t="s">
        <v>158</v>
      </c>
      <c r="C133" s="878"/>
      <c r="D133" s="878"/>
      <c r="E133" s="878"/>
      <c r="F133" s="878"/>
      <c r="G133" s="878"/>
      <c r="H133" s="878"/>
      <c r="I133" s="878"/>
      <c r="J133" s="878"/>
      <c r="K133" s="878"/>
      <c r="L133" s="878"/>
      <c r="M133" s="878"/>
      <c r="N133" s="878"/>
      <c r="O133" s="878"/>
      <c r="P133" s="878"/>
      <c r="Q133" s="878"/>
      <c r="R133" s="878"/>
      <c r="S133" s="878">
        <v>0</v>
      </c>
      <c r="T133" s="878">
        <v>0</v>
      </c>
      <c r="U133" s="878">
        <v>0</v>
      </c>
      <c r="V133" s="878">
        <v>0</v>
      </c>
      <c r="W133" s="878"/>
      <c r="X133" s="878"/>
      <c r="Y133" s="878"/>
      <c r="Z133" s="878"/>
      <c r="AA133" s="878">
        <v>0</v>
      </c>
      <c r="AB133" s="878">
        <v>0</v>
      </c>
      <c r="AC133" s="878">
        <v>0</v>
      </c>
      <c r="AD133" s="878">
        <v>0</v>
      </c>
      <c r="AE133" s="878"/>
      <c r="AF133" s="878"/>
      <c r="AG133" s="878"/>
      <c r="AH133" s="878"/>
      <c r="AI133" s="878"/>
      <c r="AJ133" s="878"/>
      <c r="AK133" s="878"/>
      <c r="AL133" s="878"/>
      <c r="AM133" s="878"/>
      <c r="AN133" s="878"/>
      <c r="AO133" s="878"/>
      <c r="AP133" s="878"/>
      <c r="AQ133" s="878"/>
      <c r="AR133" s="878"/>
      <c r="AS133" s="878"/>
      <c r="AT133" s="878"/>
      <c r="AU133" s="878"/>
      <c r="AV133" s="878"/>
      <c r="AW133" s="878"/>
      <c r="AX133" s="878"/>
      <c r="AY133" s="559">
        <v>0.5</v>
      </c>
      <c r="AZ133" s="560">
        <f t="shared" ref="AZ133:AZ196" si="8">IF(COUNTIF(B133:AX133,"&gt;0")=0,0,ROUND(SUM(B133:AX133)/COUNTIF(B133:AX133,"&gt;0"),4))</f>
        <v>0</v>
      </c>
      <c r="BA133" s="559">
        <f t="shared" ref="BA133:BA196" si="9">ROUND(SUM(B133:AX133)/4,2)</f>
        <v>0</v>
      </c>
      <c r="BB133" s="553">
        <f t="shared" si="7"/>
        <v>0.5</v>
      </c>
    </row>
    <row r="134" spans="1:54" x14ac:dyDescent="0.35">
      <c r="A134" s="711"/>
      <c r="B134" s="561" t="s">
        <v>159</v>
      </c>
      <c r="C134" s="878"/>
      <c r="D134" s="878"/>
      <c r="E134" s="878"/>
      <c r="F134" s="878"/>
      <c r="G134" s="878"/>
      <c r="H134" s="878"/>
      <c r="I134" s="878"/>
      <c r="J134" s="878"/>
      <c r="K134" s="878"/>
      <c r="L134" s="878"/>
      <c r="M134" s="878"/>
      <c r="N134" s="878"/>
      <c r="O134" s="878"/>
      <c r="P134" s="878"/>
      <c r="Q134" s="878"/>
      <c r="R134" s="878"/>
      <c r="S134" s="878">
        <v>0</v>
      </c>
      <c r="T134" s="878">
        <v>0</v>
      </c>
      <c r="U134" s="878">
        <v>0</v>
      </c>
      <c r="V134" s="878">
        <v>0</v>
      </c>
      <c r="W134" s="878"/>
      <c r="X134" s="878"/>
      <c r="Y134" s="878"/>
      <c r="Z134" s="878"/>
      <c r="AA134" s="878">
        <v>0</v>
      </c>
      <c r="AB134" s="878">
        <v>0</v>
      </c>
      <c r="AC134" s="878">
        <v>0</v>
      </c>
      <c r="AD134" s="878">
        <v>0</v>
      </c>
      <c r="AE134" s="878"/>
      <c r="AF134" s="878"/>
      <c r="AG134" s="878"/>
      <c r="AH134" s="878"/>
      <c r="AI134" s="878"/>
      <c r="AJ134" s="878"/>
      <c r="AK134" s="878"/>
      <c r="AL134" s="878"/>
      <c r="AM134" s="878"/>
      <c r="AN134" s="878"/>
      <c r="AO134" s="878"/>
      <c r="AP134" s="878"/>
      <c r="AQ134" s="878"/>
      <c r="AR134" s="878"/>
      <c r="AS134" s="878"/>
      <c r="AT134" s="878"/>
      <c r="AU134" s="878"/>
      <c r="AV134" s="878"/>
      <c r="AW134" s="878"/>
      <c r="AX134" s="878"/>
      <c r="AY134" s="559">
        <v>0.5</v>
      </c>
      <c r="AZ134" s="560">
        <f t="shared" si="8"/>
        <v>0</v>
      </c>
      <c r="BA134" s="559">
        <f t="shared" si="9"/>
        <v>0</v>
      </c>
      <c r="BB134" s="553">
        <f t="shared" si="7"/>
        <v>0.5</v>
      </c>
    </row>
    <row r="135" spans="1:54" x14ac:dyDescent="0.35">
      <c r="A135" s="711"/>
      <c r="B135" s="561" t="s">
        <v>131</v>
      </c>
      <c r="C135" s="878"/>
      <c r="D135" s="878"/>
      <c r="E135" s="878"/>
      <c r="F135" s="878"/>
      <c r="G135" s="878"/>
      <c r="H135" s="878"/>
      <c r="I135" s="878"/>
      <c r="J135" s="878"/>
      <c r="K135" s="878"/>
      <c r="L135" s="878"/>
      <c r="M135" s="878"/>
      <c r="N135" s="878"/>
      <c r="O135" s="878"/>
      <c r="P135" s="878"/>
      <c r="Q135" s="878"/>
      <c r="R135" s="878"/>
      <c r="S135" s="878">
        <v>0</v>
      </c>
      <c r="T135" s="878">
        <v>0</v>
      </c>
      <c r="U135" s="878">
        <v>0</v>
      </c>
      <c r="V135" s="878">
        <v>0</v>
      </c>
      <c r="W135" s="878"/>
      <c r="X135" s="878"/>
      <c r="Y135" s="878"/>
      <c r="Z135" s="878"/>
      <c r="AA135" s="878">
        <v>7.0000000000000007E-2</v>
      </c>
      <c r="AB135" s="878">
        <v>7.0000000000000007E-2</v>
      </c>
      <c r="AC135" s="878">
        <v>7.0000000000000007E-2</v>
      </c>
      <c r="AD135" s="878">
        <v>7.0000000000000007E-2</v>
      </c>
      <c r="AE135" s="878"/>
      <c r="AF135" s="878"/>
      <c r="AG135" s="878"/>
      <c r="AH135" s="878"/>
      <c r="AI135" s="878"/>
      <c r="AJ135" s="878"/>
      <c r="AK135" s="878"/>
      <c r="AL135" s="878"/>
      <c r="AM135" s="878"/>
      <c r="AN135" s="878"/>
      <c r="AO135" s="878"/>
      <c r="AP135" s="878"/>
      <c r="AQ135" s="878"/>
      <c r="AR135" s="878"/>
      <c r="AS135" s="878"/>
      <c r="AT135" s="878"/>
      <c r="AU135" s="878"/>
      <c r="AV135" s="878"/>
      <c r="AW135" s="878"/>
      <c r="AX135" s="878"/>
      <c r="AY135" s="559">
        <v>0.5</v>
      </c>
      <c r="AZ135" s="560">
        <f t="shared" si="8"/>
        <v>7.0000000000000007E-2</v>
      </c>
      <c r="BA135" s="559">
        <f t="shared" si="9"/>
        <v>7.0000000000000007E-2</v>
      </c>
      <c r="BB135" s="553">
        <f t="shared" si="7"/>
        <v>0.5</v>
      </c>
    </row>
    <row r="136" spans="1:54" x14ac:dyDescent="0.35">
      <c r="A136" s="711"/>
      <c r="B136" s="561" t="s">
        <v>121</v>
      </c>
      <c r="C136" s="878"/>
      <c r="D136" s="878"/>
      <c r="E136" s="878"/>
      <c r="F136" s="878"/>
      <c r="G136" s="878"/>
      <c r="H136" s="878"/>
      <c r="I136" s="878"/>
      <c r="J136" s="878"/>
      <c r="K136" s="878"/>
      <c r="L136" s="878"/>
      <c r="M136" s="878"/>
      <c r="N136" s="878"/>
      <c r="O136" s="878"/>
      <c r="P136" s="878"/>
      <c r="Q136" s="878"/>
      <c r="R136" s="878"/>
      <c r="S136" s="878">
        <v>0.04</v>
      </c>
      <c r="T136" s="878">
        <v>0.04</v>
      </c>
      <c r="U136" s="878">
        <v>0.04</v>
      </c>
      <c r="V136" s="878">
        <v>0.04</v>
      </c>
      <c r="W136" s="878"/>
      <c r="X136" s="878"/>
      <c r="Y136" s="878"/>
      <c r="Z136" s="878"/>
      <c r="AA136" s="878">
        <v>0.04</v>
      </c>
      <c r="AB136" s="878">
        <v>0.04</v>
      </c>
      <c r="AC136" s="878">
        <v>0.04</v>
      </c>
      <c r="AD136" s="878">
        <v>0.04</v>
      </c>
      <c r="AE136" s="878"/>
      <c r="AF136" s="878"/>
      <c r="AG136" s="878"/>
      <c r="AH136" s="878"/>
      <c r="AI136" s="878"/>
      <c r="AJ136" s="878"/>
      <c r="AK136" s="878"/>
      <c r="AL136" s="878"/>
      <c r="AM136" s="878"/>
      <c r="AN136" s="878"/>
      <c r="AO136" s="878"/>
      <c r="AP136" s="878"/>
      <c r="AQ136" s="878"/>
      <c r="AR136" s="878"/>
      <c r="AS136" s="878"/>
      <c r="AT136" s="878"/>
      <c r="AU136" s="878"/>
      <c r="AV136" s="878"/>
      <c r="AW136" s="878"/>
      <c r="AX136" s="878"/>
      <c r="AY136" s="559">
        <v>0.5</v>
      </c>
      <c r="AZ136" s="560">
        <f t="shared" si="8"/>
        <v>0.04</v>
      </c>
      <c r="BA136" s="559">
        <f t="shared" si="9"/>
        <v>0.08</v>
      </c>
      <c r="BB136" s="553">
        <f t="shared" si="7"/>
        <v>0.5</v>
      </c>
    </row>
    <row r="137" spans="1:54" x14ac:dyDescent="0.35">
      <c r="A137" s="711" t="str">
        <f>DISTRIBUCIÓN!A73</f>
        <v xml:space="preserve">Paso 6. Clasificación de los usos actuales </v>
      </c>
      <c r="B137" s="561" t="s">
        <v>302</v>
      </c>
      <c r="C137" s="878"/>
      <c r="D137" s="878"/>
      <c r="E137" s="878"/>
      <c r="F137" s="878"/>
      <c r="G137" s="878"/>
      <c r="H137" s="878"/>
      <c r="I137" s="878"/>
      <c r="J137" s="878"/>
      <c r="K137" s="878"/>
      <c r="L137" s="878"/>
      <c r="M137" s="878"/>
      <c r="N137" s="878"/>
      <c r="O137" s="878"/>
      <c r="P137" s="878"/>
      <c r="Q137" s="878"/>
      <c r="R137" s="878"/>
      <c r="S137" s="878"/>
      <c r="T137" s="878"/>
      <c r="U137" s="878"/>
      <c r="V137" s="878"/>
      <c r="W137" s="878">
        <v>7.0000000000000007E-2</v>
      </c>
      <c r="X137" s="878">
        <v>7.0000000000000007E-2</v>
      </c>
      <c r="Y137" s="878">
        <v>7.0000000000000007E-2</v>
      </c>
      <c r="Z137" s="878">
        <v>7.0000000000000007E-2</v>
      </c>
      <c r="AA137" s="878">
        <v>7.0000000000000007E-2</v>
      </c>
      <c r="AB137" s="878">
        <v>7.0000000000000007E-2</v>
      </c>
      <c r="AC137" s="878">
        <v>7.0000000000000007E-2</v>
      </c>
      <c r="AD137" s="878">
        <v>7.0000000000000007E-2</v>
      </c>
      <c r="AE137" s="878"/>
      <c r="AF137" s="878"/>
      <c r="AG137" s="878"/>
      <c r="AH137" s="878"/>
      <c r="AI137" s="878"/>
      <c r="AJ137" s="878"/>
      <c r="AK137" s="878"/>
      <c r="AL137" s="878"/>
      <c r="AM137" s="878"/>
      <c r="AN137" s="878"/>
      <c r="AO137" s="878"/>
      <c r="AP137" s="878"/>
      <c r="AQ137" s="878"/>
      <c r="AR137" s="878"/>
      <c r="AS137" s="878"/>
      <c r="AT137" s="878"/>
      <c r="AU137" s="878"/>
      <c r="AV137" s="878"/>
      <c r="AW137" s="878"/>
      <c r="AX137" s="878"/>
      <c r="AY137" s="559">
        <v>0.5</v>
      </c>
      <c r="AZ137" s="560">
        <f t="shared" si="8"/>
        <v>7.0000000000000007E-2</v>
      </c>
      <c r="BA137" s="559">
        <f t="shared" si="9"/>
        <v>0.14000000000000001</v>
      </c>
      <c r="BB137" s="553">
        <f t="shared" si="7"/>
        <v>0.5</v>
      </c>
    </row>
    <row r="138" spans="1:54" x14ac:dyDescent="0.35">
      <c r="A138" s="711"/>
      <c r="B138" s="561" t="s">
        <v>156</v>
      </c>
      <c r="C138" s="878"/>
      <c r="D138" s="878"/>
      <c r="E138" s="878"/>
      <c r="F138" s="878"/>
      <c r="G138" s="878"/>
      <c r="H138" s="878"/>
      <c r="I138" s="878"/>
      <c r="J138" s="878"/>
      <c r="K138" s="878"/>
      <c r="L138" s="878"/>
      <c r="M138" s="878"/>
      <c r="N138" s="878"/>
      <c r="O138" s="878"/>
      <c r="P138" s="878"/>
      <c r="Q138" s="878"/>
      <c r="R138" s="878"/>
      <c r="S138" s="878"/>
      <c r="T138" s="878"/>
      <c r="U138" s="878"/>
      <c r="V138" s="878"/>
      <c r="W138" s="878">
        <v>0.03</v>
      </c>
      <c r="X138" s="878">
        <v>0.03</v>
      </c>
      <c r="Y138" s="878">
        <v>0.03</v>
      </c>
      <c r="Z138" s="878">
        <v>0.03</v>
      </c>
      <c r="AA138" s="878">
        <v>0.03</v>
      </c>
      <c r="AB138" s="878">
        <v>0.03</v>
      </c>
      <c r="AC138" s="878">
        <v>0.03</v>
      </c>
      <c r="AD138" s="878">
        <v>0.03</v>
      </c>
      <c r="AE138" s="878"/>
      <c r="AF138" s="878"/>
      <c r="AG138" s="878"/>
      <c r="AH138" s="878"/>
      <c r="AI138" s="878"/>
      <c r="AJ138" s="878"/>
      <c r="AK138" s="878"/>
      <c r="AL138" s="878"/>
      <c r="AM138" s="878"/>
      <c r="AN138" s="878"/>
      <c r="AO138" s="878"/>
      <c r="AP138" s="878"/>
      <c r="AQ138" s="878"/>
      <c r="AR138" s="878"/>
      <c r="AS138" s="878"/>
      <c r="AT138" s="878"/>
      <c r="AU138" s="878"/>
      <c r="AV138" s="878"/>
      <c r="AW138" s="878"/>
      <c r="AX138" s="878"/>
      <c r="AY138" s="559">
        <v>0.5</v>
      </c>
      <c r="AZ138" s="560">
        <f t="shared" si="8"/>
        <v>0.03</v>
      </c>
      <c r="BA138" s="559">
        <f t="shared" si="9"/>
        <v>0.06</v>
      </c>
      <c r="BB138" s="553">
        <f t="shared" si="7"/>
        <v>0.5</v>
      </c>
    </row>
    <row r="139" spans="1:54" x14ac:dyDescent="0.35">
      <c r="A139" s="711"/>
      <c r="B139" s="561" t="s">
        <v>157</v>
      </c>
      <c r="C139" s="878"/>
      <c r="D139" s="878"/>
      <c r="E139" s="878"/>
      <c r="F139" s="878"/>
      <c r="G139" s="878"/>
      <c r="H139" s="878"/>
      <c r="I139" s="878"/>
      <c r="J139" s="878"/>
      <c r="K139" s="878"/>
      <c r="L139" s="878"/>
      <c r="M139" s="878"/>
      <c r="N139" s="878"/>
      <c r="O139" s="878"/>
      <c r="P139" s="878"/>
      <c r="Q139" s="878"/>
      <c r="R139" s="878"/>
      <c r="S139" s="878"/>
      <c r="T139" s="878"/>
      <c r="U139" s="878"/>
      <c r="V139" s="878"/>
      <c r="W139" s="878">
        <v>0.08</v>
      </c>
      <c r="X139" s="878">
        <v>0.08</v>
      </c>
      <c r="Y139" s="878">
        <v>0.08</v>
      </c>
      <c r="Z139" s="878">
        <v>0.08</v>
      </c>
      <c r="AA139" s="878">
        <v>0</v>
      </c>
      <c r="AB139" s="878">
        <v>0</v>
      </c>
      <c r="AC139" s="878">
        <v>0</v>
      </c>
      <c r="AD139" s="878">
        <v>0</v>
      </c>
      <c r="AE139" s="878"/>
      <c r="AF139" s="878"/>
      <c r="AG139" s="878"/>
      <c r="AH139" s="878"/>
      <c r="AI139" s="878"/>
      <c r="AJ139" s="878"/>
      <c r="AK139" s="878"/>
      <c r="AL139" s="878"/>
      <c r="AM139" s="878"/>
      <c r="AN139" s="878"/>
      <c r="AO139" s="878"/>
      <c r="AP139" s="878"/>
      <c r="AQ139" s="878"/>
      <c r="AR139" s="878"/>
      <c r="AS139" s="878"/>
      <c r="AT139" s="878"/>
      <c r="AU139" s="878"/>
      <c r="AV139" s="878"/>
      <c r="AW139" s="878"/>
      <c r="AX139" s="878"/>
      <c r="AY139" s="559">
        <v>0.5</v>
      </c>
      <c r="AZ139" s="560">
        <f t="shared" si="8"/>
        <v>0.08</v>
      </c>
      <c r="BA139" s="559">
        <f t="shared" si="9"/>
        <v>0.08</v>
      </c>
      <c r="BB139" s="553">
        <f t="shared" si="7"/>
        <v>0.5</v>
      </c>
    </row>
    <row r="140" spans="1:54" x14ac:dyDescent="0.35">
      <c r="A140" s="711"/>
      <c r="B140" s="561" t="s">
        <v>158</v>
      </c>
      <c r="C140" s="878"/>
      <c r="D140" s="878"/>
      <c r="E140" s="878"/>
      <c r="F140" s="878"/>
      <c r="G140" s="878"/>
      <c r="H140" s="878"/>
      <c r="I140" s="878"/>
      <c r="J140" s="878"/>
      <c r="K140" s="878"/>
      <c r="L140" s="878"/>
      <c r="M140" s="878"/>
      <c r="N140" s="878"/>
      <c r="O140" s="878"/>
      <c r="P140" s="878"/>
      <c r="Q140" s="878"/>
      <c r="R140" s="878"/>
      <c r="S140" s="878"/>
      <c r="T140" s="878"/>
      <c r="U140" s="878"/>
      <c r="V140" s="878"/>
      <c r="W140" s="878">
        <v>0</v>
      </c>
      <c r="X140" s="878">
        <v>0</v>
      </c>
      <c r="Y140" s="878">
        <v>0</v>
      </c>
      <c r="Z140" s="878">
        <v>0</v>
      </c>
      <c r="AA140" s="878">
        <v>0</v>
      </c>
      <c r="AB140" s="878">
        <v>0</v>
      </c>
      <c r="AC140" s="878">
        <v>0</v>
      </c>
      <c r="AD140" s="878">
        <v>0</v>
      </c>
      <c r="AE140" s="878"/>
      <c r="AF140" s="878"/>
      <c r="AG140" s="878"/>
      <c r="AH140" s="878"/>
      <c r="AI140" s="878"/>
      <c r="AJ140" s="878"/>
      <c r="AK140" s="878"/>
      <c r="AL140" s="878"/>
      <c r="AM140" s="878"/>
      <c r="AN140" s="878"/>
      <c r="AO140" s="878"/>
      <c r="AP140" s="878"/>
      <c r="AQ140" s="878"/>
      <c r="AR140" s="878"/>
      <c r="AS140" s="878"/>
      <c r="AT140" s="878"/>
      <c r="AU140" s="878"/>
      <c r="AV140" s="878"/>
      <c r="AW140" s="878"/>
      <c r="AX140" s="878"/>
      <c r="AY140" s="559">
        <v>0.5</v>
      </c>
      <c r="AZ140" s="560">
        <f t="shared" si="8"/>
        <v>0</v>
      </c>
      <c r="BA140" s="559">
        <f t="shared" si="9"/>
        <v>0</v>
      </c>
      <c r="BB140" s="553">
        <f t="shared" si="7"/>
        <v>0.5</v>
      </c>
    </row>
    <row r="141" spans="1:54" x14ac:dyDescent="0.35">
      <c r="A141" s="711"/>
      <c r="B141" s="561" t="s">
        <v>159</v>
      </c>
      <c r="C141" s="878"/>
      <c r="D141" s="878"/>
      <c r="E141" s="878"/>
      <c r="F141" s="878"/>
      <c r="G141" s="878"/>
      <c r="H141" s="878"/>
      <c r="I141" s="878"/>
      <c r="J141" s="878"/>
      <c r="K141" s="878"/>
      <c r="L141" s="878"/>
      <c r="M141" s="878"/>
      <c r="N141" s="878"/>
      <c r="O141" s="878"/>
      <c r="P141" s="878"/>
      <c r="Q141" s="878"/>
      <c r="R141" s="878"/>
      <c r="S141" s="878"/>
      <c r="T141" s="878"/>
      <c r="U141" s="878"/>
      <c r="V141" s="878"/>
      <c r="W141" s="878">
        <v>0</v>
      </c>
      <c r="X141" s="878">
        <v>0</v>
      </c>
      <c r="Y141" s="878">
        <v>0</v>
      </c>
      <c r="Z141" s="878">
        <v>0</v>
      </c>
      <c r="AA141" s="878">
        <v>0</v>
      </c>
      <c r="AB141" s="878">
        <v>0</v>
      </c>
      <c r="AC141" s="878">
        <v>0</v>
      </c>
      <c r="AD141" s="878">
        <v>0</v>
      </c>
      <c r="AE141" s="878"/>
      <c r="AF141" s="878"/>
      <c r="AG141" s="878"/>
      <c r="AH141" s="878"/>
      <c r="AI141" s="878"/>
      <c r="AJ141" s="878"/>
      <c r="AK141" s="878"/>
      <c r="AL141" s="878"/>
      <c r="AM141" s="878"/>
      <c r="AN141" s="878"/>
      <c r="AO141" s="878"/>
      <c r="AP141" s="878"/>
      <c r="AQ141" s="878"/>
      <c r="AR141" s="878"/>
      <c r="AS141" s="878"/>
      <c r="AT141" s="878"/>
      <c r="AU141" s="878"/>
      <c r="AV141" s="878"/>
      <c r="AW141" s="878"/>
      <c r="AX141" s="878"/>
      <c r="AY141" s="559">
        <v>0.5</v>
      </c>
      <c r="AZ141" s="560">
        <f t="shared" si="8"/>
        <v>0</v>
      </c>
      <c r="BA141" s="559">
        <f t="shared" si="9"/>
        <v>0</v>
      </c>
      <c r="BB141" s="553">
        <f t="shared" si="7"/>
        <v>0.5</v>
      </c>
    </row>
    <row r="142" spans="1:54" x14ac:dyDescent="0.35">
      <c r="A142" s="711"/>
      <c r="B142" s="561" t="s">
        <v>131</v>
      </c>
      <c r="C142" s="878"/>
      <c r="D142" s="878"/>
      <c r="E142" s="878"/>
      <c r="F142" s="878"/>
      <c r="G142" s="878"/>
      <c r="H142" s="878"/>
      <c r="I142" s="878"/>
      <c r="J142" s="878"/>
      <c r="K142" s="878"/>
      <c r="L142" s="878"/>
      <c r="M142" s="878"/>
      <c r="N142" s="878"/>
      <c r="O142" s="878"/>
      <c r="P142" s="878"/>
      <c r="Q142" s="878"/>
      <c r="R142" s="878"/>
      <c r="S142" s="878"/>
      <c r="T142" s="878"/>
      <c r="U142" s="878"/>
      <c r="V142" s="878"/>
      <c r="W142" s="878">
        <v>0.09</v>
      </c>
      <c r="X142" s="878">
        <v>0.09</v>
      </c>
      <c r="Y142" s="878">
        <v>0.09</v>
      </c>
      <c r="Z142" s="878">
        <v>0.09</v>
      </c>
      <c r="AA142" s="878">
        <v>0.09</v>
      </c>
      <c r="AB142" s="878">
        <v>0.09</v>
      </c>
      <c r="AC142" s="878">
        <v>0.09</v>
      </c>
      <c r="AD142" s="878">
        <v>0.09</v>
      </c>
      <c r="AE142" s="878"/>
      <c r="AF142" s="878"/>
      <c r="AG142" s="878"/>
      <c r="AH142" s="878"/>
      <c r="AI142" s="878"/>
      <c r="AJ142" s="878"/>
      <c r="AK142" s="878"/>
      <c r="AL142" s="878"/>
      <c r="AM142" s="878"/>
      <c r="AN142" s="878"/>
      <c r="AO142" s="878"/>
      <c r="AP142" s="878"/>
      <c r="AQ142" s="878"/>
      <c r="AR142" s="878"/>
      <c r="AS142" s="878"/>
      <c r="AT142" s="878"/>
      <c r="AU142" s="878"/>
      <c r="AV142" s="878"/>
      <c r="AW142" s="878"/>
      <c r="AX142" s="878"/>
      <c r="AY142" s="559">
        <v>0.5</v>
      </c>
      <c r="AZ142" s="560">
        <f t="shared" si="8"/>
        <v>0.09</v>
      </c>
      <c r="BA142" s="559">
        <f t="shared" si="9"/>
        <v>0.18</v>
      </c>
      <c r="BB142" s="553">
        <f t="shared" si="7"/>
        <v>0.5</v>
      </c>
    </row>
    <row r="143" spans="1:54" x14ac:dyDescent="0.35">
      <c r="A143" s="711"/>
      <c r="B143" s="561" t="s">
        <v>121</v>
      </c>
      <c r="C143" s="878"/>
      <c r="D143" s="878"/>
      <c r="E143" s="878"/>
      <c r="F143" s="878"/>
      <c r="G143" s="878"/>
      <c r="H143" s="878"/>
      <c r="I143" s="878"/>
      <c r="J143" s="878"/>
      <c r="K143" s="878"/>
      <c r="L143" s="878"/>
      <c r="M143" s="878"/>
      <c r="N143" s="878"/>
      <c r="O143" s="878"/>
      <c r="P143" s="878"/>
      <c r="Q143" s="878"/>
      <c r="R143" s="878"/>
      <c r="S143" s="878"/>
      <c r="T143" s="878"/>
      <c r="U143" s="878"/>
      <c r="V143" s="878"/>
      <c r="W143" s="878">
        <v>7.0000000000000007E-2</v>
      </c>
      <c r="X143" s="878">
        <v>7.0000000000000007E-2</v>
      </c>
      <c r="Y143" s="878">
        <v>7.0000000000000007E-2</v>
      </c>
      <c r="Z143" s="878">
        <v>7.0000000000000007E-2</v>
      </c>
      <c r="AA143" s="878">
        <v>7.0000000000000007E-2</v>
      </c>
      <c r="AB143" s="878">
        <v>7.0000000000000007E-2</v>
      </c>
      <c r="AC143" s="878">
        <v>7.0000000000000007E-2</v>
      </c>
      <c r="AD143" s="878">
        <v>7.0000000000000007E-2</v>
      </c>
      <c r="AE143" s="878"/>
      <c r="AF143" s="878"/>
      <c r="AG143" s="878"/>
      <c r="AH143" s="878"/>
      <c r="AI143" s="878"/>
      <c r="AJ143" s="878"/>
      <c r="AK143" s="878"/>
      <c r="AL143" s="878"/>
      <c r="AM143" s="878"/>
      <c r="AN143" s="878"/>
      <c r="AO143" s="878"/>
      <c r="AP143" s="878"/>
      <c r="AQ143" s="878"/>
      <c r="AR143" s="878"/>
      <c r="AS143" s="878"/>
      <c r="AT143" s="878"/>
      <c r="AU143" s="878"/>
      <c r="AV143" s="878"/>
      <c r="AW143" s="878"/>
      <c r="AX143" s="878"/>
      <c r="AY143" s="559">
        <v>0.5</v>
      </c>
      <c r="AZ143" s="560">
        <f t="shared" si="8"/>
        <v>7.0000000000000007E-2</v>
      </c>
      <c r="BA143" s="559">
        <f t="shared" si="9"/>
        <v>0.14000000000000001</v>
      </c>
      <c r="BB143" s="553">
        <f t="shared" si="7"/>
        <v>0.5</v>
      </c>
    </row>
    <row r="144" spans="1:54" x14ac:dyDescent="0.35">
      <c r="A144" s="711" t="str">
        <f>DISTRIBUCIÓN!A74</f>
        <v>Paso 7. Estudio de demanda de agua</v>
      </c>
      <c r="B144" s="561" t="s">
        <v>302</v>
      </c>
      <c r="C144" s="878"/>
      <c r="D144" s="878"/>
      <c r="E144" s="878"/>
      <c r="F144" s="878"/>
      <c r="G144" s="878"/>
      <c r="H144" s="878"/>
      <c r="I144" s="878"/>
      <c r="J144" s="878"/>
      <c r="K144" s="878"/>
      <c r="L144" s="878"/>
      <c r="M144" s="878"/>
      <c r="N144" s="878"/>
      <c r="O144" s="878"/>
      <c r="P144" s="878"/>
      <c r="Q144" s="878"/>
      <c r="R144" s="878"/>
      <c r="S144" s="878"/>
      <c r="T144" s="878"/>
      <c r="U144" s="878"/>
      <c r="V144" s="878"/>
      <c r="W144" s="878">
        <v>0.05</v>
      </c>
      <c r="X144" s="878">
        <v>0.05</v>
      </c>
      <c r="Y144" s="878">
        <v>0.05</v>
      </c>
      <c r="Z144" s="878">
        <v>0.05</v>
      </c>
      <c r="AA144" s="878"/>
      <c r="AB144" s="878"/>
      <c r="AC144" s="878"/>
      <c r="AD144" s="878"/>
      <c r="AE144" s="878"/>
      <c r="AF144" s="878"/>
      <c r="AG144" s="878"/>
      <c r="AH144" s="878"/>
      <c r="AI144" s="878"/>
      <c r="AJ144" s="878"/>
      <c r="AK144" s="878"/>
      <c r="AL144" s="878"/>
      <c r="AM144" s="878"/>
      <c r="AN144" s="878"/>
      <c r="AO144" s="878"/>
      <c r="AP144" s="878"/>
      <c r="AQ144" s="878"/>
      <c r="AR144" s="878"/>
      <c r="AS144" s="878"/>
      <c r="AT144" s="878"/>
      <c r="AU144" s="878"/>
      <c r="AV144" s="878"/>
      <c r="AW144" s="878"/>
      <c r="AX144" s="878"/>
      <c r="AY144" s="559">
        <v>1</v>
      </c>
      <c r="AZ144" s="560">
        <f t="shared" si="8"/>
        <v>0.05</v>
      </c>
      <c r="BA144" s="559">
        <f t="shared" si="9"/>
        <v>0.05</v>
      </c>
      <c r="BB144" s="553">
        <f t="shared" si="7"/>
        <v>1</v>
      </c>
    </row>
    <row r="145" spans="1:54" x14ac:dyDescent="0.35">
      <c r="A145" s="711"/>
      <c r="B145" s="561" t="s">
        <v>156</v>
      </c>
      <c r="C145" s="878"/>
      <c r="D145" s="878"/>
      <c r="E145" s="878"/>
      <c r="F145" s="878"/>
      <c r="G145" s="878"/>
      <c r="H145" s="878"/>
      <c r="I145" s="878"/>
      <c r="J145" s="878"/>
      <c r="K145" s="878"/>
      <c r="L145" s="878"/>
      <c r="M145" s="878"/>
      <c r="N145" s="878"/>
      <c r="O145" s="878"/>
      <c r="P145" s="878"/>
      <c r="Q145" s="878"/>
      <c r="R145" s="878"/>
      <c r="S145" s="878"/>
      <c r="T145" s="878"/>
      <c r="U145" s="878"/>
      <c r="V145" s="878"/>
      <c r="W145" s="878">
        <v>0</v>
      </c>
      <c r="X145" s="878">
        <v>0</v>
      </c>
      <c r="Y145" s="878">
        <v>0</v>
      </c>
      <c r="Z145" s="878">
        <v>0</v>
      </c>
      <c r="AA145" s="878"/>
      <c r="AB145" s="878"/>
      <c r="AC145" s="878"/>
      <c r="AD145" s="878"/>
      <c r="AE145" s="878"/>
      <c r="AF145" s="878"/>
      <c r="AG145" s="878"/>
      <c r="AH145" s="878"/>
      <c r="AI145" s="878"/>
      <c r="AJ145" s="878"/>
      <c r="AK145" s="878"/>
      <c r="AL145" s="878"/>
      <c r="AM145" s="878"/>
      <c r="AN145" s="878"/>
      <c r="AO145" s="878"/>
      <c r="AP145" s="878"/>
      <c r="AQ145" s="878"/>
      <c r="AR145" s="878"/>
      <c r="AS145" s="878"/>
      <c r="AT145" s="878"/>
      <c r="AU145" s="878"/>
      <c r="AV145" s="878"/>
      <c r="AW145" s="878"/>
      <c r="AX145" s="878"/>
      <c r="AY145" s="559">
        <v>1</v>
      </c>
      <c r="AZ145" s="560">
        <f t="shared" si="8"/>
        <v>0</v>
      </c>
      <c r="BA145" s="559">
        <f t="shared" si="9"/>
        <v>0</v>
      </c>
      <c r="BB145" s="553">
        <f t="shared" si="7"/>
        <v>1</v>
      </c>
    </row>
    <row r="146" spans="1:54" x14ac:dyDescent="0.35">
      <c r="A146" s="711"/>
      <c r="B146" s="561" t="s">
        <v>157</v>
      </c>
      <c r="C146" s="878"/>
      <c r="D146" s="878"/>
      <c r="E146" s="878"/>
      <c r="F146" s="878"/>
      <c r="G146" s="878"/>
      <c r="H146" s="878"/>
      <c r="I146" s="878"/>
      <c r="J146" s="878"/>
      <c r="K146" s="878"/>
      <c r="L146" s="878"/>
      <c r="M146" s="878"/>
      <c r="N146" s="878"/>
      <c r="O146" s="878"/>
      <c r="P146" s="878"/>
      <c r="Q146" s="878"/>
      <c r="R146" s="878"/>
      <c r="S146" s="878"/>
      <c r="T146" s="878"/>
      <c r="U146" s="878"/>
      <c r="V146" s="878"/>
      <c r="W146" s="878">
        <v>0.14000000000000001</v>
      </c>
      <c r="X146" s="878">
        <v>0.14000000000000001</v>
      </c>
      <c r="Y146" s="878">
        <v>0.14000000000000001</v>
      </c>
      <c r="Z146" s="878">
        <v>0.14000000000000001</v>
      </c>
      <c r="AA146" s="878"/>
      <c r="AB146" s="878"/>
      <c r="AC146" s="878"/>
      <c r="AD146" s="878"/>
      <c r="AE146" s="878"/>
      <c r="AF146" s="878"/>
      <c r="AG146" s="878"/>
      <c r="AH146" s="878"/>
      <c r="AI146" s="878"/>
      <c r="AJ146" s="878"/>
      <c r="AK146" s="878"/>
      <c r="AL146" s="878"/>
      <c r="AM146" s="878"/>
      <c r="AN146" s="878"/>
      <c r="AO146" s="878"/>
      <c r="AP146" s="878"/>
      <c r="AQ146" s="878"/>
      <c r="AR146" s="878"/>
      <c r="AS146" s="878"/>
      <c r="AT146" s="878"/>
      <c r="AU146" s="878"/>
      <c r="AV146" s="878"/>
      <c r="AW146" s="878"/>
      <c r="AX146" s="878"/>
      <c r="AY146" s="559">
        <v>1</v>
      </c>
      <c r="AZ146" s="560">
        <f t="shared" si="8"/>
        <v>0.14000000000000001</v>
      </c>
      <c r="BA146" s="559">
        <f t="shared" si="9"/>
        <v>0.14000000000000001</v>
      </c>
      <c r="BB146" s="553">
        <f t="shared" si="7"/>
        <v>1</v>
      </c>
    </row>
    <row r="147" spans="1:54" x14ac:dyDescent="0.35">
      <c r="A147" s="711"/>
      <c r="B147" s="561" t="s">
        <v>158</v>
      </c>
      <c r="C147" s="878"/>
      <c r="D147" s="878"/>
      <c r="E147" s="878"/>
      <c r="F147" s="878"/>
      <c r="G147" s="878"/>
      <c r="H147" s="878"/>
      <c r="I147" s="878"/>
      <c r="J147" s="878"/>
      <c r="K147" s="878"/>
      <c r="L147" s="878"/>
      <c r="M147" s="878"/>
      <c r="N147" s="878"/>
      <c r="O147" s="878"/>
      <c r="P147" s="878"/>
      <c r="Q147" s="878"/>
      <c r="R147" s="878"/>
      <c r="S147" s="878"/>
      <c r="T147" s="878"/>
      <c r="U147" s="878"/>
      <c r="V147" s="878"/>
      <c r="W147" s="878">
        <v>0</v>
      </c>
      <c r="X147" s="878">
        <v>0</v>
      </c>
      <c r="Y147" s="878">
        <v>0</v>
      </c>
      <c r="Z147" s="878">
        <v>0</v>
      </c>
      <c r="AA147" s="878"/>
      <c r="AB147" s="878"/>
      <c r="AC147" s="878"/>
      <c r="AD147" s="878"/>
      <c r="AE147" s="878"/>
      <c r="AF147" s="878"/>
      <c r="AG147" s="878"/>
      <c r="AH147" s="878"/>
      <c r="AI147" s="878"/>
      <c r="AJ147" s="878"/>
      <c r="AK147" s="878"/>
      <c r="AL147" s="878"/>
      <c r="AM147" s="878"/>
      <c r="AN147" s="878"/>
      <c r="AO147" s="878"/>
      <c r="AP147" s="878"/>
      <c r="AQ147" s="878"/>
      <c r="AR147" s="878"/>
      <c r="AS147" s="878"/>
      <c r="AT147" s="878"/>
      <c r="AU147" s="878"/>
      <c r="AV147" s="878"/>
      <c r="AW147" s="878"/>
      <c r="AX147" s="878"/>
      <c r="AY147" s="559">
        <v>1</v>
      </c>
      <c r="AZ147" s="560">
        <f t="shared" si="8"/>
        <v>0</v>
      </c>
      <c r="BA147" s="559">
        <f t="shared" si="9"/>
        <v>0</v>
      </c>
      <c r="BB147" s="553">
        <f t="shared" si="7"/>
        <v>1</v>
      </c>
    </row>
    <row r="148" spans="1:54" x14ac:dyDescent="0.35">
      <c r="A148" s="711"/>
      <c r="B148" s="561" t="s">
        <v>159</v>
      </c>
      <c r="C148" s="878"/>
      <c r="D148" s="878"/>
      <c r="E148" s="878"/>
      <c r="F148" s="878"/>
      <c r="G148" s="878"/>
      <c r="H148" s="878"/>
      <c r="I148" s="878"/>
      <c r="J148" s="878"/>
      <c r="K148" s="878"/>
      <c r="L148" s="878"/>
      <c r="M148" s="878"/>
      <c r="N148" s="878"/>
      <c r="O148" s="878"/>
      <c r="P148" s="878"/>
      <c r="Q148" s="878"/>
      <c r="R148" s="878"/>
      <c r="S148" s="878"/>
      <c r="T148" s="878"/>
      <c r="U148" s="878"/>
      <c r="V148" s="878"/>
      <c r="W148" s="878">
        <v>0</v>
      </c>
      <c r="X148" s="878">
        <v>0</v>
      </c>
      <c r="Y148" s="878">
        <v>0</v>
      </c>
      <c r="Z148" s="878">
        <v>0</v>
      </c>
      <c r="AA148" s="878"/>
      <c r="AB148" s="878"/>
      <c r="AC148" s="878"/>
      <c r="AD148" s="878"/>
      <c r="AE148" s="878"/>
      <c r="AF148" s="878"/>
      <c r="AG148" s="878"/>
      <c r="AH148" s="878"/>
      <c r="AI148" s="878"/>
      <c r="AJ148" s="878"/>
      <c r="AK148" s="878"/>
      <c r="AL148" s="878"/>
      <c r="AM148" s="878"/>
      <c r="AN148" s="878"/>
      <c r="AO148" s="878"/>
      <c r="AP148" s="878"/>
      <c r="AQ148" s="878"/>
      <c r="AR148" s="878"/>
      <c r="AS148" s="878"/>
      <c r="AT148" s="878"/>
      <c r="AU148" s="878"/>
      <c r="AV148" s="878"/>
      <c r="AW148" s="878"/>
      <c r="AX148" s="878"/>
      <c r="AY148" s="559">
        <v>1</v>
      </c>
      <c r="AZ148" s="560">
        <f t="shared" si="8"/>
        <v>0</v>
      </c>
      <c r="BA148" s="559">
        <f t="shared" si="9"/>
        <v>0</v>
      </c>
      <c r="BB148" s="553">
        <f t="shared" si="7"/>
        <v>1</v>
      </c>
    </row>
    <row r="149" spans="1:54" x14ac:dyDescent="0.35">
      <c r="A149" s="711"/>
      <c r="B149" s="561" t="s">
        <v>131</v>
      </c>
      <c r="C149" s="878"/>
      <c r="D149" s="878"/>
      <c r="E149" s="878"/>
      <c r="F149" s="878"/>
      <c r="G149" s="878"/>
      <c r="H149" s="878"/>
      <c r="I149" s="878"/>
      <c r="J149" s="878"/>
      <c r="K149" s="878"/>
      <c r="L149" s="878"/>
      <c r="M149" s="878"/>
      <c r="N149" s="878"/>
      <c r="O149" s="878"/>
      <c r="P149" s="878"/>
      <c r="Q149" s="878"/>
      <c r="R149" s="878"/>
      <c r="S149" s="878"/>
      <c r="T149" s="878"/>
      <c r="U149" s="878"/>
      <c r="V149" s="878"/>
      <c r="W149" s="878">
        <v>0.13</v>
      </c>
      <c r="X149" s="878">
        <v>0.13</v>
      </c>
      <c r="Y149" s="878">
        <v>0.13</v>
      </c>
      <c r="Z149" s="878">
        <v>0.13</v>
      </c>
      <c r="AA149" s="878"/>
      <c r="AB149" s="878"/>
      <c r="AC149" s="878"/>
      <c r="AD149" s="878"/>
      <c r="AE149" s="878"/>
      <c r="AF149" s="878"/>
      <c r="AG149" s="878"/>
      <c r="AH149" s="878"/>
      <c r="AI149" s="878"/>
      <c r="AJ149" s="878"/>
      <c r="AK149" s="878"/>
      <c r="AL149" s="878"/>
      <c r="AM149" s="878"/>
      <c r="AN149" s="878"/>
      <c r="AO149" s="878"/>
      <c r="AP149" s="878"/>
      <c r="AQ149" s="878"/>
      <c r="AR149" s="878"/>
      <c r="AS149" s="878"/>
      <c r="AT149" s="878"/>
      <c r="AU149" s="878"/>
      <c r="AV149" s="878"/>
      <c r="AW149" s="878"/>
      <c r="AX149" s="878"/>
      <c r="AY149" s="559">
        <v>1</v>
      </c>
      <c r="AZ149" s="560">
        <f t="shared" si="8"/>
        <v>0.13</v>
      </c>
      <c r="BA149" s="559">
        <f t="shared" si="9"/>
        <v>0.13</v>
      </c>
      <c r="BB149" s="553">
        <f t="shared" si="7"/>
        <v>1</v>
      </c>
    </row>
    <row r="150" spans="1:54" x14ac:dyDescent="0.35">
      <c r="A150" s="711"/>
      <c r="B150" s="561" t="s">
        <v>121</v>
      </c>
      <c r="C150" s="878"/>
      <c r="D150" s="878"/>
      <c r="E150" s="878"/>
      <c r="F150" s="878"/>
      <c r="G150" s="878"/>
      <c r="H150" s="878"/>
      <c r="I150" s="878"/>
      <c r="J150" s="878"/>
      <c r="K150" s="878"/>
      <c r="L150" s="878"/>
      <c r="M150" s="878"/>
      <c r="N150" s="878"/>
      <c r="O150" s="878"/>
      <c r="P150" s="878"/>
      <c r="Q150" s="878"/>
      <c r="R150" s="878"/>
      <c r="S150" s="878"/>
      <c r="T150" s="878"/>
      <c r="U150" s="878"/>
      <c r="V150" s="878"/>
      <c r="W150" s="878">
        <v>0.08</v>
      </c>
      <c r="X150" s="878">
        <v>0.08</v>
      </c>
      <c r="Y150" s="878">
        <v>0.08</v>
      </c>
      <c r="Z150" s="878">
        <v>0.08</v>
      </c>
      <c r="AA150" s="878"/>
      <c r="AB150" s="878"/>
      <c r="AC150" s="878"/>
      <c r="AD150" s="878"/>
      <c r="AE150" s="878"/>
      <c r="AF150" s="878"/>
      <c r="AG150" s="878"/>
      <c r="AH150" s="878"/>
      <c r="AI150" s="878"/>
      <c r="AJ150" s="878"/>
      <c r="AK150" s="878"/>
      <c r="AL150" s="878"/>
      <c r="AM150" s="878"/>
      <c r="AN150" s="878"/>
      <c r="AO150" s="878"/>
      <c r="AP150" s="878"/>
      <c r="AQ150" s="878"/>
      <c r="AR150" s="878"/>
      <c r="AS150" s="878"/>
      <c r="AT150" s="878"/>
      <c r="AU150" s="878"/>
      <c r="AV150" s="878"/>
      <c r="AW150" s="878"/>
      <c r="AX150" s="878"/>
      <c r="AY150" s="559">
        <v>1</v>
      </c>
      <c r="AZ150" s="560">
        <f t="shared" si="8"/>
        <v>0.08</v>
      </c>
      <c r="BA150" s="559">
        <f t="shared" si="9"/>
        <v>0.08</v>
      </c>
      <c r="BB150" s="553">
        <f t="shared" si="7"/>
        <v>1</v>
      </c>
    </row>
    <row r="151" spans="1:54" x14ac:dyDescent="0.35">
      <c r="A151" s="711" t="str">
        <f>DISTRIBUCIÓN!A75</f>
        <v>Paso 8. Indicadores de presión sobre el recurso hídrico superficial</v>
      </c>
      <c r="B151" s="561" t="s">
        <v>302</v>
      </c>
      <c r="C151" s="878"/>
      <c r="D151" s="878"/>
      <c r="E151" s="878"/>
      <c r="F151" s="878"/>
      <c r="G151" s="878"/>
      <c r="H151" s="878"/>
      <c r="I151" s="878"/>
      <c r="J151" s="878"/>
      <c r="K151" s="878"/>
      <c r="L151" s="878"/>
      <c r="M151" s="878"/>
      <c r="N151" s="878"/>
      <c r="O151" s="878"/>
      <c r="P151" s="878"/>
      <c r="Q151" s="878"/>
      <c r="R151" s="878"/>
      <c r="S151" s="878"/>
      <c r="T151" s="878"/>
      <c r="U151" s="878"/>
      <c r="V151" s="878"/>
      <c r="W151" s="878"/>
      <c r="X151" s="878"/>
      <c r="Y151" s="878"/>
      <c r="Z151" s="878"/>
      <c r="AA151" s="878">
        <v>0.04</v>
      </c>
      <c r="AB151" s="878">
        <v>0.04</v>
      </c>
      <c r="AC151" s="878">
        <v>0.04</v>
      </c>
      <c r="AD151" s="878">
        <v>0.04</v>
      </c>
      <c r="AE151" s="878"/>
      <c r="AF151" s="878"/>
      <c r="AG151" s="878"/>
      <c r="AH151" s="878"/>
      <c r="AI151" s="878"/>
      <c r="AJ151" s="878"/>
      <c r="AK151" s="878"/>
      <c r="AL151" s="878"/>
      <c r="AM151" s="878"/>
      <c r="AN151" s="878"/>
      <c r="AO151" s="878"/>
      <c r="AP151" s="878"/>
      <c r="AQ151" s="878"/>
      <c r="AR151" s="878"/>
      <c r="AS151" s="878"/>
      <c r="AT151" s="878"/>
      <c r="AU151" s="878"/>
      <c r="AV151" s="878"/>
      <c r="AW151" s="878"/>
      <c r="AX151" s="878"/>
      <c r="AY151" s="559">
        <v>1</v>
      </c>
      <c r="AZ151" s="560">
        <f t="shared" si="8"/>
        <v>0.04</v>
      </c>
      <c r="BA151" s="559">
        <f t="shared" si="9"/>
        <v>0.04</v>
      </c>
    </row>
    <row r="152" spans="1:54" x14ac:dyDescent="0.35">
      <c r="A152" s="711"/>
      <c r="B152" s="561" t="s">
        <v>156</v>
      </c>
      <c r="C152" s="878"/>
      <c r="D152" s="878"/>
      <c r="E152" s="878"/>
      <c r="F152" s="878"/>
      <c r="G152" s="878"/>
      <c r="H152" s="878"/>
      <c r="I152" s="878"/>
      <c r="J152" s="878"/>
      <c r="K152" s="878"/>
      <c r="L152" s="878"/>
      <c r="M152" s="878"/>
      <c r="N152" s="878"/>
      <c r="O152" s="878"/>
      <c r="P152" s="878"/>
      <c r="Q152" s="878"/>
      <c r="R152" s="878"/>
      <c r="S152" s="878"/>
      <c r="T152" s="878"/>
      <c r="U152" s="878"/>
      <c r="V152" s="878"/>
      <c r="W152" s="878"/>
      <c r="X152" s="878"/>
      <c r="Y152" s="878"/>
      <c r="Z152" s="878"/>
      <c r="AA152" s="878">
        <v>0</v>
      </c>
      <c r="AB152" s="878">
        <v>0</v>
      </c>
      <c r="AC152" s="878">
        <v>0</v>
      </c>
      <c r="AD152" s="878">
        <v>0</v>
      </c>
      <c r="AE152" s="878"/>
      <c r="AF152" s="878"/>
      <c r="AG152" s="878"/>
      <c r="AH152" s="878"/>
      <c r="AI152" s="878"/>
      <c r="AJ152" s="878"/>
      <c r="AK152" s="878"/>
      <c r="AL152" s="878"/>
      <c r="AM152" s="878"/>
      <c r="AN152" s="878"/>
      <c r="AO152" s="878"/>
      <c r="AP152" s="878"/>
      <c r="AQ152" s="878"/>
      <c r="AR152" s="878"/>
      <c r="AS152" s="878"/>
      <c r="AT152" s="878"/>
      <c r="AU152" s="878"/>
      <c r="AV152" s="878"/>
      <c r="AW152" s="878"/>
      <c r="AX152" s="878"/>
      <c r="AY152" s="559">
        <v>1</v>
      </c>
      <c r="AZ152" s="560">
        <f t="shared" si="8"/>
        <v>0</v>
      </c>
      <c r="BA152" s="559">
        <f t="shared" si="9"/>
        <v>0</v>
      </c>
    </row>
    <row r="153" spans="1:54" x14ac:dyDescent="0.35">
      <c r="A153" s="711"/>
      <c r="B153" s="561" t="s">
        <v>157</v>
      </c>
      <c r="C153" s="878"/>
      <c r="D153" s="878"/>
      <c r="E153" s="878"/>
      <c r="F153" s="878"/>
      <c r="G153" s="878"/>
      <c r="H153" s="878"/>
      <c r="I153" s="878"/>
      <c r="J153" s="878"/>
      <c r="K153" s="878"/>
      <c r="L153" s="878"/>
      <c r="M153" s="878"/>
      <c r="N153" s="878"/>
      <c r="O153" s="878"/>
      <c r="P153" s="878"/>
      <c r="Q153" s="878"/>
      <c r="R153" s="878"/>
      <c r="S153" s="878"/>
      <c r="T153" s="878"/>
      <c r="U153" s="878"/>
      <c r="V153" s="878"/>
      <c r="W153" s="878"/>
      <c r="X153" s="878"/>
      <c r="Y153" s="878"/>
      <c r="Z153" s="878"/>
      <c r="AA153" s="878">
        <v>0.12</v>
      </c>
      <c r="AB153" s="878">
        <v>0.12</v>
      </c>
      <c r="AC153" s="878">
        <v>0.12</v>
      </c>
      <c r="AD153" s="878">
        <v>0.12</v>
      </c>
      <c r="AE153" s="878"/>
      <c r="AF153" s="878"/>
      <c r="AG153" s="878"/>
      <c r="AH153" s="878"/>
      <c r="AI153" s="878"/>
      <c r="AJ153" s="878"/>
      <c r="AK153" s="878"/>
      <c r="AL153" s="878"/>
      <c r="AM153" s="878"/>
      <c r="AN153" s="878"/>
      <c r="AO153" s="878"/>
      <c r="AP153" s="878"/>
      <c r="AQ153" s="878"/>
      <c r="AR153" s="878"/>
      <c r="AS153" s="878"/>
      <c r="AT153" s="878"/>
      <c r="AU153" s="878"/>
      <c r="AV153" s="878"/>
      <c r="AW153" s="878"/>
      <c r="AX153" s="878"/>
      <c r="AY153" s="559">
        <v>1</v>
      </c>
      <c r="AZ153" s="560">
        <f t="shared" si="8"/>
        <v>0.12</v>
      </c>
      <c r="BA153" s="559">
        <f t="shared" si="9"/>
        <v>0.12</v>
      </c>
    </row>
    <row r="154" spans="1:54" x14ac:dyDescent="0.35">
      <c r="A154" s="711"/>
      <c r="B154" s="561" t="s">
        <v>158</v>
      </c>
      <c r="C154" s="878"/>
      <c r="D154" s="878"/>
      <c r="E154" s="878"/>
      <c r="F154" s="878"/>
      <c r="G154" s="878"/>
      <c r="H154" s="878"/>
      <c r="I154" s="878"/>
      <c r="J154" s="878"/>
      <c r="K154" s="878"/>
      <c r="L154" s="878"/>
      <c r="M154" s="878"/>
      <c r="N154" s="878"/>
      <c r="O154" s="878"/>
      <c r="P154" s="878"/>
      <c r="Q154" s="878"/>
      <c r="R154" s="878"/>
      <c r="S154" s="878"/>
      <c r="T154" s="878"/>
      <c r="U154" s="878"/>
      <c r="V154" s="878"/>
      <c r="W154" s="878"/>
      <c r="X154" s="878"/>
      <c r="Y154" s="878"/>
      <c r="Z154" s="878"/>
      <c r="AA154" s="878">
        <v>0</v>
      </c>
      <c r="AB154" s="878">
        <v>0</v>
      </c>
      <c r="AC154" s="878">
        <v>0</v>
      </c>
      <c r="AD154" s="878">
        <v>0</v>
      </c>
      <c r="AE154" s="878"/>
      <c r="AF154" s="878"/>
      <c r="AG154" s="878"/>
      <c r="AH154" s="878"/>
      <c r="AI154" s="878"/>
      <c r="AJ154" s="878"/>
      <c r="AK154" s="878"/>
      <c r="AL154" s="878"/>
      <c r="AM154" s="878"/>
      <c r="AN154" s="878"/>
      <c r="AO154" s="878"/>
      <c r="AP154" s="878"/>
      <c r="AQ154" s="878"/>
      <c r="AR154" s="878"/>
      <c r="AS154" s="878"/>
      <c r="AT154" s="878"/>
      <c r="AU154" s="878"/>
      <c r="AV154" s="878"/>
      <c r="AW154" s="878"/>
      <c r="AX154" s="878"/>
      <c r="AY154" s="559">
        <v>1</v>
      </c>
      <c r="AZ154" s="560">
        <f t="shared" si="8"/>
        <v>0</v>
      </c>
      <c r="BA154" s="559">
        <f t="shared" si="9"/>
        <v>0</v>
      </c>
    </row>
    <row r="155" spans="1:54" x14ac:dyDescent="0.35">
      <c r="A155" s="711"/>
      <c r="B155" s="561" t="s">
        <v>159</v>
      </c>
      <c r="C155" s="878"/>
      <c r="D155" s="878"/>
      <c r="E155" s="878"/>
      <c r="F155" s="878"/>
      <c r="G155" s="878"/>
      <c r="H155" s="878"/>
      <c r="I155" s="878"/>
      <c r="J155" s="878"/>
      <c r="K155" s="878"/>
      <c r="L155" s="878"/>
      <c r="M155" s="878"/>
      <c r="N155" s="878"/>
      <c r="O155" s="878"/>
      <c r="P155" s="878"/>
      <c r="Q155" s="878"/>
      <c r="R155" s="878"/>
      <c r="S155" s="878"/>
      <c r="T155" s="878"/>
      <c r="U155" s="878"/>
      <c r="V155" s="878"/>
      <c r="W155" s="878"/>
      <c r="X155" s="878"/>
      <c r="Y155" s="878"/>
      <c r="Z155" s="878"/>
      <c r="AA155" s="878">
        <v>0</v>
      </c>
      <c r="AB155" s="878">
        <v>0</v>
      </c>
      <c r="AC155" s="878">
        <v>0</v>
      </c>
      <c r="AD155" s="878">
        <v>0</v>
      </c>
      <c r="AE155" s="878"/>
      <c r="AF155" s="878"/>
      <c r="AG155" s="878"/>
      <c r="AH155" s="878"/>
      <c r="AI155" s="878"/>
      <c r="AJ155" s="878"/>
      <c r="AK155" s="878"/>
      <c r="AL155" s="878"/>
      <c r="AM155" s="878"/>
      <c r="AN155" s="878"/>
      <c r="AO155" s="878"/>
      <c r="AP155" s="878"/>
      <c r="AQ155" s="878"/>
      <c r="AR155" s="878"/>
      <c r="AS155" s="878"/>
      <c r="AT155" s="878"/>
      <c r="AU155" s="878"/>
      <c r="AV155" s="878"/>
      <c r="AW155" s="878"/>
      <c r="AX155" s="878"/>
      <c r="AY155" s="559">
        <v>1</v>
      </c>
      <c r="AZ155" s="560">
        <f t="shared" si="8"/>
        <v>0</v>
      </c>
      <c r="BA155" s="559">
        <f t="shared" si="9"/>
        <v>0</v>
      </c>
    </row>
    <row r="156" spans="1:54" x14ac:dyDescent="0.35">
      <c r="A156" s="711"/>
      <c r="B156" s="561" t="s">
        <v>131</v>
      </c>
      <c r="C156" s="878"/>
      <c r="D156" s="878"/>
      <c r="E156" s="878"/>
      <c r="F156" s="878"/>
      <c r="G156" s="878"/>
      <c r="H156" s="878"/>
      <c r="I156" s="878"/>
      <c r="J156" s="878"/>
      <c r="K156" s="878"/>
      <c r="L156" s="878"/>
      <c r="M156" s="878"/>
      <c r="N156" s="878"/>
      <c r="O156" s="878"/>
      <c r="P156" s="878"/>
      <c r="Q156" s="878"/>
      <c r="R156" s="878"/>
      <c r="S156" s="878"/>
      <c r="T156" s="878"/>
      <c r="U156" s="878"/>
      <c r="V156" s="878"/>
      <c r="W156" s="878"/>
      <c r="X156" s="878"/>
      <c r="Y156" s="878"/>
      <c r="Z156" s="878"/>
      <c r="AA156" s="878">
        <v>0.06</v>
      </c>
      <c r="AB156" s="878">
        <v>0.06</v>
      </c>
      <c r="AC156" s="878">
        <v>0.06</v>
      </c>
      <c r="AD156" s="878">
        <v>0.06</v>
      </c>
      <c r="AE156" s="878"/>
      <c r="AF156" s="878"/>
      <c r="AG156" s="878"/>
      <c r="AH156" s="878"/>
      <c r="AI156" s="878"/>
      <c r="AJ156" s="878"/>
      <c r="AK156" s="878"/>
      <c r="AL156" s="878"/>
      <c r="AM156" s="878"/>
      <c r="AN156" s="878"/>
      <c r="AO156" s="878"/>
      <c r="AP156" s="878"/>
      <c r="AQ156" s="878"/>
      <c r="AR156" s="878"/>
      <c r="AS156" s="878"/>
      <c r="AT156" s="878"/>
      <c r="AU156" s="878"/>
      <c r="AV156" s="878"/>
      <c r="AW156" s="878"/>
      <c r="AX156" s="878"/>
      <c r="AY156" s="559">
        <v>1</v>
      </c>
      <c r="AZ156" s="560">
        <f t="shared" si="8"/>
        <v>0.06</v>
      </c>
      <c r="BA156" s="559">
        <f t="shared" si="9"/>
        <v>0.06</v>
      </c>
    </row>
    <row r="157" spans="1:54" x14ac:dyDescent="0.35">
      <c r="A157" s="711"/>
      <c r="B157" s="561" t="s">
        <v>121</v>
      </c>
      <c r="C157" s="878"/>
      <c r="D157" s="878"/>
      <c r="E157" s="878"/>
      <c r="F157" s="878"/>
      <c r="G157" s="878"/>
      <c r="H157" s="878"/>
      <c r="I157" s="878"/>
      <c r="J157" s="878"/>
      <c r="K157" s="878"/>
      <c r="L157" s="878"/>
      <c r="M157" s="878"/>
      <c r="N157" s="878"/>
      <c r="O157" s="878"/>
      <c r="P157" s="878"/>
      <c r="Q157" s="878"/>
      <c r="R157" s="878"/>
      <c r="S157" s="878"/>
      <c r="T157" s="878"/>
      <c r="U157" s="878"/>
      <c r="V157" s="878"/>
      <c r="W157" s="878"/>
      <c r="X157" s="878"/>
      <c r="Y157" s="878"/>
      <c r="Z157" s="878"/>
      <c r="AA157" s="878">
        <v>0.04</v>
      </c>
      <c r="AB157" s="878">
        <v>0.04</v>
      </c>
      <c r="AC157" s="878">
        <v>0.04</v>
      </c>
      <c r="AD157" s="878">
        <v>0.04</v>
      </c>
      <c r="AE157" s="878"/>
      <c r="AF157" s="878"/>
      <c r="AG157" s="878"/>
      <c r="AH157" s="878"/>
      <c r="AI157" s="878"/>
      <c r="AJ157" s="878"/>
      <c r="AK157" s="878"/>
      <c r="AL157" s="878"/>
      <c r="AM157" s="878"/>
      <c r="AN157" s="878"/>
      <c r="AO157" s="878"/>
      <c r="AP157" s="878"/>
      <c r="AQ157" s="878"/>
      <c r="AR157" s="878"/>
      <c r="AS157" s="878"/>
      <c r="AT157" s="878"/>
      <c r="AU157" s="878"/>
      <c r="AV157" s="878"/>
      <c r="AW157" s="878"/>
      <c r="AX157" s="878"/>
      <c r="AY157" s="559">
        <v>1</v>
      </c>
      <c r="AZ157" s="560">
        <f t="shared" si="8"/>
        <v>0.04</v>
      </c>
      <c r="BA157" s="559">
        <f t="shared" si="9"/>
        <v>0.04</v>
      </c>
    </row>
    <row r="158" spans="1:54" x14ac:dyDescent="0.35">
      <c r="A158" s="711" t="str">
        <f>DISTRIBUCIÓN!A76</f>
        <v>Paso 9. Estimación cualitativa del riesgo</v>
      </c>
      <c r="B158" s="561" t="s">
        <v>302</v>
      </c>
      <c r="C158" s="878"/>
      <c r="D158" s="878"/>
      <c r="E158" s="878"/>
      <c r="F158" s="878"/>
      <c r="G158" s="878"/>
      <c r="H158" s="878"/>
      <c r="I158" s="878"/>
      <c r="J158" s="878"/>
      <c r="K158" s="878"/>
      <c r="L158" s="878"/>
      <c r="M158" s="878"/>
      <c r="N158" s="878"/>
      <c r="O158" s="878"/>
      <c r="P158" s="878"/>
      <c r="Q158" s="878"/>
      <c r="R158" s="878"/>
      <c r="S158" s="878"/>
      <c r="T158" s="878"/>
      <c r="U158" s="878"/>
      <c r="V158" s="878"/>
      <c r="W158" s="878"/>
      <c r="X158" s="878"/>
      <c r="Y158" s="878"/>
      <c r="Z158" s="878"/>
      <c r="AA158" s="878">
        <v>0.04</v>
      </c>
      <c r="AB158" s="878">
        <v>0.04</v>
      </c>
      <c r="AC158" s="878">
        <v>0.04</v>
      </c>
      <c r="AD158" s="878">
        <v>0.04</v>
      </c>
      <c r="AE158" s="878"/>
      <c r="AF158" s="878"/>
      <c r="AG158" s="878"/>
      <c r="AH158" s="878"/>
      <c r="AI158" s="878"/>
      <c r="AJ158" s="878"/>
      <c r="AK158" s="878"/>
      <c r="AL158" s="878"/>
      <c r="AM158" s="878"/>
      <c r="AN158" s="878"/>
      <c r="AO158" s="878"/>
      <c r="AP158" s="878"/>
      <c r="AQ158" s="878"/>
      <c r="AR158" s="878"/>
      <c r="AS158" s="878"/>
      <c r="AT158" s="878"/>
      <c r="AU158" s="878"/>
      <c r="AV158" s="878"/>
      <c r="AW158" s="878"/>
      <c r="AX158" s="878"/>
      <c r="AY158" s="559">
        <v>1</v>
      </c>
      <c r="AZ158" s="560">
        <f t="shared" si="8"/>
        <v>0.04</v>
      </c>
      <c r="BA158" s="559">
        <f t="shared" si="9"/>
        <v>0.04</v>
      </c>
    </row>
    <row r="159" spans="1:54" x14ac:dyDescent="0.35">
      <c r="A159" s="711"/>
      <c r="B159" s="561" t="s">
        <v>156</v>
      </c>
      <c r="C159" s="878"/>
      <c r="D159" s="878"/>
      <c r="E159" s="878"/>
      <c r="F159" s="878"/>
      <c r="G159" s="878"/>
      <c r="H159" s="878"/>
      <c r="I159" s="878"/>
      <c r="J159" s="878"/>
      <c r="K159" s="878"/>
      <c r="L159" s="878"/>
      <c r="M159" s="878"/>
      <c r="N159" s="878"/>
      <c r="O159" s="878"/>
      <c r="P159" s="878"/>
      <c r="Q159" s="878"/>
      <c r="R159" s="878"/>
      <c r="S159" s="878"/>
      <c r="T159" s="878"/>
      <c r="U159" s="878"/>
      <c r="V159" s="878"/>
      <c r="W159" s="878"/>
      <c r="X159" s="878"/>
      <c r="Y159" s="878"/>
      <c r="Z159" s="878"/>
      <c r="AA159" s="878">
        <v>0</v>
      </c>
      <c r="AB159" s="878">
        <v>0</v>
      </c>
      <c r="AC159" s="878">
        <v>0</v>
      </c>
      <c r="AD159" s="878">
        <v>0</v>
      </c>
      <c r="AE159" s="878"/>
      <c r="AF159" s="878"/>
      <c r="AG159" s="878"/>
      <c r="AH159" s="878"/>
      <c r="AI159" s="878"/>
      <c r="AJ159" s="878"/>
      <c r="AK159" s="878"/>
      <c r="AL159" s="878"/>
      <c r="AM159" s="878"/>
      <c r="AN159" s="878"/>
      <c r="AO159" s="878"/>
      <c r="AP159" s="878"/>
      <c r="AQ159" s="878"/>
      <c r="AR159" s="878"/>
      <c r="AS159" s="878"/>
      <c r="AT159" s="878"/>
      <c r="AU159" s="878"/>
      <c r="AV159" s="878"/>
      <c r="AW159" s="878"/>
      <c r="AX159" s="878"/>
      <c r="AY159" s="559">
        <v>1</v>
      </c>
      <c r="AZ159" s="560">
        <f t="shared" si="8"/>
        <v>0</v>
      </c>
      <c r="BA159" s="559">
        <f t="shared" si="9"/>
        <v>0</v>
      </c>
    </row>
    <row r="160" spans="1:54" x14ac:dyDescent="0.35">
      <c r="A160" s="711"/>
      <c r="B160" s="561" t="s">
        <v>157</v>
      </c>
      <c r="C160" s="878"/>
      <c r="D160" s="878"/>
      <c r="E160" s="878"/>
      <c r="F160" s="878"/>
      <c r="G160" s="878"/>
      <c r="H160" s="878"/>
      <c r="I160" s="878"/>
      <c r="J160" s="878"/>
      <c r="K160" s="878"/>
      <c r="L160" s="878"/>
      <c r="M160" s="878"/>
      <c r="N160" s="878"/>
      <c r="O160" s="878"/>
      <c r="P160" s="878"/>
      <c r="Q160" s="878"/>
      <c r="R160" s="878"/>
      <c r="S160" s="878"/>
      <c r="T160" s="878"/>
      <c r="U160" s="878"/>
      <c r="V160" s="878"/>
      <c r="W160" s="878"/>
      <c r="X160" s="878"/>
      <c r="Y160" s="878"/>
      <c r="Z160" s="878"/>
      <c r="AA160" s="878">
        <v>0.17</v>
      </c>
      <c r="AB160" s="878">
        <v>0.17</v>
      </c>
      <c r="AC160" s="878">
        <v>0.17</v>
      </c>
      <c r="AD160" s="878">
        <v>0.17</v>
      </c>
      <c r="AE160" s="878"/>
      <c r="AF160" s="878"/>
      <c r="AG160" s="878"/>
      <c r="AH160" s="878"/>
      <c r="AI160" s="878"/>
      <c r="AJ160" s="878"/>
      <c r="AK160" s="878"/>
      <c r="AL160" s="878"/>
      <c r="AM160" s="878"/>
      <c r="AN160" s="878"/>
      <c r="AO160" s="878"/>
      <c r="AP160" s="878"/>
      <c r="AQ160" s="878"/>
      <c r="AR160" s="878"/>
      <c r="AS160" s="878"/>
      <c r="AT160" s="878"/>
      <c r="AU160" s="878"/>
      <c r="AV160" s="878"/>
      <c r="AW160" s="878"/>
      <c r="AX160" s="878"/>
      <c r="AY160" s="559">
        <v>1</v>
      </c>
      <c r="AZ160" s="560">
        <f t="shared" si="8"/>
        <v>0.17</v>
      </c>
      <c r="BA160" s="559">
        <f t="shared" si="9"/>
        <v>0.17</v>
      </c>
    </row>
    <row r="161" spans="1:53" x14ac:dyDescent="0.35">
      <c r="A161" s="711"/>
      <c r="B161" s="561" t="s">
        <v>158</v>
      </c>
      <c r="C161" s="878"/>
      <c r="D161" s="878"/>
      <c r="E161" s="878"/>
      <c r="F161" s="878"/>
      <c r="G161" s="878"/>
      <c r="H161" s="878"/>
      <c r="I161" s="878"/>
      <c r="J161" s="878"/>
      <c r="K161" s="878"/>
      <c r="L161" s="878"/>
      <c r="M161" s="878"/>
      <c r="N161" s="878"/>
      <c r="O161" s="878"/>
      <c r="P161" s="878"/>
      <c r="Q161" s="878"/>
      <c r="R161" s="878"/>
      <c r="S161" s="878"/>
      <c r="T161" s="878"/>
      <c r="U161" s="878"/>
      <c r="V161" s="878"/>
      <c r="W161" s="878"/>
      <c r="X161" s="878"/>
      <c r="Y161" s="878"/>
      <c r="Z161" s="878"/>
      <c r="AA161" s="878">
        <v>0</v>
      </c>
      <c r="AB161" s="878">
        <v>0</v>
      </c>
      <c r="AC161" s="878">
        <v>0</v>
      </c>
      <c r="AD161" s="878">
        <v>0</v>
      </c>
      <c r="AE161" s="878"/>
      <c r="AF161" s="878"/>
      <c r="AG161" s="878"/>
      <c r="AH161" s="878"/>
      <c r="AI161" s="878"/>
      <c r="AJ161" s="878"/>
      <c r="AK161" s="878"/>
      <c r="AL161" s="878"/>
      <c r="AM161" s="878"/>
      <c r="AN161" s="878"/>
      <c r="AO161" s="878"/>
      <c r="AP161" s="878"/>
      <c r="AQ161" s="878"/>
      <c r="AR161" s="878"/>
      <c r="AS161" s="878"/>
      <c r="AT161" s="878"/>
      <c r="AU161" s="878"/>
      <c r="AV161" s="878"/>
      <c r="AW161" s="878"/>
      <c r="AX161" s="878"/>
      <c r="AY161" s="559">
        <v>1</v>
      </c>
      <c r="AZ161" s="560">
        <f t="shared" si="8"/>
        <v>0</v>
      </c>
      <c r="BA161" s="559">
        <f t="shared" si="9"/>
        <v>0</v>
      </c>
    </row>
    <row r="162" spans="1:53" x14ac:dyDescent="0.35">
      <c r="A162" s="711"/>
      <c r="B162" s="561" t="s">
        <v>159</v>
      </c>
      <c r="C162" s="878"/>
      <c r="D162" s="878"/>
      <c r="E162" s="878"/>
      <c r="F162" s="878"/>
      <c r="G162" s="878"/>
      <c r="H162" s="878"/>
      <c r="I162" s="878"/>
      <c r="J162" s="878"/>
      <c r="K162" s="878"/>
      <c r="L162" s="878"/>
      <c r="M162" s="878"/>
      <c r="N162" s="878"/>
      <c r="O162" s="878"/>
      <c r="P162" s="878"/>
      <c r="Q162" s="878"/>
      <c r="R162" s="878"/>
      <c r="S162" s="878"/>
      <c r="T162" s="878"/>
      <c r="U162" s="878"/>
      <c r="V162" s="878"/>
      <c r="W162" s="878"/>
      <c r="X162" s="878"/>
      <c r="Y162" s="878"/>
      <c r="Z162" s="878"/>
      <c r="AA162" s="878">
        <v>0</v>
      </c>
      <c r="AB162" s="878">
        <v>0</v>
      </c>
      <c r="AC162" s="878">
        <v>0</v>
      </c>
      <c r="AD162" s="878">
        <v>0</v>
      </c>
      <c r="AE162" s="878"/>
      <c r="AF162" s="878"/>
      <c r="AG162" s="878"/>
      <c r="AH162" s="878"/>
      <c r="AI162" s="878"/>
      <c r="AJ162" s="878"/>
      <c r="AK162" s="878"/>
      <c r="AL162" s="878"/>
      <c r="AM162" s="878"/>
      <c r="AN162" s="878"/>
      <c r="AO162" s="878"/>
      <c r="AP162" s="878"/>
      <c r="AQ162" s="878"/>
      <c r="AR162" s="878"/>
      <c r="AS162" s="878"/>
      <c r="AT162" s="878"/>
      <c r="AU162" s="878"/>
      <c r="AV162" s="878"/>
      <c r="AW162" s="878"/>
      <c r="AX162" s="878"/>
      <c r="AY162" s="559">
        <v>1</v>
      </c>
      <c r="AZ162" s="560">
        <f t="shared" si="8"/>
        <v>0</v>
      </c>
      <c r="BA162" s="559">
        <f t="shared" si="9"/>
        <v>0</v>
      </c>
    </row>
    <row r="163" spans="1:53" x14ac:dyDescent="0.35">
      <c r="A163" s="711"/>
      <c r="B163" s="561" t="s">
        <v>131</v>
      </c>
      <c r="C163" s="878"/>
      <c r="D163" s="878"/>
      <c r="E163" s="878"/>
      <c r="F163" s="878"/>
      <c r="G163" s="878"/>
      <c r="H163" s="878"/>
      <c r="I163" s="878"/>
      <c r="J163" s="878"/>
      <c r="K163" s="878"/>
      <c r="L163" s="878"/>
      <c r="M163" s="878"/>
      <c r="N163" s="878"/>
      <c r="O163" s="878"/>
      <c r="P163" s="878"/>
      <c r="Q163" s="878"/>
      <c r="R163" s="878"/>
      <c r="S163" s="878"/>
      <c r="T163" s="878"/>
      <c r="U163" s="878"/>
      <c r="V163" s="878"/>
      <c r="W163" s="878"/>
      <c r="X163" s="878"/>
      <c r="Y163" s="878"/>
      <c r="Z163" s="878"/>
      <c r="AA163" s="878">
        <v>0.06</v>
      </c>
      <c r="AB163" s="878">
        <v>0.06</v>
      </c>
      <c r="AC163" s="878">
        <v>0.06</v>
      </c>
      <c r="AD163" s="878">
        <v>0.06</v>
      </c>
      <c r="AE163" s="878"/>
      <c r="AF163" s="878"/>
      <c r="AG163" s="878"/>
      <c r="AH163" s="878"/>
      <c r="AI163" s="878"/>
      <c r="AJ163" s="878"/>
      <c r="AK163" s="878"/>
      <c r="AL163" s="878"/>
      <c r="AM163" s="878"/>
      <c r="AN163" s="878"/>
      <c r="AO163" s="878"/>
      <c r="AP163" s="878"/>
      <c r="AQ163" s="878"/>
      <c r="AR163" s="878"/>
      <c r="AS163" s="878"/>
      <c r="AT163" s="878"/>
      <c r="AU163" s="878"/>
      <c r="AV163" s="878"/>
      <c r="AW163" s="878"/>
      <c r="AX163" s="878"/>
      <c r="AY163" s="559">
        <v>1</v>
      </c>
      <c r="AZ163" s="560">
        <f t="shared" si="8"/>
        <v>0.06</v>
      </c>
      <c r="BA163" s="559">
        <f t="shared" si="9"/>
        <v>0.06</v>
      </c>
    </row>
    <row r="164" spans="1:53" x14ac:dyDescent="0.35">
      <c r="A164" s="711"/>
      <c r="B164" s="561" t="s">
        <v>121</v>
      </c>
      <c r="C164" s="878"/>
      <c r="D164" s="878"/>
      <c r="E164" s="878"/>
      <c r="F164" s="878"/>
      <c r="G164" s="878"/>
      <c r="H164" s="878"/>
      <c r="I164" s="878"/>
      <c r="J164" s="878"/>
      <c r="K164" s="878"/>
      <c r="L164" s="878"/>
      <c r="M164" s="878"/>
      <c r="N164" s="878"/>
      <c r="O164" s="878"/>
      <c r="P164" s="878"/>
      <c r="Q164" s="878"/>
      <c r="R164" s="878"/>
      <c r="S164" s="878"/>
      <c r="T164" s="878"/>
      <c r="U164" s="878"/>
      <c r="V164" s="878"/>
      <c r="W164" s="878"/>
      <c r="X164" s="878"/>
      <c r="Y164" s="878"/>
      <c r="Z164" s="878"/>
      <c r="AA164" s="878">
        <v>0.04</v>
      </c>
      <c r="AB164" s="878">
        <v>0.04</v>
      </c>
      <c r="AC164" s="878">
        <v>0.04</v>
      </c>
      <c r="AD164" s="878">
        <v>0.04</v>
      </c>
      <c r="AE164" s="878"/>
      <c r="AF164" s="878"/>
      <c r="AG164" s="878"/>
      <c r="AH164" s="878"/>
      <c r="AI164" s="878"/>
      <c r="AJ164" s="878"/>
      <c r="AK164" s="878"/>
      <c r="AL164" s="878"/>
      <c r="AM164" s="878"/>
      <c r="AN164" s="878"/>
      <c r="AO164" s="878"/>
      <c r="AP164" s="878"/>
      <c r="AQ164" s="878"/>
      <c r="AR164" s="878"/>
      <c r="AS164" s="878"/>
      <c r="AT164" s="878"/>
      <c r="AU164" s="878"/>
      <c r="AV164" s="878"/>
      <c r="AW164" s="878"/>
      <c r="AX164" s="878"/>
      <c r="AY164" s="559">
        <v>1</v>
      </c>
      <c r="AZ164" s="560">
        <f t="shared" si="8"/>
        <v>0.04</v>
      </c>
      <c r="BA164" s="559">
        <f t="shared" si="9"/>
        <v>0.04</v>
      </c>
    </row>
    <row r="165" spans="1:53" ht="12.75" customHeight="1" x14ac:dyDescent="0.35">
      <c r="A165" s="711" t="str">
        <f>DISTRIBUCIÓN!A77</f>
        <v xml:space="preserve">Paso 10. Análisis de problemáticas y conflictos derivados del recurso hídrico </v>
      </c>
      <c r="B165" s="561" t="s">
        <v>302</v>
      </c>
      <c r="C165" s="878"/>
      <c r="D165" s="878"/>
      <c r="E165" s="878"/>
      <c r="F165" s="878"/>
      <c r="G165" s="878"/>
      <c r="H165" s="878"/>
      <c r="I165" s="878"/>
      <c r="J165" s="878"/>
      <c r="K165" s="878">
        <v>0.15</v>
      </c>
      <c r="L165" s="878">
        <v>0.15</v>
      </c>
      <c r="M165" s="878">
        <v>0.15</v>
      </c>
      <c r="N165" s="878">
        <v>0.15</v>
      </c>
      <c r="O165" s="878">
        <v>0.15</v>
      </c>
      <c r="P165" s="878">
        <v>0.15</v>
      </c>
      <c r="Q165" s="878">
        <v>0.15</v>
      </c>
      <c r="R165" s="878">
        <v>0.15</v>
      </c>
      <c r="S165" s="878">
        <v>0.15</v>
      </c>
      <c r="T165" s="878">
        <v>0.15</v>
      </c>
      <c r="U165" s="878">
        <v>0.15</v>
      </c>
      <c r="V165" s="878">
        <v>0.15</v>
      </c>
      <c r="W165" s="878">
        <v>0.15</v>
      </c>
      <c r="X165" s="878">
        <v>0.15</v>
      </c>
      <c r="Y165" s="878">
        <v>0.15</v>
      </c>
      <c r="Z165" s="878">
        <v>0.15</v>
      </c>
      <c r="AA165" s="878">
        <v>0.15</v>
      </c>
      <c r="AB165" s="878">
        <v>0.15</v>
      </c>
      <c r="AC165" s="878">
        <v>0.15</v>
      </c>
      <c r="AD165" s="878">
        <v>0.15</v>
      </c>
      <c r="AE165" s="878"/>
      <c r="AF165" s="878"/>
      <c r="AG165" s="878"/>
      <c r="AH165" s="878"/>
      <c r="AI165" s="878"/>
      <c r="AJ165" s="878"/>
      <c r="AK165" s="878"/>
      <c r="AL165" s="878"/>
      <c r="AM165" s="878"/>
      <c r="AN165" s="878"/>
      <c r="AO165" s="878"/>
      <c r="AP165" s="878"/>
      <c r="AQ165" s="878"/>
      <c r="AR165" s="878"/>
      <c r="AS165" s="878"/>
      <c r="AT165" s="878"/>
      <c r="AU165" s="878"/>
      <c r="AV165" s="878"/>
      <c r="AW165" s="878"/>
      <c r="AX165" s="878"/>
      <c r="AY165" s="559">
        <v>0.2</v>
      </c>
      <c r="AZ165" s="560">
        <f t="shared" si="8"/>
        <v>0.15</v>
      </c>
      <c r="BA165" s="559">
        <f t="shared" si="9"/>
        <v>0.75</v>
      </c>
    </row>
    <row r="166" spans="1:53" x14ac:dyDescent="0.35">
      <c r="A166" s="711"/>
      <c r="B166" s="561" t="s">
        <v>156</v>
      </c>
      <c r="C166" s="878"/>
      <c r="D166" s="878"/>
      <c r="E166" s="878"/>
      <c r="F166" s="878"/>
      <c r="G166" s="878"/>
      <c r="H166" s="878"/>
      <c r="I166" s="878"/>
      <c r="J166" s="878"/>
      <c r="K166" s="878">
        <v>0</v>
      </c>
      <c r="L166" s="878">
        <v>0</v>
      </c>
      <c r="M166" s="878">
        <v>0</v>
      </c>
      <c r="N166" s="878">
        <v>0</v>
      </c>
      <c r="O166" s="878">
        <v>0</v>
      </c>
      <c r="P166" s="878">
        <v>0</v>
      </c>
      <c r="Q166" s="878">
        <v>0</v>
      </c>
      <c r="R166" s="878">
        <v>0</v>
      </c>
      <c r="S166" s="878">
        <v>0</v>
      </c>
      <c r="T166" s="878">
        <v>0</v>
      </c>
      <c r="U166" s="878">
        <v>0</v>
      </c>
      <c r="V166" s="878">
        <v>0</v>
      </c>
      <c r="W166" s="878">
        <v>0</v>
      </c>
      <c r="X166" s="878">
        <v>0</v>
      </c>
      <c r="Y166" s="878">
        <v>0</v>
      </c>
      <c r="Z166" s="878">
        <v>0</v>
      </c>
      <c r="AA166" s="878">
        <v>0</v>
      </c>
      <c r="AB166" s="878">
        <v>0</v>
      </c>
      <c r="AC166" s="878">
        <v>0</v>
      </c>
      <c r="AD166" s="878">
        <v>0</v>
      </c>
      <c r="AE166" s="878"/>
      <c r="AF166" s="878"/>
      <c r="AG166" s="878"/>
      <c r="AH166" s="878"/>
      <c r="AI166" s="878"/>
      <c r="AJ166" s="878"/>
      <c r="AK166" s="878"/>
      <c r="AL166" s="878"/>
      <c r="AM166" s="878"/>
      <c r="AN166" s="878"/>
      <c r="AO166" s="878"/>
      <c r="AP166" s="878"/>
      <c r="AQ166" s="878"/>
      <c r="AR166" s="878"/>
      <c r="AS166" s="878"/>
      <c r="AT166" s="878"/>
      <c r="AU166" s="878"/>
      <c r="AV166" s="878"/>
      <c r="AW166" s="878"/>
      <c r="AX166" s="878"/>
      <c r="AY166" s="559">
        <v>0.2</v>
      </c>
      <c r="AZ166" s="560">
        <f t="shared" si="8"/>
        <v>0</v>
      </c>
      <c r="BA166" s="559">
        <f t="shared" si="9"/>
        <v>0</v>
      </c>
    </row>
    <row r="167" spans="1:53" x14ac:dyDescent="0.35">
      <c r="A167" s="711"/>
      <c r="B167" s="561" t="s">
        <v>157</v>
      </c>
      <c r="C167" s="878"/>
      <c r="D167" s="878"/>
      <c r="E167" s="878"/>
      <c r="F167" s="878"/>
      <c r="G167" s="878"/>
      <c r="H167" s="878"/>
      <c r="I167" s="878"/>
      <c r="J167" s="878"/>
      <c r="K167" s="878">
        <v>0.05</v>
      </c>
      <c r="L167" s="878">
        <v>0.05</v>
      </c>
      <c r="M167" s="878">
        <v>0.05</v>
      </c>
      <c r="N167" s="878">
        <v>0.05</v>
      </c>
      <c r="O167" s="878">
        <v>0.05</v>
      </c>
      <c r="P167" s="878">
        <v>0.05</v>
      </c>
      <c r="Q167" s="878">
        <v>0.05</v>
      </c>
      <c r="R167" s="878">
        <v>0.05</v>
      </c>
      <c r="S167" s="878">
        <v>0.05</v>
      </c>
      <c r="T167" s="878">
        <v>0.05</v>
      </c>
      <c r="U167" s="878">
        <v>0.05</v>
      </c>
      <c r="V167" s="878">
        <v>0.05</v>
      </c>
      <c r="W167" s="878">
        <v>0.05</v>
      </c>
      <c r="X167" s="878">
        <v>0.05</v>
      </c>
      <c r="Y167" s="878">
        <v>0.05</v>
      </c>
      <c r="Z167" s="878">
        <v>0.05</v>
      </c>
      <c r="AA167" s="878">
        <v>0.05</v>
      </c>
      <c r="AB167" s="878">
        <v>0.05</v>
      </c>
      <c r="AC167" s="878">
        <v>0.05</v>
      </c>
      <c r="AD167" s="878">
        <v>0.05</v>
      </c>
      <c r="AE167" s="878"/>
      <c r="AF167" s="878"/>
      <c r="AG167" s="878"/>
      <c r="AH167" s="878"/>
      <c r="AI167" s="878"/>
      <c r="AJ167" s="878"/>
      <c r="AK167" s="878"/>
      <c r="AL167" s="878"/>
      <c r="AM167" s="878"/>
      <c r="AN167" s="878"/>
      <c r="AO167" s="878"/>
      <c r="AP167" s="878"/>
      <c r="AQ167" s="878"/>
      <c r="AR167" s="878"/>
      <c r="AS167" s="878"/>
      <c r="AT167" s="878"/>
      <c r="AU167" s="878"/>
      <c r="AV167" s="878"/>
      <c r="AW167" s="878"/>
      <c r="AX167" s="878"/>
      <c r="AY167" s="559">
        <v>0.2</v>
      </c>
      <c r="AZ167" s="560">
        <f t="shared" si="8"/>
        <v>0.05</v>
      </c>
      <c r="BA167" s="559">
        <f t="shared" si="9"/>
        <v>0.25</v>
      </c>
    </row>
    <row r="168" spans="1:53" x14ac:dyDescent="0.35">
      <c r="A168" s="711"/>
      <c r="B168" s="561" t="s">
        <v>158</v>
      </c>
      <c r="C168" s="878"/>
      <c r="D168" s="878"/>
      <c r="E168" s="878"/>
      <c r="F168" s="878"/>
      <c r="G168" s="878"/>
      <c r="H168" s="878"/>
      <c r="I168" s="878"/>
      <c r="J168" s="878"/>
      <c r="K168" s="878">
        <v>0.28000000000000003</v>
      </c>
      <c r="L168" s="878">
        <v>0.28000000000000003</v>
      </c>
      <c r="M168" s="878">
        <v>0.28000000000000003</v>
      </c>
      <c r="N168" s="878">
        <v>0.28000000000000003</v>
      </c>
      <c r="O168" s="878">
        <v>0.28000000000000003</v>
      </c>
      <c r="P168" s="878">
        <v>0.28000000000000003</v>
      </c>
      <c r="Q168" s="878">
        <v>0.28000000000000003</v>
      </c>
      <c r="R168" s="878">
        <v>0.28000000000000003</v>
      </c>
      <c r="S168" s="878">
        <v>0.28000000000000003</v>
      </c>
      <c r="T168" s="878">
        <v>0.28000000000000003</v>
      </c>
      <c r="U168" s="878">
        <v>0.28000000000000003</v>
      </c>
      <c r="V168" s="878">
        <v>0.28000000000000003</v>
      </c>
      <c r="W168" s="878">
        <v>0</v>
      </c>
      <c r="X168" s="878">
        <v>0</v>
      </c>
      <c r="Y168" s="878">
        <v>0</v>
      </c>
      <c r="Z168" s="878">
        <v>0</v>
      </c>
      <c r="AA168" s="878">
        <v>0</v>
      </c>
      <c r="AB168" s="878">
        <v>0</v>
      </c>
      <c r="AC168" s="878">
        <v>0</v>
      </c>
      <c r="AD168" s="878">
        <v>0</v>
      </c>
      <c r="AE168" s="878"/>
      <c r="AF168" s="878"/>
      <c r="AG168" s="878"/>
      <c r="AH168" s="878"/>
      <c r="AI168" s="878"/>
      <c r="AJ168" s="878"/>
      <c r="AK168" s="878"/>
      <c r="AL168" s="878"/>
      <c r="AM168" s="878"/>
      <c r="AN168" s="878"/>
      <c r="AO168" s="878"/>
      <c r="AP168" s="878"/>
      <c r="AQ168" s="878"/>
      <c r="AR168" s="878"/>
      <c r="AS168" s="878"/>
      <c r="AT168" s="878"/>
      <c r="AU168" s="878"/>
      <c r="AV168" s="878"/>
      <c r="AW168" s="878"/>
      <c r="AX168" s="878"/>
      <c r="AY168" s="559">
        <v>0.2</v>
      </c>
      <c r="AZ168" s="560">
        <f t="shared" si="8"/>
        <v>0.28000000000000003</v>
      </c>
      <c r="BA168" s="559">
        <f t="shared" si="9"/>
        <v>0.84</v>
      </c>
    </row>
    <row r="169" spans="1:53" x14ac:dyDescent="0.35">
      <c r="A169" s="711"/>
      <c r="B169" s="561" t="s">
        <v>159</v>
      </c>
      <c r="C169" s="878"/>
      <c r="D169" s="878"/>
      <c r="E169" s="878"/>
      <c r="F169" s="878"/>
      <c r="G169" s="878"/>
      <c r="H169" s="878"/>
      <c r="I169" s="878"/>
      <c r="J169" s="878"/>
      <c r="K169" s="878">
        <v>0</v>
      </c>
      <c r="L169" s="878">
        <v>0</v>
      </c>
      <c r="M169" s="878">
        <v>0</v>
      </c>
      <c r="N169" s="878">
        <v>0</v>
      </c>
      <c r="O169" s="878">
        <v>0</v>
      </c>
      <c r="P169" s="878">
        <v>0</v>
      </c>
      <c r="Q169" s="878">
        <v>0</v>
      </c>
      <c r="R169" s="878">
        <v>0</v>
      </c>
      <c r="S169" s="878">
        <v>0</v>
      </c>
      <c r="T169" s="878">
        <v>0</v>
      </c>
      <c r="U169" s="878">
        <v>0</v>
      </c>
      <c r="V169" s="878">
        <v>0</v>
      </c>
      <c r="W169" s="878">
        <v>0</v>
      </c>
      <c r="X169" s="878">
        <v>0</v>
      </c>
      <c r="Y169" s="878">
        <v>0</v>
      </c>
      <c r="Z169" s="878">
        <v>0</v>
      </c>
      <c r="AA169" s="878">
        <v>0</v>
      </c>
      <c r="AB169" s="878">
        <v>0</v>
      </c>
      <c r="AC169" s="878">
        <v>0</v>
      </c>
      <c r="AD169" s="878">
        <v>0</v>
      </c>
      <c r="AE169" s="878"/>
      <c r="AF169" s="878"/>
      <c r="AG169" s="878"/>
      <c r="AH169" s="878"/>
      <c r="AI169" s="878"/>
      <c r="AJ169" s="878"/>
      <c r="AK169" s="878"/>
      <c r="AL169" s="878"/>
      <c r="AM169" s="878"/>
      <c r="AN169" s="878"/>
      <c r="AO169" s="878"/>
      <c r="AP169" s="878"/>
      <c r="AQ169" s="878"/>
      <c r="AR169" s="878"/>
      <c r="AS169" s="878"/>
      <c r="AT169" s="878"/>
      <c r="AU169" s="878"/>
      <c r="AV169" s="878"/>
      <c r="AW169" s="878"/>
      <c r="AX169" s="878"/>
      <c r="AY169" s="559">
        <v>0.2</v>
      </c>
      <c r="AZ169" s="560">
        <f t="shared" si="8"/>
        <v>0</v>
      </c>
      <c r="BA169" s="559">
        <f t="shared" si="9"/>
        <v>0</v>
      </c>
    </row>
    <row r="170" spans="1:53" x14ac:dyDescent="0.35">
      <c r="A170" s="711"/>
      <c r="B170" s="561" t="s">
        <v>131</v>
      </c>
      <c r="C170" s="878"/>
      <c r="D170" s="878"/>
      <c r="E170" s="878"/>
      <c r="F170" s="878"/>
      <c r="G170" s="878"/>
      <c r="H170" s="878"/>
      <c r="I170" s="878"/>
      <c r="J170" s="878"/>
      <c r="K170" s="878">
        <v>0</v>
      </c>
      <c r="L170" s="878">
        <v>0</v>
      </c>
      <c r="M170" s="878">
        <v>0</v>
      </c>
      <c r="N170" s="878">
        <v>0</v>
      </c>
      <c r="O170" s="878">
        <v>0</v>
      </c>
      <c r="P170" s="878">
        <v>0</v>
      </c>
      <c r="Q170" s="878">
        <v>0</v>
      </c>
      <c r="R170" s="878">
        <v>0</v>
      </c>
      <c r="S170" s="878">
        <v>0</v>
      </c>
      <c r="T170" s="878">
        <v>0</v>
      </c>
      <c r="U170" s="878">
        <v>0</v>
      </c>
      <c r="V170" s="878">
        <v>0</v>
      </c>
      <c r="W170" s="878">
        <v>0.09</v>
      </c>
      <c r="X170" s="878">
        <v>0.09</v>
      </c>
      <c r="Y170" s="878">
        <v>0.09</v>
      </c>
      <c r="Z170" s="878">
        <v>0.09</v>
      </c>
      <c r="AA170" s="878">
        <v>0.09</v>
      </c>
      <c r="AB170" s="878">
        <v>0.09</v>
      </c>
      <c r="AC170" s="878">
        <v>0.09</v>
      </c>
      <c r="AD170" s="878">
        <v>0.09</v>
      </c>
      <c r="AE170" s="878"/>
      <c r="AF170" s="878"/>
      <c r="AG170" s="878"/>
      <c r="AH170" s="878"/>
      <c r="AI170" s="878"/>
      <c r="AJ170" s="878"/>
      <c r="AK170" s="878"/>
      <c r="AL170" s="878"/>
      <c r="AM170" s="878"/>
      <c r="AN170" s="878"/>
      <c r="AO170" s="878"/>
      <c r="AP170" s="878"/>
      <c r="AQ170" s="878"/>
      <c r="AR170" s="878"/>
      <c r="AS170" s="878"/>
      <c r="AT170" s="878"/>
      <c r="AU170" s="878"/>
      <c r="AV170" s="878"/>
      <c r="AW170" s="878"/>
      <c r="AX170" s="878"/>
      <c r="AY170" s="559">
        <v>0.2</v>
      </c>
      <c r="AZ170" s="560">
        <f t="shared" si="8"/>
        <v>0.09</v>
      </c>
      <c r="BA170" s="559">
        <f t="shared" si="9"/>
        <v>0.18</v>
      </c>
    </row>
    <row r="171" spans="1:53" x14ac:dyDescent="0.35">
      <c r="A171" s="711"/>
      <c r="B171" s="561" t="s">
        <v>121</v>
      </c>
      <c r="C171" s="878"/>
      <c r="D171" s="878"/>
      <c r="E171" s="878"/>
      <c r="F171" s="878"/>
      <c r="G171" s="878"/>
      <c r="H171" s="878"/>
      <c r="I171" s="878"/>
      <c r="J171" s="878"/>
      <c r="K171" s="878">
        <v>0.1</v>
      </c>
      <c r="L171" s="878">
        <v>0.1</v>
      </c>
      <c r="M171" s="878">
        <v>0.1</v>
      </c>
      <c r="N171" s="878">
        <v>0.1</v>
      </c>
      <c r="O171" s="878">
        <v>0.1</v>
      </c>
      <c r="P171" s="878">
        <v>0.1</v>
      </c>
      <c r="Q171" s="878">
        <v>0.1</v>
      </c>
      <c r="R171" s="878">
        <v>0.1</v>
      </c>
      <c r="S171" s="878">
        <v>0.1</v>
      </c>
      <c r="T171" s="878">
        <v>0.1</v>
      </c>
      <c r="U171" s="878">
        <v>0.1</v>
      </c>
      <c r="V171" s="878">
        <v>0.1</v>
      </c>
      <c r="W171" s="878">
        <v>0.1</v>
      </c>
      <c r="X171" s="878">
        <v>0.1</v>
      </c>
      <c r="Y171" s="878">
        <v>0.1</v>
      </c>
      <c r="Z171" s="878">
        <v>0.1</v>
      </c>
      <c r="AA171" s="878">
        <v>0.1</v>
      </c>
      <c r="AB171" s="878">
        <v>0.1</v>
      </c>
      <c r="AC171" s="878">
        <v>0.1</v>
      </c>
      <c r="AD171" s="878">
        <v>0.1</v>
      </c>
      <c r="AE171" s="878"/>
      <c r="AF171" s="878"/>
      <c r="AG171" s="878"/>
      <c r="AH171" s="878"/>
      <c r="AI171" s="878"/>
      <c r="AJ171" s="878"/>
      <c r="AK171" s="878"/>
      <c r="AL171" s="878"/>
      <c r="AM171" s="878"/>
      <c r="AN171" s="878"/>
      <c r="AO171" s="878"/>
      <c r="AP171" s="878"/>
      <c r="AQ171" s="878"/>
      <c r="AR171" s="878"/>
      <c r="AS171" s="878"/>
      <c r="AT171" s="878"/>
      <c r="AU171" s="878"/>
      <c r="AV171" s="878"/>
      <c r="AW171" s="878"/>
      <c r="AX171" s="878"/>
      <c r="AY171" s="559">
        <v>0.2</v>
      </c>
      <c r="AZ171" s="560">
        <f t="shared" si="8"/>
        <v>0.1</v>
      </c>
      <c r="BA171" s="559">
        <f t="shared" si="9"/>
        <v>0.5</v>
      </c>
    </row>
    <row r="172" spans="1:53" ht="12.75" customHeight="1" x14ac:dyDescent="0.35">
      <c r="A172" s="711" t="str">
        <f>DISTRIBUCIÓN!A78</f>
        <v xml:space="preserve">Paso 11. Sistematización de la información resultado de la fase de diagnóstico </v>
      </c>
      <c r="B172" s="561" t="s">
        <v>302</v>
      </c>
      <c r="C172" s="878"/>
      <c r="D172" s="878"/>
      <c r="E172" s="878"/>
      <c r="F172" s="878"/>
      <c r="G172" s="878">
        <v>0.14000000000000001</v>
      </c>
      <c r="H172" s="878">
        <v>0.14000000000000001</v>
      </c>
      <c r="I172" s="878">
        <v>0.14000000000000001</v>
      </c>
      <c r="J172" s="878">
        <v>0.14000000000000001</v>
      </c>
      <c r="K172" s="878">
        <v>0.14000000000000001</v>
      </c>
      <c r="L172" s="878">
        <v>0.14000000000000001</v>
      </c>
      <c r="M172" s="878">
        <v>0.14000000000000001</v>
      </c>
      <c r="N172" s="878">
        <v>0.14000000000000001</v>
      </c>
      <c r="O172" s="878">
        <v>0.14000000000000001</v>
      </c>
      <c r="P172" s="878">
        <v>0.14000000000000001</v>
      </c>
      <c r="Q172" s="878">
        <v>0.14000000000000001</v>
      </c>
      <c r="R172" s="878">
        <v>0.14000000000000001</v>
      </c>
      <c r="S172" s="878">
        <v>0.14000000000000001</v>
      </c>
      <c r="T172" s="878">
        <v>0.14000000000000001</v>
      </c>
      <c r="U172" s="878">
        <v>0.14000000000000001</v>
      </c>
      <c r="V172" s="878">
        <v>0.14000000000000001</v>
      </c>
      <c r="W172" s="878">
        <v>0.14000000000000001</v>
      </c>
      <c r="X172" s="878">
        <v>0.14000000000000001</v>
      </c>
      <c r="Y172" s="878">
        <v>0.14000000000000001</v>
      </c>
      <c r="Z172" s="878">
        <v>0.14000000000000001</v>
      </c>
      <c r="AA172" s="878">
        <v>0.14000000000000001</v>
      </c>
      <c r="AB172" s="878">
        <v>0.14000000000000001</v>
      </c>
      <c r="AC172" s="878">
        <v>0.14000000000000001</v>
      </c>
      <c r="AD172" s="878">
        <v>0.14000000000000001</v>
      </c>
      <c r="AE172" s="878"/>
      <c r="AF172" s="878"/>
      <c r="AG172" s="878"/>
      <c r="AH172" s="878"/>
      <c r="AI172" s="878"/>
      <c r="AJ172" s="878"/>
      <c r="AK172" s="878"/>
      <c r="AL172" s="878"/>
      <c r="AM172" s="878"/>
      <c r="AN172" s="878"/>
      <c r="AO172" s="878"/>
      <c r="AP172" s="878"/>
      <c r="AQ172" s="878"/>
      <c r="AR172" s="878"/>
      <c r="AS172" s="878"/>
      <c r="AT172" s="878"/>
      <c r="AU172" s="878"/>
      <c r="AV172" s="878"/>
      <c r="AW172" s="878"/>
      <c r="AX172" s="878"/>
      <c r="AY172" s="559">
        <v>0.17</v>
      </c>
      <c r="AZ172" s="560">
        <f t="shared" si="8"/>
        <v>0.14000000000000001</v>
      </c>
      <c r="BA172" s="559">
        <f t="shared" si="9"/>
        <v>0.84</v>
      </c>
    </row>
    <row r="173" spans="1:53" x14ac:dyDescent="0.35">
      <c r="A173" s="711"/>
      <c r="B173" s="561" t="s">
        <v>156</v>
      </c>
      <c r="C173" s="878"/>
      <c r="D173" s="878"/>
      <c r="E173" s="878"/>
      <c r="F173" s="878"/>
      <c r="G173" s="878">
        <v>0.06</v>
      </c>
      <c r="H173" s="878">
        <v>0.06</v>
      </c>
      <c r="I173" s="878">
        <v>0.06</v>
      </c>
      <c r="J173" s="878">
        <v>0.06</v>
      </c>
      <c r="K173" s="878">
        <v>0.06</v>
      </c>
      <c r="L173" s="878">
        <v>0.06</v>
      </c>
      <c r="M173" s="878">
        <v>0.06</v>
      </c>
      <c r="N173" s="878">
        <v>0.06</v>
      </c>
      <c r="O173" s="878">
        <v>0.06</v>
      </c>
      <c r="P173" s="878">
        <v>0.06</v>
      </c>
      <c r="Q173" s="878">
        <v>0.06</v>
      </c>
      <c r="R173" s="878">
        <v>0.06</v>
      </c>
      <c r="S173" s="878">
        <v>0.06</v>
      </c>
      <c r="T173" s="878">
        <v>0.06</v>
      </c>
      <c r="U173" s="878">
        <v>0.06</v>
      </c>
      <c r="V173" s="878">
        <v>0.06</v>
      </c>
      <c r="W173" s="878">
        <v>0.06</v>
      </c>
      <c r="X173" s="878">
        <v>0.06</v>
      </c>
      <c r="Y173" s="878">
        <v>0.06</v>
      </c>
      <c r="Z173" s="878">
        <v>0.06</v>
      </c>
      <c r="AA173" s="878">
        <v>0.06</v>
      </c>
      <c r="AB173" s="878">
        <v>0.06</v>
      </c>
      <c r="AC173" s="878">
        <v>0.06</v>
      </c>
      <c r="AD173" s="878">
        <v>0.06</v>
      </c>
      <c r="AE173" s="878"/>
      <c r="AF173" s="878"/>
      <c r="AG173" s="878"/>
      <c r="AH173" s="878"/>
      <c r="AI173" s="878"/>
      <c r="AJ173" s="878"/>
      <c r="AK173" s="878"/>
      <c r="AL173" s="878"/>
      <c r="AM173" s="878"/>
      <c r="AN173" s="878"/>
      <c r="AO173" s="878"/>
      <c r="AP173" s="878"/>
      <c r="AQ173" s="878"/>
      <c r="AR173" s="878"/>
      <c r="AS173" s="878"/>
      <c r="AT173" s="878"/>
      <c r="AU173" s="878"/>
      <c r="AV173" s="878"/>
      <c r="AW173" s="878"/>
      <c r="AX173" s="878"/>
      <c r="AY173" s="559">
        <v>0.17</v>
      </c>
      <c r="AZ173" s="560">
        <f t="shared" si="8"/>
        <v>0.06</v>
      </c>
      <c r="BA173" s="559">
        <f t="shared" si="9"/>
        <v>0.36</v>
      </c>
    </row>
    <row r="174" spans="1:53" x14ac:dyDescent="0.35">
      <c r="A174" s="711"/>
      <c r="B174" s="561" t="s">
        <v>157</v>
      </c>
      <c r="C174" s="878"/>
      <c r="D174" s="878"/>
      <c r="E174" s="878"/>
      <c r="F174" s="878"/>
      <c r="G174" s="878">
        <v>0.18</v>
      </c>
      <c r="H174" s="878">
        <v>0.18</v>
      </c>
      <c r="I174" s="878">
        <v>0.18</v>
      </c>
      <c r="J174" s="878">
        <v>0.18</v>
      </c>
      <c r="K174" s="878">
        <v>0.18</v>
      </c>
      <c r="L174" s="878">
        <v>0.18</v>
      </c>
      <c r="M174" s="878">
        <v>0.18</v>
      </c>
      <c r="N174" s="878">
        <v>0.18</v>
      </c>
      <c r="O174" s="878">
        <v>0.18</v>
      </c>
      <c r="P174" s="878">
        <v>0.18</v>
      </c>
      <c r="Q174" s="878">
        <v>0.18</v>
      </c>
      <c r="R174" s="878">
        <v>0.18</v>
      </c>
      <c r="S174" s="878">
        <v>0.18</v>
      </c>
      <c r="T174" s="878">
        <v>0.18</v>
      </c>
      <c r="U174" s="878">
        <v>0.18</v>
      </c>
      <c r="V174" s="878">
        <v>0.18</v>
      </c>
      <c r="W174" s="878">
        <v>0.18</v>
      </c>
      <c r="X174" s="878">
        <v>0.18</v>
      </c>
      <c r="Y174" s="878">
        <v>0.18</v>
      </c>
      <c r="Z174" s="878">
        <v>0.18</v>
      </c>
      <c r="AA174" s="878">
        <v>0.18</v>
      </c>
      <c r="AB174" s="878">
        <v>0.18</v>
      </c>
      <c r="AC174" s="878">
        <v>0.18</v>
      </c>
      <c r="AD174" s="878">
        <v>0.18</v>
      </c>
      <c r="AE174" s="878"/>
      <c r="AF174" s="878"/>
      <c r="AG174" s="878"/>
      <c r="AH174" s="878"/>
      <c r="AI174" s="878"/>
      <c r="AJ174" s="878"/>
      <c r="AK174" s="878"/>
      <c r="AL174" s="878"/>
      <c r="AM174" s="878"/>
      <c r="AN174" s="878"/>
      <c r="AO174" s="878"/>
      <c r="AP174" s="878"/>
      <c r="AQ174" s="878"/>
      <c r="AR174" s="878"/>
      <c r="AS174" s="878"/>
      <c r="AT174" s="878"/>
      <c r="AU174" s="878"/>
      <c r="AV174" s="878"/>
      <c r="AW174" s="878"/>
      <c r="AX174" s="878"/>
      <c r="AY174" s="559">
        <v>0.17</v>
      </c>
      <c r="AZ174" s="560">
        <f t="shared" si="8"/>
        <v>0.18</v>
      </c>
      <c r="BA174" s="559">
        <f t="shared" si="9"/>
        <v>1.08</v>
      </c>
    </row>
    <row r="175" spans="1:53" x14ac:dyDescent="0.35">
      <c r="A175" s="711"/>
      <c r="B175" s="561" t="s">
        <v>158</v>
      </c>
      <c r="C175" s="878"/>
      <c r="D175" s="878"/>
      <c r="E175" s="878"/>
      <c r="F175" s="878"/>
      <c r="G175" s="878">
        <v>0.19</v>
      </c>
      <c r="H175" s="878">
        <v>0.19</v>
      </c>
      <c r="I175" s="878">
        <v>0.19</v>
      </c>
      <c r="J175" s="878">
        <v>0.19</v>
      </c>
      <c r="K175" s="878">
        <v>0.19</v>
      </c>
      <c r="L175" s="878">
        <v>0.19</v>
      </c>
      <c r="M175" s="878">
        <v>0.19</v>
      </c>
      <c r="N175" s="878">
        <v>0.19</v>
      </c>
      <c r="O175" s="878">
        <v>0.19</v>
      </c>
      <c r="P175" s="878">
        <v>0.19</v>
      </c>
      <c r="Q175" s="878">
        <v>0.19</v>
      </c>
      <c r="R175" s="878">
        <v>0.19</v>
      </c>
      <c r="S175" s="878">
        <v>0.19</v>
      </c>
      <c r="T175" s="878">
        <v>0.19</v>
      </c>
      <c r="U175" s="878">
        <v>0.19</v>
      </c>
      <c r="V175" s="878">
        <v>0.19</v>
      </c>
      <c r="W175" s="878">
        <v>0</v>
      </c>
      <c r="X175" s="878">
        <v>0</v>
      </c>
      <c r="Y175" s="878">
        <v>0</v>
      </c>
      <c r="Z175" s="878">
        <v>0</v>
      </c>
      <c r="AA175" s="878">
        <v>0</v>
      </c>
      <c r="AB175" s="878">
        <v>0</v>
      </c>
      <c r="AC175" s="878">
        <v>0</v>
      </c>
      <c r="AD175" s="878">
        <v>0</v>
      </c>
      <c r="AE175" s="878"/>
      <c r="AF175" s="878"/>
      <c r="AG175" s="878"/>
      <c r="AH175" s="878"/>
      <c r="AI175" s="878"/>
      <c r="AJ175" s="878"/>
      <c r="AK175" s="878"/>
      <c r="AL175" s="878"/>
      <c r="AM175" s="878"/>
      <c r="AN175" s="878"/>
      <c r="AO175" s="878"/>
      <c r="AP175" s="878"/>
      <c r="AQ175" s="878"/>
      <c r="AR175" s="878"/>
      <c r="AS175" s="878"/>
      <c r="AT175" s="878"/>
      <c r="AU175" s="878"/>
      <c r="AV175" s="878"/>
      <c r="AW175" s="878"/>
      <c r="AX175" s="878"/>
      <c r="AY175" s="559">
        <v>0.17</v>
      </c>
      <c r="AZ175" s="560">
        <f t="shared" si="8"/>
        <v>0.19</v>
      </c>
      <c r="BA175" s="559">
        <f t="shared" si="9"/>
        <v>0.76</v>
      </c>
    </row>
    <row r="176" spans="1:53" x14ac:dyDescent="0.35">
      <c r="A176" s="711"/>
      <c r="B176" s="561" t="s">
        <v>159</v>
      </c>
      <c r="C176" s="878"/>
      <c r="D176" s="878"/>
      <c r="E176" s="878"/>
      <c r="F176" s="878"/>
      <c r="G176" s="878">
        <v>0</v>
      </c>
      <c r="H176" s="878">
        <v>0</v>
      </c>
      <c r="I176" s="878">
        <v>0</v>
      </c>
      <c r="J176" s="878">
        <v>0</v>
      </c>
      <c r="K176" s="878">
        <v>0</v>
      </c>
      <c r="L176" s="878">
        <v>0</v>
      </c>
      <c r="M176" s="878">
        <v>0</v>
      </c>
      <c r="N176" s="878">
        <v>0</v>
      </c>
      <c r="O176" s="878">
        <v>0</v>
      </c>
      <c r="P176" s="878">
        <v>0</v>
      </c>
      <c r="Q176" s="878">
        <v>0</v>
      </c>
      <c r="R176" s="878">
        <v>0</v>
      </c>
      <c r="S176" s="878">
        <v>0</v>
      </c>
      <c r="T176" s="878">
        <v>0</v>
      </c>
      <c r="U176" s="878">
        <v>0</v>
      </c>
      <c r="V176" s="878">
        <v>0</v>
      </c>
      <c r="W176" s="878">
        <v>0</v>
      </c>
      <c r="X176" s="878">
        <v>0</v>
      </c>
      <c r="Y176" s="878">
        <v>0</v>
      </c>
      <c r="Z176" s="878">
        <v>0</v>
      </c>
      <c r="AA176" s="878">
        <v>0</v>
      </c>
      <c r="AB176" s="878">
        <v>0</v>
      </c>
      <c r="AC176" s="878">
        <v>0</v>
      </c>
      <c r="AD176" s="878">
        <v>0</v>
      </c>
      <c r="AE176" s="878"/>
      <c r="AF176" s="878"/>
      <c r="AG176" s="878"/>
      <c r="AH176" s="878"/>
      <c r="AI176" s="878"/>
      <c r="AJ176" s="878"/>
      <c r="AK176" s="878"/>
      <c r="AL176" s="878"/>
      <c r="AM176" s="878"/>
      <c r="AN176" s="878"/>
      <c r="AO176" s="878"/>
      <c r="AP176" s="878"/>
      <c r="AQ176" s="878"/>
      <c r="AR176" s="878"/>
      <c r="AS176" s="878"/>
      <c r="AT176" s="878"/>
      <c r="AU176" s="878"/>
      <c r="AV176" s="878"/>
      <c r="AW176" s="878"/>
      <c r="AX176" s="878"/>
      <c r="AY176" s="559">
        <v>0.17</v>
      </c>
      <c r="AZ176" s="560">
        <f t="shared" si="8"/>
        <v>0</v>
      </c>
      <c r="BA176" s="559">
        <f t="shared" si="9"/>
        <v>0</v>
      </c>
    </row>
    <row r="177" spans="1:53" x14ac:dyDescent="0.35">
      <c r="A177" s="711"/>
      <c r="B177" s="561" t="s">
        <v>131</v>
      </c>
      <c r="C177" s="878"/>
      <c r="D177" s="878"/>
      <c r="E177" s="878"/>
      <c r="F177" s="878"/>
      <c r="G177" s="878">
        <v>0.17</v>
      </c>
      <c r="H177" s="878">
        <v>0.17</v>
      </c>
      <c r="I177" s="878">
        <v>0.17</v>
      </c>
      <c r="J177" s="878">
        <v>0.17</v>
      </c>
      <c r="K177" s="878">
        <v>0</v>
      </c>
      <c r="L177" s="878">
        <v>0</v>
      </c>
      <c r="M177" s="878">
        <v>0</v>
      </c>
      <c r="N177" s="878">
        <v>0</v>
      </c>
      <c r="O177" s="878">
        <v>0</v>
      </c>
      <c r="P177" s="878">
        <v>0</v>
      </c>
      <c r="Q177" s="878">
        <v>0</v>
      </c>
      <c r="R177" s="878">
        <v>0</v>
      </c>
      <c r="S177" s="878">
        <v>0</v>
      </c>
      <c r="T177" s="878">
        <v>0</v>
      </c>
      <c r="U177" s="878">
        <v>0</v>
      </c>
      <c r="V177" s="878">
        <v>0</v>
      </c>
      <c r="W177" s="878">
        <v>0.17</v>
      </c>
      <c r="X177" s="878">
        <v>0.17</v>
      </c>
      <c r="Y177" s="878">
        <v>0.17</v>
      </c>
      <c r="Z177" s="878">
        <v>0.17</v>
      </c>
      <c r="AA177" s="878">
        <v>0.17</v>
      </c>
      <c r="AB177" s="878">
        <v>0.17</v>
      </c>
      <c r="AC177" s="878">
        <v>0.17</v>
      </c>
      <c r="AD177" s="878">
        <v>0.17</v>
      </c>
      <c r="AE177" s="878"/>
      <c r="AF177" s="878"/>
      <c r="AG177" s="878"/>
      <c r="AH177" s="878"/>
      <c r="AI177" s="878"/>
      <c r="AJ177" s="878"/>
      <c r="AK177" s="878"/>
      <c r="AL177" s="878"/>
      <c r="AM177" s="878"/>
      <c r="AN177" s="878"/>
      <c r="AO177" s="878"/>
      <c r="AP177" s="878"/>
      <c r="AQ177" s="878"/>
      <c r="AR177" s="878"/>
      <c r="AS177" s="878"/>
      <c r="AT177" s="878"/>
      <c r="AU177" s="878"/>
      <c r="AV177" s="878"/>
      <c r="AW177" s="878"/>
      <c r="AX177" s="878"/>
      <c r="AY177" s="559">
        <v>0.17</v>
      </c>
      <c r="AZ177" s="560">
        <f t="shared" si="8"/>
        <v>0.17</v>
      </c>
      <c r="BA177" s="559">
        <f t="shared" si="9"/>
        <v>0.51</v>
      </c>
    </row>
    <row r="178" spans="1:53" x14ac:dyDescent="0.35">
      <c r="A178" s="711"/>
      <c r="B178" s="561" t="s">
        <v>121</v>
      </c>
      <c r="C178" s="878"/>
      <c r="D178" s="878"/>
      <c r="E178" s="878"/>
      <c r="F178" s="878"/>
      <c r="G178" s="878">
        <v>0.22</v>
      </c>
      <c r="H178" s="878">
        <v>0.22</v>
      </c>
      <c r="I178" s="878">
        <v>0.22</v>
      </c>
      <c r="J178" s="878">
        <v>0.22</v>
      </c>
      <c r="K178" s="878">
        <v>0.22</v>
      </c>
      <c r="L178" s="878">
        <v>0.22</v>
      </c>
      <c r="M178" s="878">
        <v>0.22</v>
      </c>
      <c r="N178" s="878">
        <v>0.22</v>
      </c>
      <c r="O178" s="878">
        <v>0.22</v>
      </c>
      <c r="P178" s="878">
        <v>0.22</v>
      </c>
      <c r="Q178" s="878">
        <v>0.22</v>
      </c>
      <c r="R178" s="878">
        <v>0.22</v>
      </c>
      <c r="S178" s="878">
        <v>0.22</v>
      </c>
      <c r="T178" s="878">
        <v>0.22</v>
      </c>
      <c r="U178" s="878">
        <v>0.22</v>
      </c>
      <c r="V178" s="878">
        <v>0.22</v>
      </c>
      <c r="W178" s="878">
        <v>0.22</v>
      </c>
      <c r="X178" s="878">
        <v>0.22</v>
      </c>
      <c r="Y178" s="878">
        <v>0.22</v>
      </c>
      <c r="Z178" s="878">
        <v>0.22</v>
      </c>
      <c r="AA178" s="878">
        <v>0.22</v>
      </c>
      <c r="AB178" s="878">
        <v>0.22</v>
      </c>
      <c r="AC178" s="878">
        <v>0.22</v>
      </c>
      <c r="AD178" s="878">
        <v>0.22</v>
      </c>
      <c r="AE178" s="878"/>
      <c r="AF178" s="878"/>
      <c r="AG178" s="878"/>
      <c r="AH178" s="878"/>
      <c r="AI178" s="878"/>
      <c r="AJ178" s="878"/>
      <c r="AK178" s="878"/>
      <c r="AL178" s="878"/>
      <c r="AM178" s="878"/>
      <c r="AN178" s="878"/>
      <c r="AO178" s="878"/>
      <c r="AP178" s="878"/>
      <c r="AQ178" s="878"/>
      <c r="AR178" s="878"/>
      <c r="AS178" s="878"/>
      <c r="AT178" s="878"/>
      <c r="AU178" s="878"/>
      <c r="AV178" s="878"/>
      <c r="AW178" s="878"/>
      <c r="AX178" s="878"/>
      <c r="AY178" s="559">
        <v>0.17</v>
      </c>
      <c r="AZ178" s="560">
        <f t="shared" si="8"/>
        <v>0.22</v>
      </c>
      <c r="BA178" s="559">
        <f t="shared" si="9"/>
        <v>1.32</v>
      </c>
    </row>
    <row r="179" spans="1:53" ht="12.75" customHeight="1" x14ac:dyDescent="0.35">
      <c r="A179" s="711" t="str">
        <f>DISTRIBUCIÓN!A79</f>
        <v>Paso 12. Socialización de los resultados de la fase de diagnóstico</v>
      </c>
      <c r="B179" s="561" t="s">
        <v>302</v>
      </c>
      <c r="C179" s="878"/>
      <c r="D179" s="878"/>
      <c r="E179" s="878"/>
      <c r="F179" s="878"/>
      <c r="G179" s="878"/>
      <c r="H179" s="878"/>
      <c r="I179" s="878"/>
      <c r="J179" s="878"/>
      <c r="K179" s="878"/>
      <c r="L179" s="878"/>
      <c r="M179" s="878"/>
      <c r="N179" s="878"/>
      <c r="O179" s="878"/>
      <c r="P179" s="878"/>
      <c r="Q179" s="878"/>
      <c r="R179" s="878"/>
      <c r="S179" s="878"/>
      <c r="T179" s="878"/>
      <c r="U179" s="878"/>
      <c r="V179" s="878"/>
      <c r="W179" s="878"/>
      <c r="X179" s="878"/>
      <c r="Y179" s="878"/>
      <c r="Z179" s="878"/>
      <c r="AA179" s="878">
        <v>0.11</v>
      </c>
      <c r="AB179" s="878">
        <v>0.11</v>
      </c>
      <c r="AC179" s="878">
        <v>0.11</v>
      </c>
      <c r="AD179" s="878">
        <v>0.11</v>
      </c>
      <c r="AE179" s="878"/>
      <c r="AF179" s="878"/>
      <c r="AG179" s="878"/>
      <c r="AH179" s="878"/>
      <c r="AI179" s="878"/>
      <c r="AJ179" s="878"/>
      <c r="AK179" s="878"/>
      <c r="AL179" s="878"/>
      <c r="AM179" s="878"/>
      <c r="AN179" s="878"/>
      <c r="AO179" s="878"/>
      <c r="AP179" s="878"/>
      <c r="AQ179" s="878"/>
      <c r="AR179" s="878"/>
      <c r="AS179" s="878"/>
      <c r="AT179" s="878"/>
      <c r="AU179" s="878"/>
      <c r="AV179" s="878"/>
      <c r="AW179" s="878"/>
      <c r="AX179" s="878"/>
      <c r="AY179" s="559">
        <v>1</v>
      </c>
      <c r="AZ179" s="560">
        <f t="shared" si="8"/>
        <v>0.11</v>
      </c>
      <c r="BA179" s="559">
        <f t="shared" si="9"/>
        <v>0.11</v>
      </c>
    </row>
    <row r="180" spans="1:53" x14ac:dyDescent="0.35">
      <c r="A180" s="711"/>
      <c r="B180" s="561" t="s">
        <v>156</v>
      </c>
      <c r="C180" s="878"/>
      <c r="D180" s="878"/>
      <c r="E180" s="878"/>
      <c r="F180" s="878"/>
      <c r="G180" s="878"/>
      <c r="H180" s="878"/>
      <c r="I180" s="878"/>
      <c r="J180" s="878"/>
      <c r="K180" s="878"/>
      <c r="L180" s="878"/>
      <c r="M180" s="878"/>
      <c r="N180" s="878"/>
      <c r="O180" s="878"/>
      <c r="P180" s="878"/>
      <c r="Q180" s="878"/>
      <c r="R180" s="878"/>
      <c r="S180" s="878"/>
      <c r="T180" s="878"/>
      <c r="U180" s="878"/>
      <c r="V180" s="878"/>
      <c r="W180" s="878"/>
      <c r="X180" s="878"/>
      <c r="Y180" s="878"/>
      <c r="Z180" s="878"/>
      <c r="AA180" s="878">
        <v>0.01</v>
      </c>
      <c r="AB180" s="878">
        <v>0.01</v>
      </c>
      <c r="AC180" s="878">
        <v>0.01</v>
      </c>
      <c r="AD180" s="878">
        <v>0.01</v>
      </c>
      <c r="AE180" s="878"/>
      <c r="AF180" s="878"/>
      <c r="AG180" s="878"/>
      <c r="AH180" s="878"/>
      <c r="AI180" s="878"/>
      <c r="AJ180" s="878"/>
      <c r="AK180" s="878"/>
      <c r="AL180" s="878"/>
      <c r="AM180" s="878"/>
      <c r="AN180" s="878"/>
      <c r="AO180" s="878"/>
      <c r="AP180" s="878"/>
      <c r="AQ180" s="878"/>
      <c r="AR180" s="878"/>
      <c r="AS180" s="878"/>
      <c r="AT180" s="878"/>
      <c r="AU180" s="878"/>
      <c r="AV180" s="878"/>
      <c r="AW180" s="878"/>
      <c r="AX180" s="878"/>
      <c r="AY180" s="559">
        <v>1</v>
      </c>
      <c r="AZ180" s="560">
        <f t="shared" si="8"/>
        <v>0.01</v>
      </c>
      <c r="BA180" s="559">
        <f t="shared" si="9"/>
        <v>0.01</v>
      </c>
    </row>
    <row r="181" spans="1:53" x14ac:dyDescent="0.35">
      <c r="A181" s="711"/>
      <c r="B181" s="561" t="s">
        <v>157</v>
      </c>
      <c r="C181" s="878"/>
      <c r="D181" s="878"/>
      <c r="E181" s="878"/>
      <c r="F181" s="878"/>
      <c r="G181" s="878"/>
      <c r="H181" s="878"/>
      <c r="I181" s="878"/>
      <c r="J181" s="878"/>
      <c r="K181" s="878"/>
      <c r="L181" s="878"/>
      <c r="M181" s="878"/>
      <c r="N181" s="878"/>
      <c r="O181" s="878"/>
      <c r="P181" s="878"/>
      <c r="Q181" s="878"/>
      <c r="R181" s="878"/>
      <c r="S181" s="878"/>
      <c r="T181" s="878"/>
      <c r="U181" s="878"/>
      <c r="V181" s="878"/>
      <c r="W181" s="878"/>
      <c r="X181" s="878"/>
      <c r="Y181" s="878"/>
      <c r="Z181" s="878"/>
      <c r="AA181" s="878">
        <v>0.08</v>
      </c>
      <c r="AB181" s="878">
        <v>0.08</v>
      </c>
      <c r="AC181" s="878">
        <v>0.08</v>
      </c>
      <c r="AD181" s="878">
        <v>0.08</v>
      </c>
      <c r="AE181" s="878"/>
      <c r="AF181" s="878"/>
      <c r="AG181" s="878"/>
      <c r="AH181" s="878"/>
      <c r="AI181" s="878"/>
      <c r="AJ181" s="878"/>
      <c r="AK181" s="878"/>
      <c r="AL181" s="878"/>
      <c r="AM181" s="878"/>
      <c r="AN181" s="878"/>
      <c r="AO181" s="878"/>
      <c r="AP181" s="878"/>
      <c r="AQ181" s="878"/>
      <c r="AR181" s="878"/>
      <c r="AS181" s="878"/>
      <c r="AT181" s="878"/>
      <c r="AU181" s="878"/>
      <c r="AV181" s="878"/>
      <c r="AW181" s="878"/>
      <c r="AX181" s="878"/>
      <c r="AY181" s="559">
        <v>1</v>
      </c>
      <c r="AZ181" s="560">
        <f t="shared" si="8"/>
        <v>0.08</v>
      </c>
      <c r="BA181" s="559">
        <f t="shared" si="9"/>
        <v>0.08</v>
      </c>
    </row>
    <row r="182" spans="1:53" x14ac:dyDescent="0.35">
      <c r="A182" s="711"/>
      <c r="B182" s="561" t="s">
        <v>158</v>
      </c>
      <c r="C182" s="878"/>
      <c r="D182" s="878"/>
      <c r="E182" s="878"/>
      <c r="F182" s="878"/>
      <c r="G182" s="878"/>
      <c r="H182" s="878"/>
      <c r="I182" s="878"/>
      <c r="J182" s="878"/>
      <c r="K182" s="878"/>
      <c r="L182" s="878"/>
      <c r="M182" s="878"/>
      <c r="N182" s="878"/>
      <c r="O182" s="878"/>
      <c r="P182" s="878"/>
      <c r="Q182" s="878"/>
      <c r="R182" s="878"/>
      <c r="S182" s="878"/>
      <c r="T182" s="878"/>
      <c r="U182" s="878"/>
      <c r="V182" s="878"/>
      <c r="W182" s="878"/>
      <c r="X182" s="878"/>
      <c r="Y182" s="878"/>
      <c r="Z182" s="878"/>
      <c r="AA182" s="878">
        <v>0</v>
      </c>
      <c r="AB182" s="878">
        <v>0</v>
      </c>
      <c r="AC182" s="878">
        <v>0</v>
      </c>
      <c r="AD182" s="878">
        <v>0</v>
      </c>
      <c r="AE182" s="878"/>
      <c r="AF182" s="878"/>
      <c r="AG182" s="878"/>
      <c r="AH182" s="878"/>
      <c r="AI182" s="878"/>
      <c r="AJ182" s="878"/>
      <c r="AK182" s="878"/>
      <c r="AL182" s="878"/>
      <c r="AM182" s="878"/>
      <c r="AN182" s="878"/>
      <c r="AO182" s="878"/>
      <c r="AP182" s="878"/>
      <c r="AQ182" s="878"/>
      <c r="AR182" s="878"/>
      <c r="AS182" s="878"/>
      <c r="AT182" s="878"/>
      <c r="AU182" s="878"/>
      <c r="AV182" s="878"/>
      <c r="AW182" s="878"/>
      <c r="AX182" s="878"/>
      <c r="AY182" s="559">
        <v>1</v>
      </c>
      <c r="AZ182" s="560">
        <f t="shared" si="8"/>
        <v>0</v>
      </c>
      <c r="BA182" s="559">
        <f t="shared" si="9"/>
        <v>0</v>
      </c>
    </row>
    <row r="183" spans="1:53" x14ac:dyDescent="0.35">
      <c r="A183" s="711"/>
      <c r="B183" s="561" t="s">
        <v>159</v>
      </c>
      <c r="C183" s="878"/>
      <c r="D183" s="878"/>
      <c r="E183" s="878"/>
      <c r="F183" s="878"/>
      <c r="G183" s="878"/>
      <c r="H183" s="878"/>
      <c r="I183" s="878"/>
      <c r="J183" s="878"/>
      <c r="K183" s="878"/>
      <c r="L183" s="878"/>
      <c r="M183" s="878"/>
      <c r="N183" s="878"/>
      <c r="O183" s="878"/>
      <c r="P183" s="878"/>
      <c r="Q183" s="878"/>
      <c r="R183" s="878"/>
      <c r="S183" s="878"/>
      <c r="T183" s="878"/>
      <c r="U183" s="878"/>
      <c r="V183" s="878"/>
      <c r="W183" s="878"/>
      <c r="X183" s="878"/>
      <c r="Y183" s="878"/>
      <c r="Z183" s="878"/>
      <c r="AA183" s="878">
        <v>0</v>
      </c>
      <c r="AB183" s="878">
        <v>0</v>
      </c>
      <c r="AC183" s="878">
        <v>0</v>
      </c>
      <c r="AD183" s="878">
        <v>0</v>
      </c>
      <c r="AE183" s="878"/>
      <c r="AF183" s="878"/>
      <c r="AG183" s="878"/>
      <c r="AH183" s="878"/>
      <c r="AI183" s="878"/>
      <c r="AJ183" s="878"/>
      <c r="AK183" s="878"/>
      <c r="AL183" s="878"/>
      <c r="AM183" s="878"/>
      <c r="AN183" s="878"/>
      <c r="AO183" s="878"/>
      <c r="AP183" s="878"/>
      <c r="AQ183" s="878"/>
      <c r="AR183" s="878"/>
      <c r="AS183" s="878"/>
      <c r="AT183" s="878"/>
      <c r="AU183" s="878"/>
      <c r="AV183" s="878"/>
      <c r="AW183" s="878"/>
      <c r="AX183" s="878"/>
      <c r="AY183" s="559">
        <v>1</v>
      </c>
      <c r="AZ183" s="560">
        <f t="shared" si="8"/>
        <v>0</v>
      </c>
      <c r="BA183" s="559">
        <f t="shared" si="9"/>
        <v>0</v>
      </c>
    </row>
    <row r="184" spans="1:53" x14ac:dyDescent="0.35">
      <c r="A184" s="711"/>
      <c r="B184" s="561" t="s">
        <v>131</v>
      </c>
      <c r="C184" s="878"/>
      <c r="D184" s="878"/>
      <c r="E184" s="878"/>
      <c r="F184" s="878"/>
      <c r="G184" s="878"/>
      <c r="H184" s="878"/>
      <c r="I184" s="878"/>
      <c r="J184" s="878"/>
      <c r="K184" s="878"/>
      <c r="L184" s="878"/>
      <c r="M184" s="878"/>
      <c r="N184" s="878"/>
      <c r="O184" s="878"/>
      <c r="P184" s="878"/>
      <c r="Q184" s="878"/>
      <c r="R184" s="878"/>
      <c r="S184" s="878"/>
      <c r="T184" s="878"/>
      <c r="U184" s="878"/>
      <c r="V184" s="878"/>
      <c r="W184" s="878"/>
      <c r="X184" s="878"/>
      <c r="Y184" s="878"/>
      <c r="Z184" s="878"/>
      <c r="AA184" s="878">
        <v>0.06</v>
      </c>
      <c r="AB184" s="878">
        <v>0.06</v>
      </c>
      <c r="AC184" s="878">
        <v>0.06</v>
      </c>
      <c r="AD184" s="878">
        <v>0.06</v>
      </c>
      <c r="AE184" s="878"/>
      <c r="AF184" s="878"/>
      <c r="AG184" s="878"/>
      <c r="AH184" s="878"/>
      <c r="AI184" s="878"/>
      <c r="AJ184" s="878"/>
      <c r="AK184" s="878"/>
      <c r="AL184" s="878"/>
      <c r="AM184" s="878"/>
      <c r="AN184" s="878"/>
      <c r="AO184" s="878"/>
      <c r="AP184" s="878"/>
      <c r="AQ184" s="878"/>
      <c r="AR184" s="878"/>
      <c r="AS184" s="878"/>
      <c r="AT184" s="878"/>
      <c r="AU184" s="878"/>
      <c r="AV184" s="878"/>
      <c r="AW184" s="878"/>
      <c r="AX184" s="878"/>
      <c r="AY184" s="559">
        <v>1</v>
      </c>
      <c r="AZ184" s="560">
        <f t="shared" si="8"/>
        <v>0.06</v>
      </c>
      <c r="BA184" s="559">
        <f t="shared" si="9"/>
        <v>0.06</v>
      </c>
    </row>
    <row r="185" spans="1:53" x14ac:dyDescent="0.35">
      <c r="A185" s="711"/>
      <c r="B185" s="561" t="s">
        <v>121</v>
      </c>
      <c r="C185" s="878"/>
      <c r="D185" s="878"/>
      <c r="E185" s="878"/>
      <c r="F185" s="878"/>
      <c r="G185" s="878"/>
      <c r="H185" s="878"/>
      <c r="I185" s="878"/>
      <c r="J185" s="878"/>
      <c r="K185" s="878"/>
      <c r="L185" s="878"/>
      <c r="M185" s="878"/>
      <c r="N185" s="878"/>
      <c r="O185" s="878"/>
      <c r="P185" s="878"/>
      <c r="Q185" s="878"/>
      <c r="R185" s="878"/>
      <c r="S185" s="878"/>
      <c r="T185" s="878"/>
      <c r="U185" s="878"/>
      <c r="V185" s="878"/>
      <c r="W185" s="878"/>
      <c r="X185" s="878"/>
      <c r="Y185" s="878"/>
      <c r="Z185" s="878"/>
      <c r="AA185" s="878">
        <v>0.08</v>
      </c>
      <c r="AB185" s="878">
        <v>0.08</v>
      </c>
      <c r="AC185" s="878">
        <v>0.08</v>
      </c>
      <c r="AD185" s="878">
        <v>0.08</v>
      </c>
      <c r="AE185" s="878"/>
      <c r="AF185" s="878"/>
      <c r="AG185" s="878"/>
      <c r="AH185" s="878"/>
      <c r="AI185" s="878"/>
      <c r="AJ185" s="878"/>
      <c r="AK185" s="878"/>
      <c r="AL185" s="878"/>
      <c r="AM185" s="878"/>
      <c r="AN185" s="878"/>
      <c r="AO185" s="878"/>
      <c r="AP185" s="878"/>
      <c r="AQ185" s="878"/>
      <c r="AR185" s="878"/>
      <c r="AS185" s="878"/>
      <c r="AT185" s="878"/>
      <c r="AU185" s="878"/>
      <c r="AV185" s="878"/>
      <c r="AW185" s="878"/>
      <c r="AX185" s="878"/>
      <c r="AY185" s="559">
        <v>1</v>
      </c>
      <c r="AZ185" s="560">
        <f t="shared" si="8"/>
        <v>0.08</v>
      </c>
      <c r="BA185" s="559">
        <f t="shared" si="9"/>
        <v>0.08</v>
      </c>
    </row>
    <row r="186" spans="1:53" x14ac:dyDescent="0.35">
      <c r="A186" s="708" t="str">
        <f>DISTRIBUCIÓN!A86</f>
        <v>Paso 1: Proyección de la demanda de agua</v>
      </c>
      <c r="B186" s="561" t="s">
        <v>302</v>
      </c>
      <c r="C186" s="878"/>
      <c r="D186" s="878"/>
      <c r="E186" s="878"/>
      <c r="F186" s="878"/>
      <c r="G186" s="878"/>
      <c r="H186" s="878"/>
      <c r="I186" s="878"/>
      <c r="J186" s="878"/>
      <c r="K186" s="878"/>
      <c r="L186" s="878"/>
      <c r="M186" s="878"/>
      <c r="N186" s="878"/>
      <c r="O186" s="878"/>
      <c r="P186" s="878"/>
      <c r="Q186" s="878"/>
      <c r="R186" s="878"/>
      <c r="S186" s="878"/>
      <c r="T186" s="878"/>
      <c r="U186" s="878"/>
      <c r="V186" s="878"/>
      <c r="W186" s="878"/>
      <c r="X186" s="878"/>
      <c r="Y186" s="878"/>
      <c r="Z186" s="878"/>
      <c r="AA186" s="878"/>
      <c r="AB186" s="878"/>
      <c r="AC186" s="878"/>
      <c r="AD186" s="878"/>
      <c r="AE186" s="878">
        <v>0.19</v>
      </c>
      <c r="AF186" s="878">
        <v>0.19</v>
      </c>
      <c r="AG186" s="878">
        <v>0.19</v>
      </c>
      <c r="AH186" s="878">
        <v>0.19</v>
      </c>
      <c r="AI186" s="878">
        <v>0.19</v>
      </c>
      <c r="AJ186" s="878">
        <v>0.19</v>
      </c>
      <c r="AK186" s="878">
        <v>0.19</v>
      </c>
      <c r="AL186" s="878">
        <v>0.19</v>
      </c>
      <c r="AM186" s="878"/>
      <c r="AN186" s="878"/>
      <c r="AO186" s="878"/>
      <c r="AP186" s="878"/>
      <c r="AQ186" s="878"/>
      <c r="AR186" s="878"/>
      <c r="AS186" s="878"/>
      <c r="AT186" s="878"/>
      <c r="AU186" s="878"/>
      <c r="AV186" s="878"/>
      <c r="AW186" s="878"/>
      <c r="AX186" s="878"/>
      <c r="AY186" s="559">
        <v>0.5</v>
      </c>
      <c r="AZ186" s="560">
        <f t="shared" si="8"/>
        <v>0.19</v>
      </c>
      <c r="BA186" s="559">
        <f t="shared" si="9"/>
        <v>0.38</v>
      </c>
    </row>
    <row r="187" spans="1:53" x14ac:dyDescent="0.35">
      <c r="A187" s="708"/>
      <c r="B187" s="561" t="s">
        <v>156</v>
      </c>
      <c r="C187" s="878"/>
      <c r="D187" s="878"/>
      <c r="E187" s="878"/>
      <c r="F187" s="878"/>
      <c r="G187" s="878"/>
      <c r="H187" s="878"/>
      <c r="I187" s="878"/>
      <c r="J187" s="878"/>
      <c r="K187" s="878"/>
      <c r="L187" s="878"/>
      <c r="M187" s="878"/>
      <c r="N187" s="878"/>
      <c r="O187" s="878"/>
      <c r="P187" s="878"/>
      <c r="Q187" s="878"/>
      <c r="R187" s="878"/>
      <c r="S187" s="878"/>
      <c r="T187" s="878"/>
      <c r="U187" s="878"/>
      <c r="V187" s="878"/>
      <c r="W187" s="878"/>
      <c r="X187" s="878"/>
      <c r="Y187" s="878"/>
      <c r="Z187" s="878"/>
      <c r="AA187" s="878"/>
      <c r="AB187" s="878"/>
      <c r="AC187" s="878"/>
      <c r="AD187" s="878"/>
      <c r="AE187" s="878">
        <v>0.19</v>
      </c>
      <c r="AF187" s="878">
        <v>0.19</v>
      </c>
      <c r="AG187" s="878">
        <v>0.19</v>
      </c>
      <c r="AH187" s="878">
        <v>0.19</v>
      </c>
      <c r="AI187" s="878">
        <v>0.19</v>
      </c>
      <c r="AJ187" s="878">
        <v>0.19</v>
      </c>
      <c r="AK187" s="878">
        <v>0.19</v>
      </c>
      <c r="AL187" s="878">
        <v>0.19</v>
      </c>
      <c r="AM187" s="878"/>
      <c r="AN187" s="878"/>
      <c r="AO187" s="878"/>
      <c r="AP187" s="878"/>
      <c r="AQ187" s="878"/>
      <c r="AR187" s="878"/>
      <c r="AS187" s="878"/>
      <c r="AT187" s="878"/>
      <c r="AU187" s="878"/>
      <c r="AV187" s="878"/>
      <c r="AW187" s="878"/>
      <c r="AX187" s="878"/>
      <c r="AY187" s="559">
        <v>0.5</v>
      </c>
      <c r="AZ187" s="560">
        <f t="shared" si="8"/>
        <v>0.19</v>
      </c>
      <c r="BA187" s="559">
        <f t="shared" si="9"/>
        <v>0.38</v>
      </c>
    </row>
    <row r="188" spans="1:53" x14ac:dyDescent="0.35">
      <c r="A188" s="708"/>
      <c r="B188" s="561" t="s">
        <v>157</v>
      </c>
      <c r="C188" s="878"/>
      <c r="D188" s="878"/>
      <c r="E188" s="878"/>
      <c r="F188" s="878"/>
      <c r="G188" s="878"/>
      <c r="H188" s="878"/>
      <c r="I188" s="878"/>
      <c r="J188" s="878"/>
      <c r="K188" s="878"/>
      <c r="L188" s="878"/>
      <c r="M188" s="878"/>
      <c r="N188" s="878"/>
      <c r="O188" s="878"/>
      <c r="P188" s="878"/>
      <c r="Q188" s="878"/>
      <c r="R188" s="878"/>
      <c r="S188" s="878"/>
      <c r="T188" s="878"/>
      <c r="U188" s="878"/>
      <c r="V188" s="878"/>
      <c r="W188" s="878"/>
      <c r="X188" s="878"/>
      <c r="Y188" s="878"/>
      <c r="Z188" s="878"/>
      <c r="AA188" s="878"/>
      <c r="AB188" s="878"/>
      <c r="AC188" s="878"/>
      <c r="AD188" s="878"/>
      <c r="AE188" s="878">
        <v>0.18</v>
      </c>
      <c r="AF188" s="878">
        <v>0.18</v>
      </c>
      <c r="AG188" s="878">
        <v>0.18</v>
      </c>
      <c r="AH188" s="878">
        <v>0.18</v>
      </c>
      <c r="AI188" s="878">
        <v>0.18</v>
      </c>
      <c r="AJ188" s="878">
        <v>0.18</v>
      </c>
      <c r="AK188" s="878">
        <v>0.18</v>
      </c>
      <c r="AL188" s="878">
        <v>0.18</v>
      </c>
      <c r="AM188" s="878"/>
      <c r="AN188" s="878"/>
      <c r="AO188" s="878"/>
      <c r="AP188" s="878"/>
      <c r="AQ188" s="878"/>
      <c r="AR188" s="878"/>
      <c r="AS188" s="878"/>
      <c r="AT188" s="878"/>
      <c r="AU188" s="878"/>
      <c r="AV188" s="878"/>
      <c r="AW188" s="878"/>
      <c r="AX188" s="878"/>
      <c r="AY188" s="559">
        <v>0.5</v>
      </c>
      <c r="AZ188" s="560">
        <f t="shared" si="8"/>
        <v>0.18</v>
      </c>
      <c r="BA188" s="559">
        <f t="shared" si="9"/>
        <v>0.36</v>
      </c>
    </row>
    <row r="189" spans="1:53" x14ac:dyDescent="0.35">
      <c r="A189" s="708"/>
      <c r="B189" s="561" t="s">
        <v>158</v>
      </c>
      <c r="C189" s="878"/>
      <c r="D189" s="878"/>
      <c r="E189" s="878"/>
      <c r="F189" s="878"/>
      <c r="G189" s="878"/>
      <c r="H189" s="878"/>
      <c r="I189" s="878"/>
      <c r="J189" s="878"/>
      <c r="K189" s="878"/>
      <c r="L189" s="878"/>
      <c r="M189" s="878"/>
      <c r="N189" s="878"/>
      <c r="O189" s="878"/>
      <c r="P189" s="878"/>
      <c r="Q189" s="878"/>
      <c r="R189" s="878"/>
      <c r="S189" s="878"/>
      <c r="T189" s="878"/>
      <c r="U189" s="878"/>
      <c r="V189" s="878"/>
      <c r="W189" s="878"/>
      <c r="X189" s="878"/>
      <c r="Y189" s="878"/>
      <c r="Z189" s="878"/>
      <c r="AA189" s="878"/>
      <c r="AB189" s="878"/>
      <c r="AC189" s="878"/>
      <c r="AD189" s="878"/>
      <c r="AE189" s="878">
        <v>0</v>
      </c>
      <c r="AF189" s="878">
        <v>0</v>
      </c>
      <c r="AG189" s="878">
        <v>0</v>
      </c>
      <c r="AH189" s="878">
        <v>0</v>
      </c>
      <c r="AI189" s="878">
        <v>0</v>
      </c>
      <c r="AJ189" s="878">
        <v>0</v>
      </c>
      <c r="AK189" s="878">
        <v>0</v>
      </c>
      <c r="AL189" s="878">
        <v>0</v>
      </c>
      <c r="AM189" s="878"/>
      <c r="AN189" s="878"/>
      <c r="AO189" s="878"/>
      <c r="AP189" s="878"/>
      <c r="AQ189" s="878"/>
      <c r="AR189" s="878"/>
      <c r="AS189" s="878"/>
      <c r="AT189" s="878"/>
      <c r="AU189" s="878"/>
      <c r="AV189" s="878"/>
      <c r="AW189" s="878"/>
      <c r="AX189" s="878"/>
      <c r="AY189" s="559">
        <v>0.5</v>
      </c>
      <c r="AZ189" s="560">
        <f t="shared" si="8"/>
        <v>0</v>
      </c>
      <c r="BA189" s="559">
        <f t="shared" si="9"/>
        <v>0</v>
      </c>
    </row>
    <row r="190" spans="1:53" x14ac:dyDescent="0.35">
      <c r="A190" s="708"/>
      <c r="B190" s="561" t="s">
        <v>159</v>
      </c>
      <c r="C190" s="878"/>
      <c r="D190" s="878"/>
      <c r="E190" s="878"/>
      <c r="F190" s="878"/>
      <c r="G190" s="878"/>
      <c r="H190" s="878"/>
      <c r="I190" s="878"/>
      <c r="J190" s="878"/>
      <c r="K190" s="878"/>
      <c r="L190" s="878"/>
      <c r="M190" s="878"/>
      <c r="N190" s="878"/>
      <c r="O190" s="878"/>
      <c r="P190" s="878"/>
      <c r="Q190" s="878"/>
      <c r="R190" s="878"/>
      <c r="S190" s="878"/>
      <c r="T190" s="878"/>
      <c r="U190" s="878"/>
      <c r="V190" s="878"/>
      <c r="W190" s="878"/>
      <c r="X190" s="878"/>
      <c r="Y190" s="878"/>
      <c r="Z190" s="878"/>
      <c r="AA190" s="878"/>
      <c r="AB190" s="878"/>
      <c r="AC190" s="878"/>
      <c r="AD190" s="878"/>
      <c r="AE190" s="878">
        <v>0</v>
      </c>
      <c r="AF190" s="878">
        <v>0</v>
      </c>
      <c r="AG190" s="878">
        <v>0</v>
      </c>
      <c r="AH190" s="878">
        <v>0</v>
      </c>
      <c r="AI190" s="878">
        <v>0</v>
      </c>
      <c r="AJ190" s="878">
        <v>0</v>
      </c>
      <c r="AK190" s="878">
        <v>0</v>
      </c>
      <c r="AL190" s="878">
        <v>0</v>
      </c>
      <c r="AM190" s="878"/>
      <c r="AN190" s="878"/>
      <c r="AO190" s="878"/>
      <c r="AP190" s="878"/>
      <c r="AQ190" s="878"/>
      <c r="AR190" s="878"/>
      <c r="AS190" s="878"/>
      <c r="AT190" s="878"/>
      <c r="AU190" s="878"/>
      <c r="AV190" s="878"/>
      <c r="AW190" s="878"/>
      <c r="AX190" s="878"/>
      <c r="AY190" s="559">
        <v>0.5</v>
      </c>
      <c r="AZ190" s="560">
        <f t="shared" si="8"/>
        <v>0</v>
      </c>
      <c r="BA190" s="559">
        <f t="shared" si="9"/>
        <v>0</v>
      </c>
    </row>
    <row r="191" spans="1:53" x14ac:dyDescent="0.35">
      <c r="A191" s="708"/>
      <c r="B191" s="561" t="s">
        <v>131</v>
      </c>
      <c r="C191" s="878"/>
      <c r="D191" s="878"/>
      <c r="E191" s="878"/>
      <c r="F191" s="878"/>
      <c r="G191" s="878"/>
      <c r="H191" s="878"/>
      <c r="I191" s="878"/>
      <c r="J191" s="878"/>
      <c r="K191" s="878"/>
      <c r="L191" s="878"/>
      <c r="M191" s="878"/>
      <c r="N191" s="878"/>
      <c r="O191" s="878"/>
      <c r="P191" s="878"/>
      <c r="Q191" s="878"/>
      <c r="R191" s="878"/>
      <c r="S191" s="878"/>
      <c r="T191" s="878"/>
      <c r="U191" s="878"/>
      <c r="V191" s="878"/>
      <c r="W191" s="878"/>
      <c r="X191" s="878"/>
      <c r="Y191" s="878"/>
      <c r="Z191" s="878"/>
      <c r="AA191" s="878"/>
      <c r="AB191" s="878"/>
      <c r="AC191" s="878"/>
      <c r="AD191" s="878"/>
      <c r="AE191" s="878">
        <v>0</v>
      </c>
      <c r="AF191" s="878">
        <v>0</v>
      </c>
      <c r="AG191" s="878">
        <v>0</v>
      </c>
      <c r="AH191" s="878">
        <v>0</v>
      </c>
      <c r="AI191" s="878">
        <v>0.12</v>
      </c>
      <c r="AJ191" s="878">
        <v>0.12</v>
      </c>
      <c r="AK191" s="878">
        <v>0.12</v>
      </c>
      <c r="AL191" s="878">
        <v>0.12</v>
      </c>
      <c r="AM191" s="878"/>
      <c r="AN191" s="878"/>
      <c r="AO191" s="878"/>
      <c r="AP191" s="878"/>
      <c r="AQ191" s="878"/>
      <c r="AR191" s="878"/>
      <c r="AS191" s="878"/>
      <c r="AT191" s="878"/>
      <c r="AU191" s="878"/>
      <c r="AV191" s="878"/>
      <c r="AW191" s="878"/>
      <c r="AX191" s="878"/>
      <c r="AY191" s="559">
        <v>0.5</v>
      </c>
      <c r="AZ191" s="560">
        <f t="shared" si="8"/>
        <v>0.12</v>
      </c>
      <c r="BA191" s="559">
        <f t="shared" si="9"/>
        <v>0.12</v>
      </c>
    </row>
    <row r="192" spans="1:53" x14ac:dyDescent="0.35">
      <c r="A192" s="708"/>
      <c r="B192" s="561" t="s">
        <v>121</v>
      </c>
      <c r="C192" s="878"/>
      <c r="D192" s="878"/>
      <c r="E192" s="878"/>
      <c r="F192" s="878"/>
      <c r="G192" s="878"/>
      <c r="H192" s="878"/>
      <c r="I192" s="878"/>
      <c r="J192" s="878"/>
      <c r="K192" s="878"/>
      <c r="L192" s="878"/>
      <c r="M192" s="878"/>
      <c r="N192" s="878"/>
      <c r="O192" s="878"/>
      <c r="P192" s="878"/>
      <c r="Q192" s="878"/>
      <c r="R192" s="878"/>
      <c r="S192" s="878"/>
      <c r="T192" s="878"/>
      <c r="U192" s="878"/>
      <c r="V192" s="878"/>
      <c r="W192" s="878"/>
      <c r="X192" s="878"/>
      <c r="Y192" s="878"/>
      <c r="Z192" s="878"/>
      <c r="AA192" s="878"/>
      <c r="AB192" s="878"/>
      <c r="AC192" s="878"/>
      <c r="AD192" s="878"/>
      <c r="AE192" s="878">
        <v>0.17</v>
      </c>
      <c r="AF192" s="878">
        <v>0.17</v>
      </c>
      <c r="AG192" s="878">
        <v>0.17</v>
      </c>
      <c r="AH192" s="878">
        <v>0.17</v>
      </c>
      <c r="AI192" s="878">
        <v>0.17</v>
      </c>
      <c r="AJ192" s="878">
        <v>0.17</v>
      </c>
      <c r="AK192" s="878">
        <v>0.17</v>
      </c>
      <c r="AL192" s="878">
        <v>0.17</v>
      </c>
      <c r="AM192" s="878"/>
      <c r="AN192" s="878"/>
      <c r="AO192" s="878"/>
      <c r="AP192" s="878"/>
      <c r="AQ192" s="878"/>
      <c r="AR192" s="878"/>
      <c r="AS192" s="878"/>
      <c r="AT192" s="878"/>
      <c r="AU192" s="878"/>
      <c r="AV192" s="878"/>
      <c r="AW192" s="878"/>
      <c r="AX192" s="878"/>
      <c r="AY192" s="559">
        <v>0.5</v>
      </c>
      <c r="AZ192" s="560">
        <f t="shared" si="8"/>
        <v>0.17</v>
      </c>
      <c r="BA192" s="559">
        <f t="shared" si="9"/>
        <v>0.34</v>
      </c>
    </row>
    <row r="193" spans="1:53" x14ac:dyDescent="0.35">
      <c r="A193" s="708" t="str">
        <f>DISTRIBUCIÓN!A87</f>
        <v>Paso 2: Modelación de la calidad del agua y simulación de escenarios</v>
      </c>
      <c r="B193" s="561" t="s">
        <v>302</v>
      </c>
      <c r="C193" s="878"/>
      <c r="D193" s="878"/>
      <c r="E193" s="878"/>
      <c r="F193" s="878"/>
      <c r="G193" s="878"/>
      <c r="H193" s="878"/>
      <c r="I193" s="878"/>
      <c r="J193" s="878"/>
      <c r="K193" s="878"/>
      <c r="L193" s="878"/>
      <c r="M193" s="878"/>
      <c r="N193" s="878"/>
      <c r="O193" s="878"/>
      <c r="P193" s="878"/>
      <c r="Q193" s="878"/>
      <c r="R193" s="878"/>
      <c r="S193" s="878"/>
      <c r="T193" s="878"/>
      <c r="U193" s="878"/>
      <c r="V193" s="878"/>
      <c r="W193" s="878"/>
      <c r="X193" s="878"/>
      <c r="Y193" s="878"/>
      <c r="Z193" s="878"/>
      <c r="AA193" s="878"/>
      <c r="AB193" s="878"/>
      <c r="AC193" s="878"/>
      <c r="AD193" s="878"/>
      <c r="AE193" s="878">
        <v>0.17</v>
      </c>
      <c r="AF193" s="878">
        <v>0.17</v>
      </c>
      <c r="AG193" s="878">
        <v>0.17</v>
      </c>
      <c r="AH193" s="878">
        <v>0.17</v>
      </c>
      <c r="AI193" s="878">
        <v>0.17</v>
      </c>
      <c r="AJ193" s="878">
        <v>0.17</v>
      </c>
      <c r="AK193" s="878">
        <v>0.17</v>
      </c>
      <c r="AL193" s="878">
        <v>0.17</v>
      </c>
      <c r="AM193" s="878"/>
      <c r="AN193" s="878"/>
      <c r="AO193" s="878"/>
      <c r="AP193" s="878"/>
      <c r="AQ193" s="878"/>
      <c r="AR193" s="878"/>
      <c r="AS193" s="878"/>
      <c r="AT193" s="878"/>
      <c r="AU193" s="878"/>
      <c r="AV193" s="878"/>
      <c r="AW193" s="878"/>
      <c r="AX193" s="878"/>
      <c r="AY193" s="559">
        <v>0.5</v>
      </c>
      <c r="AZ193" s="560">
        <f t="shared" si="8"/>
        <v>0.17</v>
      </c>
      <c r="BA193" s="559">
        <f t="shared" si="9"/>
        <v>0.34</v>
      </c>
    </row>
    <row r="194" spans="1:53" x14ac:dyDescent="0.35">
      <c r="A194" s="708"/>
      <c r="B194" s="561" t="s">
        <v>156</v>
      </c>
      <c r="C194" s="878"/>
      <c r="D194" s="878"/>
      <c r="E194" s="878"/>
      <c r="F194" s="878"/>
      <c r="G194" s="878"/>
      <c r="H194" s="878"/>
      <c r="I194" s="878"/>
      <c r="J194" s="878"/>
      <c r="K194" s="878"/>
      <c r="L194" s="878"/>
      <c r="M194" s="878"/>
      <c r="N194" s="878"/>
      <c r="O194" s="878"/>
      <c r="P194" s="878"/>
      <c r="Q194" s="878"/>
      <c r="R194" s="878"/>
      <c r="S194" s="878"/>
      <c r="T194" s="878"/>
      <c r="U194" s="878"/>
      <c r="V194" s="878"/>
      <c r="W194" s="878"/>
      <c r="X194" s="878"/>
      <c r="Y194" s="878"/>
      <c r="Z194" s="878"/>
      <c r="AA194" s="878"/>
      <c r="AB194" s="878"/>
      <c r="AC194" s="878"/>
      <c r="AD194" s="878"/>
      <c r="AE194" s="878">
        <v>0.17</v>
      </c>
      <c r="AF194" s="878">
        <v>0.17</v>
      </c>
      <c r="AG194" s="878">
        <v>0.17</v>
      </c>
      <c r="AH194" s="878">
        <v>0.17</v>
      </c>
      <c r="AI194" s="878">
        <v>0.17</v>
      </c>
      <c r="AJ194" s="878">
        <v>0.17</v>
      </c>
      <c r="AK194" s="878">
        <v>0.17</v>
      </c>
      <c r="AL194" s="878">
        <v>0.17</v>
      </c>
      <c r="AM194" s="878"/>
      <c r="AN194" s="878"/>
      <c r="AO194" s="878"/>
      <c r="AP194" s="878"/>
      <c r="AQ194" s="878"/>
      <c r="AR194" s="878"/>
      <c r="AS194" s="878"/>
      <c r="AT194" s="878"/>
      <c r="AU194" s="878"/>
      <c r="AV194" s="878"/>
      <c r="AW194" s="878"/>
      <c r="AX194" s="878"/>
      <c r="AY194" s="559">
        <v>0.5</v>
      </c>
      <c r="AZ194" s="560">
        <f t="shared" si="8"/>
        <v>0.17</v>
      </c>
      <c r="BA194" s="559">
        <f t="shared" si="9"/>
        <v>0.34</v>
      </c>
    </row>
    <row r="195" spans="1:53" x14ac:dyDescent="0.35">
      <c r="A195" s="708"/>
      <c r="B195" s="561" t="s">
        <v>157</v>
      </c>
      <c r="C195" s="878"/>
      <c r="D195" s="878"/>
      <c r="E195" s="878"/>
      <c r="F195" s="878"/>
      <c r="G195" s="878"/>
      <c r="H195" s="878"/>
      <c r="I195" s="878"/>
      <c r="J195" s="878"/>
      <c r="K195" s="878"/>
      <c r="L195" s="878"/>
      <c r="M195" s="878"/>
      <c r="N195" s="878"/>
      <c r="O195" s="878"/>
      <c r="P195" s="878"/>
      <c r="Q195" s="878"/>
      <c r="R195" s="878"/>
      <c r="S195" s="878"/>
      <c r="T195" s="878"/>
      <c r="U195" s="878"/>
      <c r="V195" s="878"/>
      <c r="W195" s="878"/>
      <c r="X195" s="878"/>
      <c r="Y195" s="878"/>
      <c r="Z195" s="878"/>
      <c r="AA195" s="878"/>
      <c r="AB195" s="878"/>
      <c r="AC195" s="878"/>
      <c r="AD195" s="878"/>
      <c r="AE195" s="878">
        <v>0.15</v>
      </c>
      <c r="AF195" s="878">
        <v>0.15</v>
      </c>
      <c r="AG195" s="878">
        <v>0.15</v>
      </c>
      <c r="AH195" s="878">
        <v>0.15</v>
      </c>
      <c r="AI195" s="878">
        <v>0.15</v>
      </c>
      <c r="AJ195" s="878">
        <v>0.15</v>
      </c>
      <c r="AK195" s="878">
        <v>0.15</v>
      </c>
      <c r="AL195" s="878">
        <v>0.15</v>
      </c>
      <c r="AM195" s="878"/>
      <c r="AN195" s="878"/>
      <c r="AO195" s="878"/>
      <c r="AP195" s="878"/>
      <c r="AQ195" s="878"/>
      <c r="AR195" s="878"/>
      <c r="AS195" s="878"/>
      <c r="AT195" s="878"/>
      <c r="AU195" s="878"/>
      <c r="AV195" s="878"/>
      <c r="AW195" s="878"/>
      <c r="AX195" s="878"/>
      <c r="AY195" s="559">
        <v>0.5</v>
      </c>
      <c r="AZ195" s="560">
        <f t="shared" si="8"/>
        <v>0.15</v>
      </c>
      <c r="BA195" s="559">
        <f t="shared" si="9"/>
        <v>0.3</v>
      </c>
    </row>
    <row r="196" spans="1:53" x14ac:dyDescent="0.35">
      <c r="A196" s="708"/>
      <c r="B196" s="561" t="s">
        <v>158</v>
      </c>
      <c r="C196" s="878"/>
      <c r="D196" s="878"/>
      <c r="E196" s="878"/>
      <c r="F196" s="878"/>
      <c r="G196" s="878"/>
      <c r="H196" s="878"/>
      <c r="I196" s="878"/>
      <c r="J196" s="878"/>
      <c r="K196" s="878"/>
      <c r="L196" s="878"/>
      <c r="M196" s="878"/>
      <c r="N196" s="878"/>
      <c r="O196" s="878"/>
      <c r="P196" s="878"/>
      <c r="Q196" s="878"/>
      <c r="R196" s="878"/>
      <c r="S196" s="878"/>
      <c r="T196" s="878"/>
      <c r="U196" s="878"/>
      <c r="V196" s="878"/>
      <c r="W196" s="878"/>
      <c r="X196" s="878"/>
      <c r="Y196" s="878"/>
      <c r="Z196" s="878"/>
      <c r="AA196" s="878"/>
      <c r="AB196" s="878"/>
      <c r="AC196" s="878"/>
      <c r="AD196" s="878"/>
      <c r="AE196" s="878">
        <v>0</v>
      </c>
      <c r="AF196" s="878">
        <v>0</v>
      </c>
      <c r="AG196" s="878">
        <v>0</v>
      </c>
      <c r="AH196" s="878">
        <v>0</v>
      </c>
      <c r="AI196" s="878">
        <v>0</v>
      </c>
      <c r="AJ196" s="878">
        <v>0</v>
      </c>
      <c r="AK196" s="878">
        <v>0</v>
      </c>
      <c r="AL196" s="878">
        <v>0</v>
      </c>
      <c r="AM196" s="878"/>
      <c r="AN196" s="878"/>
      <c r="AO196" s="878"/>
      <c r="AP196" s="878"/>
      <c r="AQ196" s="878"/>
      <c r="AR196" s="878"/>
      <c r="AS196" s="878"/>
      <c r="AT196" s="878"/>
      <c r="AU196" s="878"/>
      <c r="AV196" s="878"/>
      <c r="AW196" s="878"/>
      <c r="AX196" s="878"/>
      <c r="AY196" s="559">
        <v>0.5</v>
      </c>
      <c r="AZ196" s="560">
        <f t="shared" si="8"/>
        <v>0</v>
      </c>
      <c r="BA196" s="559">
        <f t="shared" si="9"/>
        <v>0</v>
      </c>
    </row>
    <row r="197" spans="1:53" x14ac:dyDescent="0.35">
      <c r="A197" s="708"/>
      <c r="B197" s="561" t="s">
        <v>159</v>
      </c>
      <c r="C197" s="878"/>
      <c r="D197" s="878"/>
      <c r="E197" s="878"/>
      <c r="F197" s="878"/>
      <c r="G197" s="878"/>
      <c r="H197" s="878"/>
      <c r="I197" s="878"/>
      <c r="J197" s="878"/>
      <c r="K197" s="878"/>
      <c r="L197" s="878"/>
      <c r="M197" s="878"/>
      <c r="N197" s="878"/>
      <c r="O197" s="878"/>
      <c r="P197" s="878"/>
      <c r="Q197" s="878"/>
      <c r="R197" s="878"/>
      <c r="S197" s="878"/>
      <c r="T197" s="878"/>
      <c r="U197" s="878"/>
      <c r="V197" s="878"/>
      <c r="W197" s="878"/>
      <c r="X197" s="878"/>
      <c r="Y197" s="878"/>
      <c r="Z197" s="878"/>
      <c r="AA197" s="878"/>
      <c r="AB197" s="878"/>
      <c r="AC197" s="878"/>
      <c r="AD197" s="878"/>
      <c r="AE197" s="878">
        <v>0</v>
      </c>
      <c r="AF197" s="878">
        <v>0</v>
      </c>
      <c r="AG197" s="878">
        <v>0</v>
      </c>
      <c r="AH197" s="878">
        <v>0</v>
      </c>
      <c r="AI197" s="878">
        <v>0</v>
      </c>
      <c r="AJ197" s="878">
        <v>0</v>
      </c>
      <c r="AK197" s="878">
        <v>0</v>
      </c>
      <c r="AL197" s="878">
        <v>0</v>
      </c>
      <c r="AM197" s="878"/>
      <c r="AN197" s="878"/>
      <c r="AO197" s="878"/>
      <c r="AP197" s="878"/>
      <c r="AQ197" s="878"/>
      <c r="AR197" s="878"/>
      <c r="AS197" s="878"/>
      <c r="AT197" s="878"/>
      <c r="AU197" s="878"/>
      <c r="AV197" s="878"/>
      <c r="AW197" s="878"/>
      <c r="AX197" s="878"/>
      <c r="AY197" s="559">
        <v>0.5</v>
      </c>
      <c r="AZ197" s="560">
        <f t="shared" ref="AZ197:AZ246" si="10">IF(COUNTIF(B197:AX197,"&gt;0")=0,0,ROUND(SUM(B197:AX197)/COUNTIF(B197:AX197,"&gt;0"),4))</f>
        <v>0</v>
      </c>
      <c r="BA197" s="559">
        <f t="shared" ref="BA197:BA246" si="11">ROUND(SUM(B197:AX197)/4,2)</f>
        <v>0</v>
      </c>
    </row>
    <row r="198" spans="1:53" x14ac:dyDescent="0.35">
      <c r="A198" s="708"/>
      <c r="B198" s="561" t="s">
        <v>131</v>
      </c>
      <c r="C198" s="878"/>
      <c r="D198" s="878"/>
      <c r="E198" s="878"/>
      <c r="F198" s="878"/>
      <c r="G198" s="878"/>
      <c r="H198" s="878"/>
      <c r="I198" s="878"/>
      <c r="J198" s="878"/>
      <c r="K198" s="878"/>
      <c r="L198" s="878"/>
      <c r="M198" s="878"/>
      <c r="N198" s="878"/>
      <c r="O198" s="878"/>
      <c r="P198" s="878"/>
      <c r="Q198" s="878"/>
      <c r="R198" s="878"/>
      <c r="S198" s="878"/>
      <c r="T198" s="878"/>
      <c r="U198" s="878"/>
      <c r="V198" s="878"/>
      <c r="W198" s="878"/>
      <c r="X198" s="878"/>
      <c r="Y198" s="878"/>
      <c r="Z198" s="878"/>
      <c r="AA198" s="878"/>
      <c r="AB198" s="878"/>
      <c r="AC198" s="878"/>
      <c r="AD198" s="878"/>
      <c r="AE198" s="878">
        <v>0</v>
      </c>
      <c r="AF198" s="878">
        <v>0</v>
      </c>
      <c r="AG198" s="878">
        <v>0</v>
      </c>
      <c r="AH198" s="878">
        <v>0</v>
      </c>
      <c r="AI198" s="878">
        <v>0.12</v>
      </c>
      <c r="AJ198" s="878">
        <v>0.12</v>
      </c>
      <c r="AK198" s="878">
        <v>0.12</v>
      </c>
      <c r="AL198" s="878">
        <v>0.12</v>
      </c>
      <c r="AM198" s="878"/>
      <c r="AN198" s="878"/>
      <c r="AO198" s="878"/>
      <c r="AP198" s="878"/>
      <c r="AQ198" s="878"/>
      <c r="AR198" s="878"/>
      <c r="AS198" s="878"/>
      <c r="AT198" s="878"/>
      <c r="AU198" s="878"/>
      <c r="AV198" s="878"/>
      <c r="AW198" s="878"/>
      <c r="AX198" s="878"/>
      <c r="AY198" s="559">
        <v>0.5</v>
      </c>
      <c r="AZ198" s="560">
        <f t="shared" si="10"/>
        <v>0.12</v>
      </c>
      <c r="BA198" s="559">
        <f t="shared" si="11"/>
        <v>0.12</v>
      </c>
    </row>
    <row r="199" spans="1:53" x14ac:dyDescent="0.35">
      <c r="A199" s="708"/>
      <c r="B199" s="561" t="s">
        <v>121</v>
      </c>
      <c r="C199" s="878"/>
      <c r="D199" s="878"/>
      <c r="E199" s="878"/>
      <c r="F199" s="878"/>
      <c r="G199" s="878"/>
      <c r="H199" s="878"/>
      <c r="I199" s="878"/>
      <c r="J199" s="878"/>
      <c r="K199" s="878"/>
      <c r="L199" s="878"/>
      <c r="M199" s="878"/>
      <c r="N199" s="878"/>
      <c r="O199" s="878"/>
      <c r="P199" s="878"/>
      <c r="Q199" s="878"/>
      <c r="R199" s="878"/>
      <c r="S199" s="878"/>
      <c r="T199" s="878"/>
      <c r="U199" s="878"/>
      <c r="V199" s="878"/>
      <c r="W199" s="878"/>
      <c r="X199" s="878"/>
      <c r="Y199" s="878"/>
      <c r="Z199" s="878"/>
      <c r="AA199" s="878"/>
      <c r="AB199" s="878"/>
      <c r="AC199" s="878"/>
      <c r="AD199" s="878"/>
      <c r="AE199" s="878">
        <v>0.18</v>
      </c>
      <c r="AF199" s="878">
        <v>0.18</v>
      </c>
      <c r="AG199" s="878">
        <v>0.18</v>
      </c>
      <c r="AH199" s="878">
        <v>0.18</v>
      </c>
      <c r="AI199" s="878">
        <v>0.18</v>
      </c>
      <c r="AJ199" s="878">
        <v>0.18</v>
      </c>
      <c r="AK199" s="878">
        <v>0.18</v>
      </c>
      <c r="AL199" s="878">
        <v>0.18</v>
      </c>
      <c r="AM199" s="878"/>
      <c r="AN199" s="878"/>
      <c r="AO199" s="878"/>
      <c r="AP199" s="878"/>
      <c r="AQ199" s="878"/>
      <c r="AR199" s="878"/>
      <c r="AS199" s="878"/>
      <c r="AT199" s="878"/>
      <c r="AU199" s="878"/>
      <c r="AV199" s="878"/>
      <c r="AW199" s="878"/>
      <c r="AX199" s="878"/>
      <c r="AY199" s="559">
        <v>0.5</v>
      </c>
      <c r="AZ199" s="560">
        <f t="shared" si="10"/>
        <v>0.18</v>
      </c>
      <c r="BA199" s="559">
        <f t="shared" si="11"/>
        <v>0.36</v>
      </c>
    </row>
    <row r="200" spans="1:53" x14ac:dyDescent="0.35">
      <c r="A200" s="708" t="str">
        <f>DISTRIBUCIÓN!A88</f>
        <v>Paso 3: Clasificación del cuerpo de agua e identificación de usos potenciales</v>
      </c>
      <c r="B200" s="561" t="s">
        <v>302</v>
      </c>
      <c r="C200" s="878"/>
      <c r="D200" s="878"/>
      <c r="E200" s="878"/>
      <c r="F200" s="878"/>
      <c r="G200" s="878"/>
      <c r="H200" s="878"/>
      <c r="I200" s="878"/>
      <c r="J200" s="878"/>
      <c r="K200" s="878"/>
      <c r="L200" s="878"/>
      <c r="M200" s="878"/>
      <c r="N200" s="878"/>
      <c r="O200" s="878"/>
      <c r="P200" s="878"/>
      <c r="Q200" s="878"/>
      <c r="R200" s="878"/>
      <c r="S200" s="878"/>
      <c r="T200" s="878"/>
      <c r="U200" s="878"/>
      <c r="V200" s="878"/>
      <c r="W200" s="878"/>
      <c r="X200" s="878"/>
      <c r="Y200" s="878"/>
      <c r="Z200" s="878"/>
      <c r="AA200" s="878"/>
      <c r="AB200" s="878"/>
      <c r="AC200" s="878"/>
      <c r="AD200" s="878"/>
      <c r="AE200" s="878">
        <v>0.16</v>
      </c>
      <c r="AF200" s="878">
        <v>0.16</v>
      </c>
      <c r="AG200" s="878">
        <v>0.16</v>
      </c>
      <c r="AH200" s="878">
        <v>0.16</v>
      </c>
      <c r="AI200" s="878">
        <v>0.16</v>
      </c>
      <c r="AJ200" s="878">
        <v>0.16</v>
      </c>
      <c r="AK200" s="878">
        <v>0.16</v>
      </c>
      <c r="AL200" s="878">
        <v>0.16</v>
      </c>
      <c r="AM200" s="878"/>
      <c r="AN200" s="878"/>
      <c r="AO200" s="878"/>
      <c r="AP200" s="878"/>
      <c r="AQ200" s="878"/>
      <c r="AR200" s="878"/>
      <c r="AS200" s="878"/>
      <c r="AT200" s="878"/>
      <c r="AU200" s="878"/>
      <c r="AV200" s="878"/>
      <c r="AW200" s="878"/>
      <c r="AX200" s="878"/>
      <c r="AY200" s="559">
        <v>0.5</v>
      </c>
      <c r="AZ200" s="560">
        <f t="shared" si="10"/>
        <v>0.16</v>
      </c>
      <c r="BA200" s="559">
        <f t="shared" si="11"/>
        <v>0.32</v>
      </c>
    </row>
    <row r="201" spans="1:53" x14ac:dyDescent="0.35">
      <c r="A201" s="708"/>
      <c r="B201" s="561" t="s">
        <v>156</v>
      </c>
      <c r="C201" s="878"/>
      <c r="D201" s="878"/>
      <c r="E201" s="878"/>
      <c r="F201" s="878"/>
      <c r="G201" s="878"/>
      <c r="H201" s="878"/>
      <c r="I201" s="878"/>
      <c r="J201" s="878"/>
      <c r="K201" s="878"/>
      <c r="L201" s="878"/>
      <c r="M201" s="878"/>
      <c r="N201" s="878"/>
      <c r="O201" s="878"/>
      <c r="P201" s="878"/>
      <c r="Q201" s="878"/>
      <c r="R201" s="878"/>
      <c r="S201" s="878"/>
      <c r="T201" s="878"/>
      <c r="U201" s="878"/>
      <c r="V201" s="878"/>
      <c r="W201" s="878"/>
      <c r="X201" s="878"/>
      <c r="Y201" s="878"/>
      <c r="Z201" s="878"/>
      <c r="AA201" s="878"/>
      <c r="AB201" s="878"/>
      <c r="AC201" s="878"/>
      <c r="AD201" s="878"/>
      <c r="AE201" s="878">
        <v>0.16</v>
      </c>
      <c r="AF201" s="878">
        <v>0.16</v>
      </c>
      <c r="AG201" s="878">
        <v>0.16</v>
      </c>
      <c r="AH201" s="878">
        <v>0.16</v>
      </c>
      <c r="AI201" s="878">
        <v>0.16</v>
      </c>
      <c r="AJ201" s="878">
        <v>0.16</v>
      </c>
      <c r="AK201" s="878">
        <v>0.16</v>
      </c>
      <c r="AL201" s="878">
        <v>0.16</v>
      </c>
      <c r="AM201" s="878"/>
      <c r="AN201" s="878"/>
      <c r="AO201" s="878"/>
      <c r="AP201" s="878"/>
      <c r="AQ201" s="878"/>
      <c r="AR201" s="878"/>
      <c r="AS201" s="878"/>
      <c r="AT201" s="878"/>
      <c r="AU201" s="878"/>
      <c r="AV201" s="878"/>
      <c r="AW201" s="878"/>
      <c r="AX201" s="878"/>
      <c r="AY201" s="559">
        <v>0.5</v>
      </c>
      <c r="AZ201" s="560">
        <f t="shared" si="10"/>
        <v>0.16</v>
      </c>
      <c r="BA201" s="559">
        <f t="shared" si="11"/>
        <v>0.32</v>
      </c>
    </row>
    <row r="202" spans="1:53" x14ac:dyDescent="0.35">
      <c r="A202" s="708"/>
      <c r="B202" s="561" t="s">
        <v>157</v>
      </c>
      <c r="C202" s="878"/>
      <c r="D202" s="878"/>
      <c r="E202" s="878"/>
      <c r="F202" s="878"/>
      <c r="G202" s="878"/>
      <c r="H202" s="878"/>
      <c r="I202" s="878"/>
      <c r="J202" s="878"/>
      <c r="K202" s="878"/>
      <c r="L202" s="878"/>
      <c r="M202" s="878"/>
      <c r="N202" s="878"/>
      <c r="O202" s="878"/>
      <c r="P202" s="878"/>
      <c r="Q202" s="878"/>
      <c r="R202" s="878"/>
      <c r="S202" s="878"/>
      <c r="T202" s="878"/>
      <c r="U202" s="878"/>
      <c r="V202" s="878"/>
      <c r="W202" s="878"/>
      <c r="X202" s="878"/>
      <c r="Y202" s="878"/>
      <c r="Z202" s="878"/>
      <c r="AA202" s="878"/>
      <c r="AB202" s="878"/>
      <c r="AC202" s="878"/>
      <c r="AD202" s="878"/>
      <c r="AE202" s="878">
        <v>0.15</v>
      </c>
      <c r="AF202" s="878">
        <v>0.15</v>
      </c>
      <c r="AG202" s="878">
        <v>0.15</v>
      </c>
      <c r="AH202" s="878">
        <v>0.15</v>
      </c>
      <c r="AI202" s="878">
        <v>0.15</v>
      </c>
      <c r="AJ202" s="878">
        <v>0.15</v>
      </c>
      <c r="AK202" s="878">
        <v>0.15</v>
      </c>
      <c r="AL202" s="878">
        <v>0.15</v>
      </c>
      <c r="AM202" s="878"/>
      <c r="AN202" s="878"/>
      <c r="AO202" s="878"/>
      <c r="AP202" s="878"/>
      <c r="AQ202" s="878"/>
      <c r="AR202" s="878"/>
      <c r="AS202" s="878"/>
      <c r="AT202" s="878"/>
      <c r="AU202" s="878"/>
      <c r="AV202" s="878"/>
      <c r="AW202" s="878"/>
      <c r="AX202" s="878"/>
      <c r="AY202" s="559">
        <v>0.5</v>
      </c>
      <c r="AZ202" s="560">
        <f t="shared" si="10"/>
        <v>0.15</v>
      </c>
      <c r="BA202" s="559">
        <f t="shared" si="11"/>
        <v>0.3</v>
      </c>
    </row>
    <row r="203" spans="1:53" x14ac:dyDescent="0.35">
      <c r="A203" s="708"/>
      <c r="B203" s="561" t="s">
        <v>158</v>
      </c>
      <c r="C203" s="878"/>
      <c r="D203" s="878"/>
      <c r="E203" s="878"/>
      <c r="F203" s="878"/>
      <c r="G203" s="878"/>
      <c r="H203" s="878"/>
      <c r="I203" s="878"/>
      <c r="J203" s="878"/>
      <c r="K203" s="878"/>
      <c r="L203" s="878"/>
      <c r="M203" s="878"/>
      <c r="N203" s="878"/>
      <c r="O203" s="878"/>
      <c r="P203" s="878"/>
      <c r="Q203" s="878"/>
      <c r="R203" s="878"/>
      <c r="S203" s="878"/>
      <c r="T203" s="878"/>
      <c r="U203" s="878"/>
      <c r="V203" s="878"/>
      <c r="W203" s="878"/>
      <c r="X203" s="878"/>
      <c r="Y203" s="878"/>
      <c r="Z203" s="878"/>
      <c r="AA203" s="878"/>
      <c r="AB203" s="878"/>
      <c r="AC203" s="878"/>
      <c r="AD203" s="878"/>
      <c r="AE203" s="878">
        <v>0</v>
      </c>
      <c r="AF203" s="878">
        <v>0</v>
      </c>
      <c r="AG203" s="878">
        <v>0</v>
      </c>
      <c r="AH203" s="878">
        <v>0</v>
      </c>
      <c r="AI203" s="878">
        <v>0</v>
      </c>
      <c r="AJ203" s="878">
        <v>0</v>
      </c>
      <c r="AK203" s="878">
        <v>0</v>
      </c>
      <c r="AL203" s="878">
        <v>0</v>
      </c>
      <c r="AM203" s="878"/>
      <c r="AN203" s="878"/>
      <c r="AO203" s="878"/>
      <c r="AP203" s="878"/>
      <c r="AQ203" s="878"/>
      <c r="AR203" s="878"/>
      <c r="AS203" s="878"/>
      <c r="AT203" s="878"/>
      <c r="AU203" s="878"/>
      <c r="AV203" s="878"/>
      <c r="AW203" s="878"/>
      <c r="AX203" s="878"/>
      <c r="AY203" s="559">
        <v>0.5</v>
      </c>
      <c r="AZ203" s="560">
        <f t="shared" si="10"/>
        <v>0</v>
      </c>
      <c r="BA203" s="559">
        <f t="shared" si="11"/>
        <v>0</v>
      </c>
    </row>
    <row r="204" spans="1:53" x14ac:dyDescent="0.35">
      <c r="A204" s="708"/>
      <c r="B204" s="561" t="s">
        <v>159</v>
      </c>
      <c r="C204" s="878"/>
      <c r="D204" s="878"/>
      <c r="E204" s="878"/>
      <c r="F204" s="878"/>
      <c r="G204" s="878"/>
      <c r="H204" s="878"/>
      <c r="I204" s="878"/>
      <c r="J204" s="878"/>
      <c r="K204" s="878"/>
      <c r="L204" s="878"/>
      <c r="M204" s="878"/>
      <c r="N204" s="878"/>
      <c r="O204" s="878"/>
      <c r="P204" s="878"/>
      <c r="Q204" s="878"/>
      <c r="R204" s="878"/>
      <c r="S204" s="878"/>
      <c r="T204" s="878"/>
      <c r="U204" s="878"/>
      <c r="V204" s="878"/>
      <c r="W204" s="878"/>
      <c r="X204" s="878"/>
      <c r="Y204" s="878"/>
      <c r="Z204" s="878"/>
      <c r="AA204" s="878"/>
      <c r="AB204" s="878"/>
      <c r="AC204" s="878"/>
      <c r="AD204" s="878"/>
      <c r="AE204" s="878">
        <v>0</v>
      </c>
      <c r="AF204" s="878">
        <v>0</v>
      </c>
      <c r="AG204" s="878">
        <v>0</v>
      </c>
      <c r="AH204" s="878">
        <v>0</v>
      </c>
      <c r="AI204" s="878">
        <v>0</v>
      </c>
      <c r="AJ204" s="878">
        <v>0</v>
      </c>
      <c r="AK204" s="878">
        <v>0</v>
      </c>
      <c r="AL204" s="878">
        <v>0</v>
      </c>
      <c r="AM204" s="878"/>
      <c r="AN204" s="878"/>
      <c r="AO204" s="878"/>
      <c r="AP204" s="878"/>
      <c r="AQ204" s="878"/>
      <c r="AR204" s="878"/>
      <c r="AS204" s="878"/>
      <c r="AT204" s="878"/>
      <c r="AU204" s="878"/>
      <c r="AV204" s="878"/>
      <c r="AW204" s="878"/>
      <c r="AX204" s="878"/>
      <c r="AY204" s="559">
        <v>0.5</v>
      </c>
      <c r="AZ204" s="560">
        <f t="shared" si="10"/>
        <v>0</v>
      </c>
      <c r="BA204" s="559">
        <f t="shared" si="11"/>
        <v>0</v>
      </c>
    </row>
    <row r="205" spans="1:53" x14ac:dyDescent="0.35">
      <c r="A205" s="708"/>
      <c r="B205" s="561" t="s">
        <v>131</v>
      </c>
      <c r="C205" s="878"/>
      <c r="D205" s="878"/>
      <c r="E205" s="878"/>
      <c r="F205" s="878"/>
      <c r="G205" s="878"/>
      <c r="H205" s="878"/>
      <c r="I205" s="878"/>
      <c r="J205" s="878"/>
      <c r="K205" s="878"/>
      <c r="L205" s="878"/>
      <c r="M205" s="878"/>
      <c r="N205" s="878"/>
      <c r="O205" s="878"/>
      <c r="P205" s="878"/>
      <c r="Q205" s="878"/>
      <c r="R205" s="878"/>
      <c r="S205" s="878"/>
      <c r="T205" s="878"/>
      <c r="U205" s="878"/>
      <c r="V205" s="878"/>
      <c r="W205" s="878"/>
      <c r="X205" s="878"/>
      <c r="Y205" s="878"/>
      <c r="Z205" s="878"/>
      <c r="AA205" s="878"/>
      <c r="AB205" s="878"/>
      <c r="AC205" s="878"/>
      <c r="AD205" s="878"/>
      <c r="AE205" s="878">
        <v>0</v>
      </c>
      <c r="AF205" s="878">
        <v>0</v>
      </c>
      <c r="AG205" s="878">
        <v>0</v>
      </c>
      <c r="AH205" s="878">
        <v>0</v>
      </c>
      <c r="AI205" s="878">
        <v>0.12</v>
      </c>
      <c r="AJ205" s="878">
        <v>0.12</v>
      </c>
      <c r="AK205" s="878">
        <v>0.12</v>
      </c>
      <c r="AL205" s="878">
        <v>0.12</v>
      </c>
      <c r="AM205" s="878"/>
      <c r="AN205" s="878"/>
      <c r="AO205" s="878"/>
      <c r="AP205" s="878"/>
      <c r="AQ205" s="878"/>
      <c r="AR205" s="878"/>
      <c r="AS205" s="878"/>
      <c r="AT205" s="878"/>
      <c r="AU205" s="878"/>
      <c r="AV205" s="878"/>
      <c r="AW205" s="878"/>
      <c r="AX205" s="878"/>
      <c r="AY205" s="559">
        <v>0.5</v>
      </c>
      <c r="AZ205" s="560">
        <f t="shared" si="10"/>
        <v>0.12</v>
      </c>
      <c r="BA205" s="559">
        <f t="shared" si="11"/>
        <v>0.12</v>
      </c>
    </row>
    <row r="206" spans="1:53" x14ac:dyDescent="0.35">
      <c r="A206" s="708"/>
      <c r="B206" s="561" t="s">
        <v>121</v>
      </c>
      <c r="C206" s="878"/>
      <c r="D206" s="878"/>
      <c r="E206" s="878"/>
      <c r="F206" s="878"/>
      <c r="G206" s="878"/>
      <c r="H206" s="878"/>
      <c r="I206" s="878"/>
      <c r="J206" s="878"/>
      <c r="K206" s="878"/>
      <c r="L206" s="878"/>
      <c r="M206" s="878"/>
      <c r="N206" s="878"/>
      <c r="O206" s="878"/>
      <c r="P206" s="878"/>
      <c r="Q206" s="878"/>
      <c r="R206" s="878"/>
      <c r="S206" s="878"/>
      <c r="T206" s="878"/>
      <c r="U206" s="878"/>
      <c r="V206" s="878"/>
      <c r="W206" s="878"/>
      <c r="X206" s="878"/>
      <c r="Y206" s="878"/>
      <c r="Z206" s="878"/>
      <c r="AA206" s="878"/>
      <c r="AB206" s="878"/>
      <c r="AC206" s="878"/>
      <c r="AD206" s="878"/>
      <c r="AE206" s="878">
        <v>0.17</v>
      </c>
      <c r="AF206" s="878">
        <v>0.17</v>
      </c>
      <c r="AG206" s="878">
        <v>0.17</v>
      </c>
      <c r="AH206" s="878">
        <v>0.17</v>
      </c>
      <c r="AI206" s="878">
        <v>0.17</v>
      </c>
      <c r="AJ206" s="878">
        <v>0.17</v>
      </c>
      <c r="AK206" s="878">
        <v>0.17</v>
      </c>
      <c r="AL206" s="878">
        <v>0.17</v>
      </c>
      <c r="AM206" s="878"/>
      <c r="AN206" s="878"/>
      <c r="AO206" s="878"/>
      <c r="AP206" s="878"/>
      <c r="AQ206" s="878"/>
      <c r="AR206" s="878"/>
      <c r="AS206" s="878"/>
      <c r="AT206" s="878"/>
      <c r="AU206" s="878"/>
      <c r="AV206" s="878"/>
      <c r="AW206" s="878"/>
      <c r="AX206" s="878"/>
      <c r="AY206" s="559">
        <v>0.5</v>
      </c>
      <c r="AZ206" s="560">
        <f t="shared" si="10"/>
        <v>0.17</v>
      </c>
      <c r="BA206" s="559">
        <f t="shared" si="11"/>
        <v>0.34</v>
      </c>
    </row>
    <row r="207" spans="1:53" x14ac:dyDescent="0.35">
      <c r="A207" s="708" t="str">
        <f>DISTRIBUCIÓN!A89</f>
        <v>Paso 4. Estimación cualitativa de riesgos asociados a reducción de la oferta y disponibilidad del recurso hídrico</v>
      </c>
      <c r="B207" s="561" t="s">
        <v>302</v>
      </c>
      <c r="C207" s="878"/>
      <c r="D207" s="878"/>
      <c r="E207" s="878"/>
      <c r="F207" s="878"/>
      <c r="G207" s="878"/>
      <c r="H207" s="878"/>
      <c r="I207" s="878"/>
      <c r="J207" s="878"/>
      <c r="K207" s="878"/>
      <c r="L207" s="878"/>
      <c r="M207" s="878"/>
      <c r="N207" s="878"/>
      <c r="O207" s="878"/>
      <c r="P207" s="878"/>
      <c r="Q207" s="878"/>
      <c r="R207" s="878"/>
      <c r="S207" s="878"/>
      <c r="T207" s="878"/>
      <c r="U207" s="878"/>
      <c r="V207" s="878"/>
      <c r="W207" s="878"/>
      <c r="X207" s="878"/>
      <c r="Y207" s="878"/>
      <c r="Z207" s="878"/>
      <c r="AA207" s="878"/>
      <c r="AB207" s="878"/>
      <c r="AC207" s="878"/>
      <c r="AD207" s="878"/>
      <c r="AE207" s="878">
        <v>0.17</v>
      </c>
      <c r="AF207" s="878">
        <v>0.17</v>
      </c>
      <c r="AG207" s="878">
        <v>0.17</v>
      </c>
      <c r="AH207" s="878">
        <v>0.17</v>
      </c>
      <c r="AI207" s="878">
        <v>0.17</v>
      </c>
      <c r="AJ207" s="878">
        <v>0.17</v>
      </c>
      <c r="AK207" s="878">
        <v>0.17</v>
      </c>
      <c r="AL207" s="878">
        <v>0.17</v>
      </c>
      <c r="AM207" s="878"/>
      <c r="AN207" s="878"/>
      <c r="AO207" s="878"/>
      <c r="AP207" s="878"/>
      <c r="AQ207" s="878"/>
      <c r="AR207" s="878"/>
      <c r="AS207" s="878"/>
      <c r="AT207" s="878"/>
      <c r="AU207" s="878"/>
      <c r="AV207" s="878"/>
      <c r="AW207" s="878"/>
      <c r="AX207" s="878"/>
      <c r="AY207" s="559">
        <v>0.5</v>
      </c>
      <c r="AZ207" s="560">
        <f t="shared" si="10"/>
        <v>0.17</v>
      </c>
      <c r="BA207" s="559">
        <f t="shared" si="11"/>
        <v>0.34</v>
      </c>
    </row>
    <row r="208" spans="1:53" x14ac:dyDescent="0.35">
      <c r="A208" s="708"/>
      <c r="B208" s="561" t="s">
        <v>156</v>
      </c>
      <c r="C208" s="878"/>
      <c r="D208" s="878"/>
      <c r="E208" s="878"/>
      <c r="F208" s="878"/>
      <c r="G208" s="878"/>
      <c r="H208" s="878"/>
      <c r="I208" s="878"/>
      <c r="J208" s="878"/>
      <c r="K208" s="878"/>
      <c r="L208" s="878"/>
      <c r="M208" s="878"/>
      <c r="N208" s="878"/>
      <c r="O208" s="878"/>
      <c r="P208" s="878"/>
      <c r="Q208" s="878"/>
      <c r="R208" s="878"/>
      <c r="S208" s="878"/>
      <c r="T208" s="878"/>
      <c r="U208" s="878"/>
      <c r="V208" s="878"/>
      <c r="W208" s="878"/>
      <c r="X208" s="878"/>
      <c r="Y208" s="878"/>
      <c r="Z208" s="878"/>
      <c r="AA208" s="878"/>
      <c r="AB208" s="878"/>
      <c r="AC208" s="878"/>
      <c r="AD208" s="878"/>
      <c r="AE208" s="878">
        <v>0.17</v>
      </c>
      <c r="AF208" s="878">
        <v>0.17</v>
      </c>
      <c r="AG208" s="878">
        <v>0.17</v>
      </c>
      <c r="AH208" s="878">
        <v>0.17</v>
      </c>
      <c r="AI208" s="878">
        <v>0.17</v>
      </c>
      <c r="AJ208" s="878">
        <v>0.17</v>
      </c>
      <c r="AK208" s="878">
        <v>0.17</v>
      </c>
      <c r="AL208" s="878">
        <v>0.17</v>
      </c>
      <c r="AM208" s="878"/>
      <c r="AN208" s="878"/>
      <c r="AO208" s="878"/>
      <c r="AP208" s="878"/>
      <c r="AQ208" s="878"/>
      <c r="AR208" s="878"/>
      <c r="AS208" s="878"/>
      <c r="AT208" s="878"/>
      <c r="AU208" s="878"/>
      <c r="AV208" s="878"/>
      <c r="AW208" s="878"/>
      <c r="AX208" s="878"/>
      <c r="AY208" s="559">
        <v>0.5</v>
      </c>
      <c r="AZ208" s="560">
        <f t="shared" si="10"/>
        <v>0.17</v>
      </c>
      <c r="BA208" s="559">
        <f t="shared" si="11"/>
        <v>0.34</v>
      </c>
    </row>
    <row r="209" spans="1:53" x14ac:dyDescent="0.35">
      <c r="A209" s="708"/>
      <c r="B209" s="561" t="s">
        <v>157</v>
      </c>
      <c r="C209" s="878"/>
      <c r="D209" s="878"/>
      <c r="E209" s="878"/>
      <c r="F209" s="878"/>
      <c r="G209" s="878"/>
      <c r="H209" s="878"/>
      <c r="I209" s="878"/>
      <c r="J209" s="878"/>
      <c r="K209" s="878"/>
      <c r="L209" s="878"/>
      <c r="M209" s="878"/>
      <c r="N209" s="878"/>
      <c r="O209" s="878"/>
      <c r="P209" s="878"/>
      <c r="Q209" s="878"/>
      <c r="R209" s="878"/>
      <c r="S209" s="878"/>
      <c r="T209" s="878"/>
      <c r="U209" s="878"/>
      <c r="V209" s="878"/>
      <c r="W209" s="878"/>
      <c r="X209" s="878"/>
      <c r="Y209" s="878"/>
      <c r="Z209" s="878"/>
      <c r="AA209" s="878"/>
      <c r="AB209" s="878"/>
      <c r="AC209" s="878"/>
      <c r="AD209" s="878"/>
      <c r="AE209" s="878">
        <v>0.12</v>
      </c>
      <c r="AF209" s="878">
        <v>0.12</v>
      </c>
      <c r="AG209" s="878">
        <v>0.12</v>
      </c>
      <c r="AH209" s="878">
        <v>0.12</v>
      </c>
      <c r="AI209" s="878">
        <v>0.12</v>
      </c>
      <c r="AJ209" s="878">
        <v>0.12</v>
      </c>
      <c r="AK209" s="878">
        <v>0.12</v>
      </c>
      <c r="AL209" s="878">
        <v>0.12</v>
      </c>
      <c r="AM209" s="878"/>
      <c r="AN209" s="878"/>
      <c r="AO209" s="878"/>
      <c r="AP209" s="878"/>
      <c r="AQ209" s="878"/>
      <c r="AR209" s="878"/>
      <c r="AS209" s="878"/>
      <c r="AT209" s="878"/>
      <c r="AU209" s="878"/>
      <c r="AV209" s="878"/>
      <c r="AW209" s="878"/>
      <c r="AX209" s="878"/>
      <c r="AY209" s="559">
        <v>0.5</v>
      </c>
      <c r="AZ209" s="560">
        <f t="shared" si="10"/>
        <v>0.12</v>
      </c>
      <c r="BA209" s="559">
        <f t="shared" si="11"/>
        <v>0.24</v>
      </c>
    </row>
    <row r="210" spans="1:53" x14ac:dyDescent="0.35">
      <c r="A210" s="708"/>
      <c r="B210" s="561" t="s">
        <v>158</v>
      </c>
      <c r="C210" s="878"/>
      <c r="D210" s="878"/>
      <c r="E210" s="878"/>
      <c r="F210" s="878"/>
      <c r="G210" s="878"/>
      <c r="H210" s="878"/>
      <c r="I210" s="878"/>
      <c r="J210" s="878"/>
      <c r="K210" s="878"/>
      <c r="L210" s="878"/>
      <c r="M210" s="878"/>
      <c r="N210" s="878"/>
      <c r="O210" s="878"/>
      <c r="P210" s="878"/>
      <c r="Q210" s="878"/>
      <c r="R210" s="878"/>
      <c r="S210" s="878"/>
      <c r="T210" s="878"/>
      <c r="U210" s="878"/>
      <c r="V210" s="878"/>
      <c r="W210" s="878"/>
      <c r="X210" s="878"/>
      <c r="Y210" s="878"/>
      <c r="Z210" s="878"/>
      <c r="AA210" s="878"/>
      <c r="AB210" s="878"/>
      <c r="AC210" s="878"/>
      <c r="AD210" s="878"/>
      <c r="AE210" s="878">
        <v>0</v>
      </c>
      <c r="AF210" s="878">
        <v>0</v>
      </c>
      <c r="AG210" s="878">
        <v>0</v>
      </c>
      <c r="AH210" s="878">
        <v>0</v>
      </c>
      <c r="AI210" s="878">
        <v>0</v>
      </c>
      <c r="AJ210" s="878">
        <v>0</v>
      </c>
      <c r="AK210" s="878">
        <v>0</v>
      </c>
      <c r="AL210" s="878">
        <v>0</v>
      </c>
      <c r="AM210" s="878"/>
      <c r="AN210" s="878"/>
      <c r="AO210" s="878"/>
      <c r="AP210" s="878"/>
      <c r="AQ210" s="878"/>
      <c r="AR210" s="878"/>
      <c r="AS210" s="878"/>
      <c r="AT210" s="878"/>
      <c r="AU210" s="878"/>
      <c r="AV210" s="878"/>
      <c r="AW210" s="878"/>
      <c r="AX210" s="878"/>
      <c r="AY210" s="559">
        <v>0.5</v>
      </c>
      <c r="AZ210" s="560">
        <f t="shared" si="10"/>
        <v>0</v>
      </c>
      <c r="BA210" s="559">
        <f t="shared" si="11"/>
        <v>0</v>
      </c>
    </row>
    <row r="211" spans="1:53" x14ac:dyDescent="0.35">
      <c r="A211" s="708"/>
      <c r="B211" s="561" t="s">
        <v>159</v>
      </c>
      <c r="C211" s="878"/>
      <c r="D211" s="878"/>
      <c r="E211" s="878"/>
      <c r="F211" s="878"/>
      <c r="G211" s="878"/>
      <c r="H211" s="878"/>
      <c r="I211" s="878"/>
      <c r="J211" s="878"/>
      <c r="K211" s="878"/>
      <c r="L211" s="878"/>
      <c r="M211" s="878"/>
      <c r="N211" s="878"/>
      <c r="O211" s="878"/>
      <c r="P211" s="878"/>
      <c r="Q211" s="878"/>
      <c r="R211" s="878"/>
      <c r="S211" s="878"/>
      <c r="T211" s="878"/>
      <c r="U211" s="878"/>
      <c r="V211" s="878"/>
      <c r="W211" s="878"/>
      <c r="X211" s="878"/>
      <c r="Y211" s="878"/>
      <c r="Z211" s="878"/>
      <c r="AA211" s="878"/>
      <c r="AB211" s="878"/>
      <c r="AC211" s="878"/>
      <c r="AD211" s="878"/>
      <c r="AE211" s="878">
        <v>0</v>
      </c>
      <c r="AF211" s="878">
        <v>0</v>
      </c>
      <c r="AG211" s="878">
        <v>0</v>
      </c>
      <c r="AH211" s="878">
        <v>0</v>
      </c>
      <c r="AI211" s="878">
        <v>0</v>
      </c>
      <c r="AJ211" s="878">
        <v>0</v>
      </c>
      <c r="AK211" s="878">
        <v>0</v>
      </c>
      <c r="AL211" s="878">
        <v>0</v>
      </c>
      <c r="AM211" s="878"/>
      <c r="AN211" s="878"/>
      <c r="AO211" s="878"/>
      <c r="AP211" s="878"/>
      <c r="AQ211" s="878"/>
      <c r="AR211" s="878"/>
      <c r="AS211" s="878"/>
      <c r="AT211" s="878"/>
      <c r="AU211" s="878"/>
      <c r="AV211" s="878"/>
      <c r="AW211" s="878"/>
      <c r="AX211" s="878"/>
      <c r="AY211" s="559">
        <v>0.5</v>
      </c>
      <c r="AZ211" s="560">
        <f t="shared" si="10"/>
        <v>0</v>
      </c>
      <c r="BA211" s="559">
        <f t="shared" si="11"/>
        <v>0</v>
      </c>
    </row>
    <row r="212" spans="1:53" x14ac:dyDescent="0.35">
      <c r="A212" s="708"/>
      <c r="B212" s="561" t="s">
        <v>131</v>
      </c>
      <c r="C212" s="878"/>
      <c r="D212" s="878"/>
      <c r="E212" s="878"/>
      <c r="F212" s="878"/>
      <c r="G212" s="878"/>
      <c r="H212" s="878"/>
      <c r="I212" s="878"/>
      <c r="J212" s="878"/>
      <c r="K212" s="878"/>
      <c r="L212" s="878"/>
      <c r="M212" s="878"/>
      <c r="N212" s="878"/>
      <c r="O212" s="878"/>
      <c r="P212" s="878"/>
      <c r="Q212" s="878"/>
      <c r="R212" s="878"/>
      <c r="S212" s="878"/>
      <c r="T212" s="878"/>
      <c r="U212" s="878"/>
      <c r="V212" s="878"/>
      <c r="W212" s="878"/>
      <c r="X212" s="878"/>
      <c r="Y212" s="878"/>
      <c r="Z212" s="878"/>
      <c r="AA212" s="878"/>
      <c r="AB212" s="878"/>
      <c r="AC212" s="878"/>
      <c r="AD212" s="878"/>
      <c r="AE212" s="878">
        <v>0</v>
      </c>
      <c r="AF212" s="878">
        <v>0</v>
      </c>
      <c r="AG212" s="878">
        <v>0</v>
      </c>
      <c r="AH212" s="878">
        <v>0</v>
      </c>
      <c r="AI212" s="878">
        <v>0.12</v>
      </c>
      <c r="AJ212" s="878">
        <v>0.12</v>
      </c>
      <c r="AK212" s="878">
        <v>0.12</v>
      </c>
      <c r="AL212" s="878">
        <v>0.12</v>
      </c>
      <c r="AM212" s="878"/>
      <c r="AN212" s="878"/>
      <c r="AO212" s="878"/>
      <c r="AP212" s="878"/>
      <c r="AQ212" s="878"/>
      <c r="AR212" s="878"/>
      <c r="AS212" s="878"/>
      <c r="AT212" s="878"/>
      <c r="AU212" s="878"/>
      <c r="AV212" s="878"/>
      <c r="AW212" s="878"/>
      <c r="AX212" s="878"/>
      <c r="AY212" s="559">
        <v>0.5</v>
      </c>
      <c r="AZ212" s="560">
        <f t="shared" si="10"/>
        <v>0.12</v>
      </c>
      <c r="BA212" s="559">
        <f t="shared" si="11"/>
        <v>0.12</v>
      </c>
    </row>
    <row r="213" spans="1:53" x14ac:dyDescent="0.35">
      <c r="A213" s="708"/>
      <c r="B213" s="561" t="s">
        <v>121</v>
      </c>
      <c r="C213" s="878"/>
      <c r="D213" s="878"/>
      <c r="E213" s="878"/>
      <c r="F213" s="878"/>
      <c r="G213" s="878"/>
      <c r="H213" s="878"/>
      <c r="I213" s="878"/>
      <c r="J213" s="878"/>
      <c r="K213" s="878"/>
      <c r="L213" s="878"/>
      <c r="M213" s="878"/>
      <c r="N213" s="878"/>
      <c r="O213" s="878"/>
      <c r="P213" s="878"/>
      <c r="Q213" s="878"/>
      <c r="R213" s="878"/>
      <c r="S213" s="878"/>
      <c r="T213" s="878"/>
      <c r="U213" s="878"/>
      <c r="V213" s="878"/>
      <c r="W213" s="878"/>
      <c r="X213" s="878"/>
      <c r="Y213" s="878"/>
      <c r="Z213" s="878"/>
      <c r="AA213" s="878"/>
      <c r="AB213" s="878"/>
      <c r="AC213" s="878"/>
      <c r="AD213" s="878"/>
      <c r="AE213" s="878">
        <v>0.18</v>
      </c>
      <c r="AF213" s="878">
        <v>0.18</v>
      </c>
      <c r="AG213" s="878">
        <v>0.18</v>
      </c>
      <c r="AH213" s="878">
        <v>0.18</v>
      </c>
      <c r="AI213" s="878">
        <v>0.18</v>
      </c>
      <c r="AJ213" s="878">
        <v>0.18</v>
      </c>
      <c r="AK213" s="878">
        <v>0.18</v>
      </c>
      <c r="AL213" s="878">
        <v>0.18</v>
      </c>
      <c r="AM213" s="878"/>
      <c r="AN213" s="878"/>
      <c r="AO213" s="878"/>
      <c r="AP213" s="878"/>
      <c r="AQ213" s="878"/>
      <c r="AR213" s="878"/>
      <c r="AS213" s="878"/>
      <c r="AT213" s="878"/>
      <c r="AU213" s="878"/>
      <c r="AV213" s="878"/>
      <c r="AW213" s="878"/>
      <c r="AX213" s="878"/>
      <c r="AY213" s="559">
        <v>0.5</v>
      </c>
      <c r="AZ213" s="560">
        <f t="shared" si="10"/>
        <v>0.18</v>
      </c>
      <c r="BA213" s="559">
        <f t="shared" si="11"/>
        <v>0.36</v>
      </c>
    </row>
    <row r="214" spans="1:53" x14ac:dyDescent="0.35">
      <c r="A214" s="708" t="str">
        <f>DISTRIBUCIÓN!A90</f>
        <v>Paso 5. Socialización de los resultados de la fase de Usos Potenciales</v>
      </c>
      <c r="B214" s="561" t="s">
        <v>302</v>
      </c>
      <c r="C214" s="878"/>
      <c r="D214" s="878"/>
      <c r="E214" s="878"/>
      <c r="F214" s="878"/>
      <c r="G214" s="878"/>
      <c r="H214" s="878"/>
      <c r="I214" s="878"/>
      <c r="J214" s="878"/>
      <c r="K214" s="878"/>
      <c r="L214" s="878"/>
      <c r="M214" s="878"/>
      <c r="N214" s="878"/>
      <c r="O214" s="878"/>
      <c r="P214" s="878"/>
      <c r="Q214" s="878"/>
      <c r="R214" s="878"/>
      <c r="S214" s="878"/>
      <c r="T214" s="878"/>
      <c r="U214" s="878"/>
      <c r="V214" s="878"/>
      <c r="W214" s="878"/>
      <c r="X214" s="878"/>
      <c r="Y214" s="878"/>
      <c r="Z214" s="878"/>
      <c r="AA214" s="878"/>
      <c r="AB214" s="878"/>
      <c r="AC214" s="878"/>
      <c r="AD214" s="878"/>
      <c r="AE214" s="878"/>
      <c r="AF214" s="878"/>
      <c r="AG214" s="878"/>
      <c r="AH214" s="878"/>
      <c r="AI214" s="878">
        <v>0.01</v>
      </c>
      <c r="AJ214" s="878">
        <v>0.01</v>
      </c>
      <c r="AK214" s="878">
        <v>0.01</v>
      </c>
      <c r="AL214" s="878">
        <v>0.01</v>
      </c>
      <c r="AM214" s="878"/>
      <c r="AN214" s="878"/>
      <c r="AO214" s="878"/>
      <c r="AP214" s="878"/>
      <c r="AQ214" s="878"/>
      <c r="AR214" s="878"/>
      <c r="AS214" s="878"/>
      <c r="AT214" s="878"/>
      <c r="AU214" s="878"/>
      <c r="AV214" s="878"/>
      <c r="AW214" s="878"/>
      <c r="AX214" s="878"/>
      <c r="AY214" s="559">
        <v>1</v>
      </c>
      <c r="AZ214" s="560">
        <f t="shared" si="10"/>
        <v>0.01</v>
      </c>
      <c r="BA214" s="559">
        <f t="shared" si="11"/>
        <v>0.01</v>
      </c>
    </row>
    <row r="215" spans="1:53" x14ac:dyDescent="0.35">
      <c r="A215" s="708"/>
      <c r="B215" s="561" t="s">
        <v>156</v>
      </c>
      <c r="C215" s="878"/>
      <c r="D215" s="878"/>
      <c r="E215" s="878"/>
      <c r="F215" s="878"/>
      <c r="G215" s="878"/>
      <c r="H215" s="878"/>
      <c r="I215" s="878"/>
      <c r="J215" s="878"/>
      <c r="K215" s="878"/>
      <c r="L215" s="878"/>
      <c r="M215" s="878"/>
      <c r="N215" s="878"/>
      <c r="O215" s="878"/>
      <c r="P215" s="878"/>
      <c r="Q215" s="878"/>
      <c r="R215" s="878"/>
      <c r="S215" s="878"/>
      <c r="T215" s="878"/>
      <c r="U215" s="878"/>
      <c r="V215" s="878"/>
      <c r="W215" s="878"/>
      <c r="X215" s="878"/>
      <c r="Y215" s="878"/>
      <c r="Z215" s="878"/>
      <c r="AA215" s="878"/>
      <c r="AB215" s="878"/>
      <c r="AC215" s="878"/>
      <c r="AD215" s="878"/>
      <c r="AE215" s="878"/>
      <c r="AF215" s="878"/>
      <c r="AG215" s="878"/>
      <c r="AH215" s="878"/>
      <c r="AI215" s="878">
        <v>0.01</v>
      </c>
      <c r="AJ215" s="878">
        <v>0.01</v>
      </c>
      <c r="AK215" s="878">
        <v>0.01</v>
      </c>
      <c r="AL215" s="878">
        <v>0.01</v>
      </c>
      <c r="AM215" s="878"/>
      <c r="AN215" s="878"/>
      <c r="AO215" s="878"/>
      <c r="AP215" s="878"/>
      <c r="AQ215" s="878"/>
      <c r="AR215" s="878"/>
      <c r="AS215" s="878"/>
      <c r="AT215" s="878"/>
      <c r="AU215" s="878"/>
      <c r="AV215" s="878"/>
      <c r="AW215" s="878"/>
      <c r="AX215" s="878"/>
      <c r="AY215" s="559">
        <v>1</v>
      </c>
      <c r="AZ215" s="560">
        <f t="shared" si="10"/>
        <v>0.01</v>
      </c>
      <c r="BA215" s="559">
        <f t="shared" si="11"/>
        <v>0.01</v>
      </c>
    </row>
    <row r="216" spans="1:53" x14ac:dyDescent="0.35">
      <c r="A216" s="708"/>
      <c r="B216" s="561" t="s">
        <v>157</v>
      </c>
      <c r="C216" s="878"/>
      <c r="D216" s="878"/>
      <c r="E216" s="878"/>
      <c r="F216" s="878"/>
      <c r="G216" s="878"/>
      <c r="H216" s="878"/>
      <c r="I216" s="878"/>
      <c r="J216" s="878"/>
      <c r="K216" s="878"/>
      <c r="L216" s="878"/>
      <c r="M216" s="878"/>
      <c r="N216" s="878"/>
      <c r="O216" s="878"/>
      <c r="P216" s="878"/>
      <c r="Q216" s="878"/>
      <c r="R216" s="878"/>
      <c r="S216" s="878"/>
      <c r="T216" s="878"/>
      <c r="U216" s="878"/>
      <c r="V216" s="878"/>
      <c r="W216" s="878"/>
      <c r="X216" s="878"/>
      <c r="Y216" s="878"/>
      <c r="Z216" s="878"/>
      <c r="AA216" s="878"/>
      <c r="AB216" s="878"/>
      <c r="AC216" s="878"/>
      <c r="AD216" s="878"/>
      <c r="AE216" s="878"/>
      <c r="AF216" s="878"/>
      <c r="AG216" s="878"/>
      <c r="AH216" s="878"/>
      <c r="AI216" s="878">
        <v>0.01</v>
      </c>
      <c r="AJ216" s="878">
        <v>0.01</v>
      </c>
      <c r="AK216" s="878">
        <v>0.01</v>
      </c>
      <c r="AL216" s="878">
        <v>0.01</v>
      </c>
      <c r="AM216" s="878"/>
      <c r="AN216" s="878"/>
      <c r="AO216" s="878"/>
      <c r="AP216" s="878"/>
      <c r="AQ216" s="878"/>
      <c r="AR216" s="878"/>
      <c r="AS216" s="878"/>
      <c r="AT216" s="878"/>
      <c r="AU216" s="878"/>
      <c r="AV216" s="878"/>
      <c r="AW216" s="878"/>
      <c r="AX216" s="878"/>
      <c r="AY216" s="559">
        <v>1</v>
      </c>
      <c r="AZ216" s="560">
        <f t="shared" si="10"/>
        <v>0.01</v>
      </c>
      <c r="BA216" s="559">
        <f t="shared" si="11"/>
        <v>0.01</v>
      </c>
    </row>
    <row r="217" spans="1:53" x14ac:dyDescent="0.35">
      <c r="A217" s="708"/>
      <c r="B217" s="561" t="s">
        <v>158</v>
      </c>
      <c r="C217" s="878"/>
      <c r="D217" s="878"/>
      <c r="E217" s="878"/>
      <c r="F217" s="878"/>
      <c r="G217" s="878"/>
      <c r="H217" s="878"/>
      <c r="I217" s="878"/>
      <c r="J217" s="878"/>
      <c r="K217" s="878"/>
      <c r="L217" s="878"/>
      <c r="M217" s="878"/>
      <c r="N217" s="878"/>
      <c r="O217" s="878"/>
      <c r="P217" s="878"/>
      <c r="Q217" s="878"/>
      <c r="R217" s="878"/>
      <c r="S217" s="878"/>
      <c r="T217" s="878"/>
      <c r="U217" s="878"/>
      <c r="V217" s="878"/>
      <c r="W217" s="878"/>
      <c r="X217" s="878"/>
      <c r="Y217" s="878"/>
      <c r="Z217" s="878"/>
      <c r="AA217" s="878"/>
      <c r="AB217" s="878"/>
      <c r="AC217" s="878"/>
      <c r="AD217" s="878"/>
      <c r="AE217" s="878"/>
      <c r="AF217" s="878"/>
      <c r="AG217" s="878"/>
      <c r="AH217" s="878"/>
      <c r="AI217" s="878">
        <v>0</v>
      </c>
      <c r="AJ217" s="878">
        <v>0</v>
      </c>
      <c r="AK217" s="878">
        <v>0</v>
      </c>
      <c r="AL217" s="878">
        <v>0</v>
      </c>
      <c r="AM217" s="878"/>
      <c r="AN217" s="878"/>
      <c r="AO217" s="878"/>
      <c r="AP217" s="878"/>
      <c r="AQ217" s="878"/>
      <c r="AR217" s="878"/>
      <c r="AS217" s="878"/>
      <c r="AT217" s="878"/>
      <c r="AU217" s="878"/>
      <c r="AV217" s="878"/>
      <c r="AW217" s="878"/>
      <c r="AX217" s="878"/>
      <c r="AY217" s="559">
        <v>1</v>
      </c>
      <c r="AZ217" s="560">
        <f t="shared" si="10"/>
        <v>0</v>
      </c>
      <c r="BA217" s="559">
        <f t="shared" si="11"/>
        <v>0</v>
      </c>
    </row>
    <row r="218" spans="1:53" x14ac:dyDescent="0.35">
      <c r="A218" s="708"/>
      <c r="B218" s="561" t="s">
        <v>159</v>
      </c>
      <c r="C218" s="878"/>
      <c r="D218" s="878"/>
      <c r="E218" s="878"/>
      <c r="F218" s="878"/>
      <c r="G218" s="878"/>
      <c r="H218" s="878"/>
      <c r="I218" s="878"/>
      <c r="J218" s="878"/>
      <c r="K218" s="878"/>
      <c r="L218" s="878"/>
      <c r="M218" s="878"/>
      <c r="N218" s="878"/>
      <c r="O218" s="878"/>
      <c r="P218" s="878"/>
      <c r="Q218" s="878"/>
      <c r="R218" s="878"/>
      <c r="S218" s="878"/>
      <c r="T218" s="878"/>
      <c r="U218" s="878"/>
      <c r="V218" s="878"/>
      <c r="W218" s="878"/>
      <c r="X218" s="878"/>
      <c r="Y218" s="878"/>
      <c r="Z218" s="878"/>
      <c r="AA218" s="878"/>
      <c r="AB218" s="878"/>
      <c r="AC218" s="878"/>
      <c r="AD218" s="878"/>
      <c r="AE218" s="878"/>
      <c r="AF218" s="878"/>
      <c r="AG218" s="878"/>
      <c r="AH218" s="878"/>
      <c r="AI218" s="878">
        <v>0</v>
      </c>
      <c r="AJ218" s="878">
        <v>0</v>
      </c>
      <c r="AK218" s="878">
        <v>0</v>
      </c>
      <c r="AL218" s="878">
        <v>0</v>
      </c>
      <c r="AM218" s="878"/>
      <c r="AN218" s="878"/>
      <c r="AO218" s="878"/>
      <c r="AP218" s="878"/>
      <c r="AQ218" s="878"/>
      <c r="AR218" s="878"/>
      <c r="AS218" s="878"/>
      <c r="AT218" s="878"/>
      <c r="AU218" s="878"/>
      <c r="AV218" s="878"/>
      <c r="AW218" s="878"/>
      <c r="AX218" s="878"/>
      <c r="AY218" s="559">
        <v>1</v>
      </c>
      <c r="AZ218" s="560">
        <f t="shared" si="10"/>
        <v>0</v>
      </c>
      <c r="BA218" s="559">
        <f t="shared" si="11"/>
        <v>0</v>
      </c>
    </row>
    <row r="219" spans="1:53" x14ac:dyDescent="0.35">
      <c r="A219" s="708"/>
      <c r="B219" s="561" t="s">
        <v>131</v>
      </c>
      <c r="C219" s="878"/>
      <c r="D219" s="878"/>
      <c r="E219" s="878"/>
      <c r="F219" s="878"/>
      <c r="G219" s="878"/>
      <c r="H219" s="878"/>
      <c r="I219" s="878"/>
      <c r="J219" s="878"/>
      <c r="K219" s="878"/>
      <c r="L219" s="878"/>
      <c r="M219" s="878"/>
      <c r="N219" s="878"/>
      <c r="O219" s="878"/>
      <c r="P219" s="878"/>
      <c r="Q219" s="878"/>
      <c r="R219" s="878"/>
      <c r="S219" s="878"/>
      <c r="T219" s="878"/>
      <c r="U219" s="878"/>
      <c r="V219" s="878"/>
      <c r="W219" s="878"/>
      <c r="X219" s="878"/>
      <c r="Y219" s="878"/>
      <c r="Z219" s="878"/>
      <c r="AA219" s="878"/>
      <c r="AB219" s="878"/>
      <c r="AC219" s="878"/>
      <c r="AD219" s="878"/>
      <c r="AE219" s="878"/>
      <c r="AF219" s="878"/>
      <c r="AG219" s="878"/>
      <c r="AH219" s="878"/>
      <c r="AI219" s="878">
        <v>0.12</v>
      </c>
      <c r="AJ219" s="878">
        <v>0.12</v>
      </c>
      <c r="AK219" s="878">
        <v>0.12</v>
      </c>
      <c r="AL219" s="878">
        <v>0.12</v>
      </c>
      <c r="AM219" s="878"/>
      <c r="AN219" s="878"/>
      <c r="AO219" s="878"/>
      <c r="AP219" s="878"/>
      <c r="AQ219" s="878"/>
      <c r="AR219" s="878"/>
      <c r="AS219" s="878"/>
      <c r="AT219" s="878"/>
      <c r="AU219" s="878"/>
      <c r="AV219" s="878"/>
      <c r="AW219" s="878"/>
      <c r="AX219" s="878"/>
      <c r="AY219" s="559">
        <v>1</v>
      </c>
      <c r="AZ219" s="560">
        <f t="shared" si="10"/>
        <v>0.12</v>
      </c>
      <c r="BA219" s="559">
        <f t="shared" si="11"/>
        <v>0.12</v>
      </c>
    </row>
    <row r="220" spans="1:53" x14ac:dyDescent="0.35">
      <c r="A220" s="709"/>
      <c r="B220" s="561" t="s">
        <v>121</v>
      </c>
      <c r="C220" s="878"/>
      <c r="D220" s="878"/>
      <c r="E220" s="878"/>
      <c r="F220" s="878"/>
      <c r="G220" s="878"/>
      <c r="H220" s="878"/>
      <c r="I220" s="878"/>
      <c r="J220" s="878"/>
      <c r="K220" s="878"/>
      <c r="L220" s="878"/>
      <c r="M220" s="878"/>
      <c r="N220" s="878"/>
      <c r="O220" s="878"/>
      <c r="P220" s="878"/>
      <c r="Q220" s="878"/>
      <c r="R220" s="878"/>
      <c r="S220" s="878"/>
      <c r="T220" s="878"/>
      <c r="U220" s="878"/>
      <c r="V220" s="878"/>
      <c r="W220" s="878"/>
      <c r="X220" s="878"/>
      <c r="Y220" s="878"/>
      <c r="Z220" s="878"/>
      <c r="AA220" s="878"/>
      <c r="AB220" s="878"/>
      <c r="AC220" s="878"/>
      <c r="AD220" s="878"/>
      <c r="AE220" s="878"/>
      <c r="AF220" s="878"/>
      <c r="AG220" s="878"/>
      <c r="AH220" s="878"/>
      <c r="AI220" s="878">
        <v>0.01</v>
      </c>
      <c r="AJ220" s="878">
        <v>0.01</v>
      </c>
      <c r="AK220" s="878">
        <v>0.01</v>
      </c>
      <c r="AL220" s="878">
        <v>0.01</v>
      </c>
      <c r="AM220" s="878"/>
      <c r="AN220" s="878"/>
      <c r="AO220" s="878"/>
      <c r="AP220" s="878"/>
      <c r="AQ220" s="878"/>
      <c r="AR220" s="878"/>
      <c r="AS220" s="878"/>
      <c r="AT220" s="878"/>
      <c r="AU220" s="878"/>
      <c r="AV220" s="878"/>
      <c r="AW220" s="878"/>
      <c r="AX220" s="878"/>
      <c r="AY220" s="559">
        <v>1</v>
      </c>
      <c r="AZ220" s="560">
        <f t="shared" si="10"/>
        <v>0.01</v>
      </c>
      <c r="BA220" s="559">
        <f t="shared" si="11"/>
        <v>0.01</v>
      </c>
    </row>
    <row r="221" spans="1:53" x14ac:dyDescent="0.35">
      <c r="A221" s="712" t="str">
        <f>DISTRIBUCIÓN!A97</f>
        <v xml:space="preserve">Paso 1: Definición o ajuste de objetivos y criterios de calidad por uso </v>
      </c>
      <c r="B221" s="561" t="s">
        <v>302</v>
      </c>
      <c r="C221" s="878"/>
      <c r="D221" s="878"/>
      <c r="E221" s="878"/>
      <c r="F221" s="878"/>
      <c r="G221" s="878"/>
      <c r="H221" s="878"/>
      <c r="I221" s="878"/>
      <c r="J221" s="878"/>
      <c r="K221" s="878"/>
      <c r="L221" s="878"/>
      <c r="M221" s="878"/>
      <c r="N221" s="878"/>
      <c r="O221" s="878"/>
      <c r="P221" s="878"/>
      <c r="Q221" s="878"/>
      <c r="R221" s="878"/>
      <c r="S221" s="878"/>
      <c r="T221" s="878"/>
      <c r="U221" s="878"/>
      <c r="V221" s="878"/>
      <c r="W221" s="878"/>
      <c r="X221" s="878"/>
      <c r="Y221" s="878"/>
      <c r="Z221" s="878"/>
      <c r="AA221" s="878"/>
      <c r="AB221" s="878"/>
      <c r="AC221" s="878"/>
      <c r="AD221" s="878"/>
      <c r="AE221" s="878"/>
      <c r="AF221" s="878"/>
      <c r="AG221" s="878"/>
      <c r="AH221" s="878"/>
      <c r="AI221" s="878"/>
      <c r="AJ221" s="878"/>
      <c r="AK221" s="878"/>
      <c r="AL221" s="878"/>
      <c r="AM221" s="878">
        <v>0.14000000000000001</v>
      </c>
      <c r="AN221" s="878">
        <v>0.14000000000000001</v>
      </c>
      <c r="AO221" s="878">
        <v>0.14000000000000001</v>
      </c>
      <c r="AP221" s="878">
        <v>0.14000000000000001</v>
      </c>
      <c r="AQ221" s="878"/>
      <c r="AR221" s="878"/>
      <c r="AS221" s="878"/>
      <c r="AT221" s="878"/>
      <c r="AU221" s="878"/>
      <c r="AV221" s="878"/>
      <c r="AW221" s="878"/>
      <c r="AX221" s="878"/>
      <c r="AY221" s="559">
        <v>1</v>
      </c>
      <c r="AZ221" s="560">
        <f t="shared" si="10"/>
        <v>0.14000000000000001</v>
      </c>
      <c r="BA221" s="559">
        <f t="shared" si="11"/>
        <v>0.14000000000000001</v>
      </c>
    </row>
    <row r="222" spans="1:53" x14ac:dyDescent="0.35">
      <c r="A222" s="712"/>
      <c r="B222" s="561" t="s">
        <v>156</v>
      </c>
      <c r="C222" s="878"/>
      <c r="D222" s="878"/>
      <c r="E222" s="878"/>
      <c r="F222" s="878"/>
      <c r="G222" s="878"/>
      <c r="H222" s="878"/>
      <c r="I222" s="878"/>
      <c r="J222" s="878"/>
      <c r="K222" s="878"/>
      <c r="L222" s="878"/>
      <c r="M222" s="878"/>
      <c r="N222" s="878"/>
      <c r="O222" s="878"/>
      <c r="P222" s="878"/>
      <c r="Q222" s="878"/>
      <c r="R222" s="878"/>
      <c r="S222" s="878"/>
      <c r="T222" s="878"/>
      <c r="U222" s="878"/>
      <c r="V222" s="878"/>
      <c r="W222" s="878"/>
      <c r="X222" s="878"/>
      <c r="Y222" s="878"/>
      <c r="Z222" s="878"/>
      <c r="AA222" s="878"/>
      <c r="AB222" s="878"/>
      <c r="AC222" s="878"/>
      <c r="AD222" s="878"/>
      <c r="AE222" s="878"/>
      <c r="AF222" s="878"/>
      <c r="AG222" s="878"/>
      <c r="AH222" s="878"/>
      <c r="AI222" s="878"/>
      <c r="AJ222" s="878"/>
      <c r="AK222" s="878"/>
      <c r="AL222" s="878"/>
      <c r="AM222" s="878">
        <v>0.14000000000000001</v>
      </c>
      <c r="AN222" s="878">
        <v>0.14000000000000001</v>
      </c>
      <c r="AO222" s="878">
        <v>0.14000000000000001</v>
      </c>
      <c r="AP222" s="878">
        <v>0.14000000000000001</v>
      </c>
      <c r="AQ222" s="878"/>
      <c r="AR222" s="878"/>
      <c r="AS222" s="878"/>
      <c r="AT222" s="878"/>
      <c r="AU222" s="878"/>
      <c r="AV222" s="878"/>
      <c r="AW222" s="878"/>
      <c r="AX222" s="878"/>
      <c r="AY222" s="559">
        <v>1</v>
      </c>
      <c r="AZ222" s="560">
        <f t="shared" si="10"/>
        <v>0.14000000000000001</v>
      </c>
      <c r="BA222" s="559">
        <f t="shared" si="11"/>
        <v>0.14000000000000001</v>
      </c>
    </row>
    <row r="223" spans="1:53" x14ac:dyDescent="0.35">
      <c r="A223" s="712"/>
      <c r="B223" s="561" t="s">
        <v>157</v>
      </c>
      <c r="C223" s="878"/>
      <c r="D223" s="878"/>
      <c r="E223" s="878"/>
      <c r="F223" s="878"/>
      <c r="G223" s="878"/>
      <c r="H223" s="878"/>
      <c r="I223" s="878"/>
      <c r="J223" s="878"/>
      <c r="K223" s="878"/>
      <c r="L223" s="878"/>
      <c r="M223" s="878"/>
      <c r="N223" s="878"/>
      <c r="O223" s="878"/>
      <c r="P223" s="878"/>
      <c r="Q223" s="878"/>
      <c r="R223" s="878"/>
      <c r="S223" s="878"/>
      <c r="T223" s="878"/>
      <c r="U223" s="878"/>
      <c r="V223" s="878"/>
      <c r="W223" s="878"/>
      <c r="X223" s="878"/>
      <c r="Y223" s="878"/>
      <c r="Z223" s="878"/>
      <c r="AA223" s="878"/>
      <c r="AB223" s="878"/>
      <c r="AC223" s="878"/>
      <c r="AD223" s="878"/>
      <c r="AE223" s="878"/>
      <c r="AF223" s="878"/>
      <c r="AG223" s="878"/>
      <c r="AH223" s="878"/>
      <c r="AI223" s="878"/>
      <c r="AJ223" s="878"/>
      <c r="AK223" s="878"/>
      <c r="AL223" s="878"/>
      <c r="AM223" s="878">
        <v>0</v>
      </c>
      <c r="AN223" s="878">
        <v>0</v>
      </c>
      <c r="AO223" s="878">
        <v>0</v>
      </c>
      <c r="AP223" s="878">
        <v>0</v>
      </c>
      <c r="AQ223" s="878"/>
      <c r="AR223" s="878"/>
      <c r="AS223" s="878"/>
      <c r="AT223" s="878"/>
      <c r="AU223" s="878"/>
      <c r="AV223" s="878"/>
      <c r="AW223" s="878"/>
      <c r="AX223" s="878"/>
      <c r="AY223" s="559">
        <v>1</v>
      </c>
      <c r="AZ223" s="560">
        <f t="shared" si="10"/>
        <v>0</v>
      </c>
      <c r="BA223" s="559">
        <f t="shared" si="11"/>
        <v>0</v>
      </c>
    </row>
    <row r="224" spans="1:53" x14ac:dyDescent="0.35">
      <c r="A224" s="712"/>
      <c r="B224" s="561" t="s">
        <v>158</v>
      </c>
      <c r="C224" s="878"/>
      <c r="D224" s="878"/>
      <c r="E224" s="878"/>
      <c r="F224" s="878"/>
      <c r="G224" s="878"/>
      <c r="H224" s="878"/>
      <c r="I224" s="878"/>
      <c r="J224" s="878"/>
      <c r="K224" s="878"/>
      <c r="L224" s="878"/>
      <c r="M224" s="878"/>
      <c r="N224" s="878"/>
      <c r="O224" s="878"/>
      <c r="P224" s="878"/>
      <c r="Q224" s="878"/>
      <c r="R224" s="878"/>
      <c r="S224" s="878"/>
      <c r="T224" s="878"/>
      <c r="U224" s="878"/>
      <c r="V224" s="878"/>
      <c r="W224" s="878"/>
      <c r="X224" s="878"/>
      <c r="Y224" s="878"/>
      <c r="Z224" s="878"/>
      <c r="AA224" s="878"/>
      <c r="AB224" s="878"/>
      <c r="AC224" s="878"/>
      <c r="AD224" s="878"/>
      <c r="AE224" s="878"/>
      <c r="AF224" s="878"/>
      <c r="AG224" s="878"/>
      <c r="AH224" s="878"/>
      <c r="AI224" s="878"/>
      <c r="AJ224" s="878"/>
      <c r="AK224" s="878"/>
      <c r="AL224" s="878"/>
      <c r="AM224" s="878">
        <v>0</v>
      </c>
      <c r="AN224" s="878">
        <v>0</v>
      </c>
      <c r="AO224" s="878">
        <v>0</v>
      </c>
      <c r="AP224" s="878">
        <v>0</v>
      </c>
      <c r="AQ224" s="878"/>
      <c r="AR224" s="878"/>
      <c r="AS224" s="878"/>
      <c r="AT224" s="878"/>
      <c r="AU224" s="878"/>
      <c r="AV224" s="878"/>
      <c r="AW224" s="878"/>
      <c r="AX224" s="878"/>
      <c r="AY224" s="559">
        <v>1</v>
      </c>
      <c r="AZ224" s="560">
        <f t="shared" si="10"/>
        <v>0</v>
      </c>
      <c r="BA224" s="559">
        <f t="shared" si="11"/>
        <v>0</v>
      </c>
    </row>
    <row r="225" spans="1:53" x14ac:dyDescent="0.35">
      <c r="A225" s="712"/>
      <c r="B225" s="561" t="s">
        <v>159</v>
      </c>
      <c r="C225" s="878"/>
      <c r="D225" s="878"/>
      <c r="E225" s="878"/>
      <c r="F225" s="878"/>
      <c r="G225" s="878"/>
      <c r="H225" s="878"/>
      <c r="I225" s="878"/>
      <c r="J225" s="878"/>
      <c r="K225" s="878"/>
      <c r="L225" s="878"/>
      <c r="M225" s="878"/>
      <c r="N225" s="878"/>
      <c r="O225" s="878"/>
      <c r="P225" s="878"/>
      <c r="Q225" s="878"/>
      <c r="R225" s="878"/>
      <c r="S225" s="878"/>
      <c r="T225" s="878"/>
      <c r="U225" s="878"/>
      <c r="V225" s="878"/>
      <c r="W225" s="878"/>
      <c r="X225" s="878"/>
      <c r="Y225" s="878"/>
      <c r="Z225" s="878"/>
      <c r="AA225" s="878"/>
      <c r="AB225" s="878"/>
      <c r="AC225" s="878"/>
      <c r="AD225" s="878"/>
      <c r="AE225" s="878"/>
      <c r="AF225" s="878"/>
      <c r="AG225" s="878"/>
      <c r="AH225" s="878"/>
      <c r="AI225" s="878"/>
      <c r="AJ225" s="878"/>
      <c r="AK225" s="878"/>
      <c r="AL225" s="878"/>
      <c r="AM225" s="878">
        <v>0</v>
      </c>
      <c r="AN225" s="878">
        <v>0</v>
      </c>
      <c r="AO225" s="878">
        <v>0</v>
      </c>
      <c r="AP225" s="878">
        <v>0</v>
      </c>
      <c r="AQ225" s="878"/>
      <c r="AR225" s="878"/>
      <c r="AS225" s="878"/>
      <c r="AT225" s="878"/>
      <c r="AU225" s="878"/>
      <c r="AV225" s="878"/>
      <c r="AW225" s="878"/>
      <c r="AX225" s="878"/>
      <c r="AY225" s="559">
        <v>1</v>
      </c>
      <c r="AZ225" s="560">
        <f t="shared" si="10"/>
        <v>0</v>
      </c>
      <c r="BA225" s="559">
        <f t="shared" si="11"/>
        <v>0</v>
      </c>
    </row>
    <row r="226" spans="1:53" x14ac:dyDescent="0.35">
      <c r="A226" s="712"/>
      <c r="B226" s="561" t="s">
        <v>131</v>
      </c>
      <c r="C226" s="878"/>
      <c r="D226" s="878"/>
      <c r="E226" s="878"/>
      <c r="F226" s="878"/>
      <c r="G226" s="878"/>
      <c r="H226" s="878"/>
      <c r="I226" s="878"/>
      <c r="J226" s="878"/>
      <c r="K226" s="878"/>
      <c r="L226" s="878"/>
      <c r="M226" s="878"/>
      <c r="N226" s="878"/>
      <c r="O226" s="878"/>
      <c r="P226" s="878"/>
      <c r="Q226" s="878"/>
      <c r="R226" s="878"/>
      <c r="S226" s="878"/>
      <c r="T226" s="878"/>
      <c r="U226" s="878"/>
      <c r="V226" s="878"/>
      <c r="W226" s="878"/>
      <c r="X226" s="878"/>
      <c r="Y226" s="878"/>
      <c r="Z226" s="878"/>
      <c r="AA226" s="878"/>
      <c r="AB226" s="878"/>
      <c r="AC226" s="878"/>
      <c r="AD226" s="878"/>
      <c r="AE226" s="878"/>
      <c r="AF226" s="878"/>
      <c r="AG226" s="878"/>
      <c r="AH226" s="878"/>
      <c r="AI226" s="878"/>
      <c r="AJ226" s="878"/>
      <c r="AK226" s="878"/>
      <c r="AL226" s="878"/>
      <c r="AM226" s="878">
        <v>0</v>
      </c>
      <c r="AN226" s="878">
        <v>0</v>
      </c>
      <c r="AO226" s="878">
        <v>0</v>
      </c>
      <c r="AP226" s="878">
        <v>0</v>
      </c>
      <c r="AQ226" s="878"/>
      <c r="AR226" s="878"/>
      <c r="AS226" s="878"/>
      <c r="AT226" s="878"/>
      <c r="AU226" s="878"/>
      <c r="AV226" s="878"/>
      <c r="AW226" s="878"/>
      <c r="AX226" s="878"/>
      <c r="AY226" s="559">
        <v>1</v>
      </c>
      <c r="AZ226" s="560">
        <f t="shared" si="10"/>
        <v>0</v>
      </c>
      <c r="BA226" s="559">
        <f t="shared" si="11"/>
        <v>0</v>
      </c>
    </row>
    <row r="227" spans="1:53" x14ac:dyDescent="0.35">
      <c r="A227" s="712"/>
      <c r="B227" s="561" t="s">
        <v>121</v>
      </c>
      <c r="C227" s="878"/>
      <c r="D227" s="878"/>
      <c r="E227" s="878"/>
      <c r="F227" s="878"/>
      <c r="G227" s="878"/>
      <c r="H227" s="878"/>
      <c r="I227" s="878"/>
      <c r="J227" s="878"/>
      <c r="K227" s="878"/>
      <c r="L227" s="878"/>
      <c r="M227" s="878"/>
      <c r="N227" s="878"/>
      <c r="O227" s="878"/>
      <c r="P227" s="878"/>
      <c r="Q227" s="878"/>
      <c r="R227" s="878"/>
      <c r="S227" s="878"/>
      <c r="T227" s="878"/>
      <c r="U227" s="878"/>
      <c r="V227" s="878"/>
      <c r="W227" s="878"/>
      <c r="X227" s="878"/>
      <c r="Y227" s="878"/>
      <c r="Z227" s="878"/>
      <c r="AA227" s="878"/>
      <c r="AB227" s="878"/>
      <c r="AC227" s="878"/>
      <c r="AD227" s="878"/>
      <c r="AE227" s="878"/>
      <c r="AF227" s="878"/>
      <c r="AG227" s="878"/>
      <c r="AH227" s="878"/>
      <c r="AI227" s="878"/>
      <c r="AJ227" s="878"/>
      <c r="AK227" s="878"/>
      <c r="AL227" s="878"/>
      <c r="AM227" s="878">
        <v>0.14000000000000001</v>
      </c>
      <c r="AN227" s="878">
        <v>0.14000000000000001</v>
      </c>
      <c r="AO227" s="878">
        <v>0.14000000000000001</v>
      </c>
      <c r="AP227" s="878">
        <v>0.14000000000000001</v>
      </c>
      <c r="AQ227" s="878"/>
      <c r="AR227" s="878"/>
      <c r="AS227" s="878"/>
      <c r="AT227" s="878"/>
      <c r="AU227" s="878"/>
      <c r="AV227" s="878"/>
      <c r="AW227" s="878"/>
      <c r="AX227" s="878"/>
      <c r="AY227" s="559">
        <v>1</v>
      </c>
      <c r="AZ227" s="560">
        <f t="shared" si="10"/>
        <v>0.14000000000000001</v>
      </c>
      <c r="BA227" s="559">
        <f t="shared" si="11"/>
        <v>0.14000000000000001</v>
      </c>
    </row>
    <row r="228" spans="1:53" x14ac:dyDescent="0.35">
      <c r="A228" s="712" t="str">
        <f>DISTRIBUCIÓN!A98</f>
        <v>Paso 2: Definición de prohibiciones y condicionamientos</v>
      </c>
      <c r="B228" s="561" t="s">
        <v>302</v>
      </c>
      <c r="C228" s="878"/>
      <c r="D228" s="878"/>
      <c r="E228" s="878"/>
      <c r="F228" s="878"/>
      <c r="G228" s="878"/>
      <c r="H228" s="878"/>
      <c r="I228" s="878"/>
      <c r="J228" s="878"/>
      <c r="K228" s="878"/>
      <c r="L228" s="878"/>
      <c r="M228" s="878"/>
      <c r="N228" s="878"/>
      <c r="O228" s="878"/>
      <c r="P228" s="878"/>
      <c r="Q228" s="878"/>
      <c r="R228" s="878"/>
      <c r="S228" s="878"/>
      <c r="T228" s="878"/>
      <c r="U228" s="878"/>
      <c r="V228" s="878"/>
      <c r="W228" s="878"/>
      <c r="X228" s="878"/>
      <c r="Y228" s="878"/>
      <c r="Z228" s="878"/>
      <c r="AA228" s="878"/>
      <c r="AB228" s="878"/>
      <c r="AC228" s="878"/>
      <c r="AD228" s="878"/>
      <c r="AE228" s="878"/>
      <c r="AF228" s="878"/>
      <c r="AG228" s="878"/>
      <c r="AH228" s="878"/>
      <c r="AI228" s="878"/>
      <c r="AJ228" s="878"/>
      <c r="AK228" s="878"/>
      <c r="AL228" s="878"/>
      <c r="AM228" s="878">
        <v>0.14000000000000001</v>
      </c>
      <c r="AN228" s="878">
        <v>0.14000000000000001</v>
      </c>
      <c r="AO228" s="878">
        <v>0.14000000000000001</v>
      </c>
      <c r="AP228" s="878">
        <v>0.14000000000000001</v>
      </c>
      <c r="AQ228" s="878"/>
      <c r="AR228" s="878"/>
      <c r="AS228" s="878"/>
      <c r="AT228" s="878"/>
      <c r="AU228" s="878"/>
      <c r="AV228" s="878"/>
      <c r="AW228" s="878"/>
      <c r="AX228" s="878"/>
      <c r="AY228" s="559">
        <v>1</v>
      </c>
      <c r="AZ228" s="560">
        <f t="shared" si="10"/>
        <v>0.14000000000000001</v>
      </c>
      <c r="BA228" s="559">
        <f t="shared" si="11"/>
        <v>0.14000000000000001</v>
      </c>
    </row>
    <row r="229" spans="1:53" x14ac:dyDescent="0.35">
      <c r="A229" s="712"/>
      <c r="B229" s="561" t="s">
        <v>156</v>
      </c>
      <c r="C229" s="878"/>
      <c r="D229" s="878"/>
      <c r="E229" s="878"/>
      <c r="F229" s="878"/>
      <c r="G229" s="878"/>
      <c r="H229" s="878"/>
      <c r="I229" s="878"/>
      <c r="J229" s="878"/>
      <c r="K229" s="878"/>
      <c r="L229" s="878"/>
      <c r="M229" s="878"/>
      <c r="N229" s="878"/>
      <c r="O229" s="878"/>
      <c r="P229" s="878"/>
      <c r="Q229" s="878"/>
      <c r="R229" s="878"/>
      <c r="S229" s="878"/>
      <c r="T229" s="878"/>
      <c r="U229" s="878"/>
      <c r="V229" s="878"/>
      <c r="W229" s="878"/>
      <c r="X229" s="878"/>
      <c r="Y229" s="878"/>
      <c r="Z229" s="878"/>
      <c r="AA229" s="878"/>
      <c r="AB229" s="878"/>
      <c r="AC229" s="878"/>
      <c r="AD229" s="878"/>
      <c r="AE229" s="878"/>
      <c r="AF229" s="878"/>
      <c r="AG229" s="878"/>
      <c r="AH229" s="878"/>
      <c r="AI229" s="878"/>
      <c r="AJ229" s="878"/>
      <c r="AK229" s="878"/>
      <c r="AL229" s="878"/>
      <c r="AM229" s="878">
        <v>0.14000000000000001</v>
      </c>
      <c r="AN229" s="878">
        <v>0.14000000000000001</v>
      </c>
      <c r="AO229" s="878">
        <v>0.14000000000000001</v>
      </c>
      <c r="AP229" s="878">
        <v>0.14000000000000001</v>
      </c>
      <c r="AQ229" s="878"/>
      <c r="AR229" s="878"/>
      <c r="AS229" s="878"/>
      <c r="AT229" s="878"/>
      <c r="AU229" s="878"/>
      <c r="AV229" s="878"/>
      <c r="AW229" s="878"/>
      <c r="AX229" s="878"/>
      <c r="AY229" s="559">
        <v>1</v>
      </c>
      <c r="AZ229" s="560">
        <f t="shared" si="10"/>
        <v>0.14000000000000001</v>
      </c>
      <c r="BA229" s="559">
        <f t="shared" si="11"/>
        <v>0.14000000000000001</v>
      </c>
    </row>
    <row r="230" spans="1:53" x14ac:dyDescent="0.35">
      <c r="A230" s="712"/>
      <c r="B230" s="561" t="s">
        <v>157</v>
      </c>
      <c r="C230" s="878"/>
      <c r="D230" s="878"/>
      <c r="E230" s="878"/>
      <c r="F230" s="878"/>
      <c r="G230" s="878"/>
      <c r="H230" s="878"/>
      <c r="I230" s="878"/>
      <c r="J230" s="878"/>
      <c r="K230" s="878"/>
      <c r="L230" s="878"/>
      <c r="M230" s="878"/>
      <c r="N230" s="878"/>
      <c r="O230" s="878"/>
      <c r="P230" s="878"/>
      <c r="Q230" s="878"/>
      <c r="R230" s="878"/>
      <c r="S230" s="878"/>
      <c r="T230" s="878"/>
      <c r="U230" s="878"/>
      <c r="V230" s="878"/>
      <c r="W230" s="878"/>
      <c r="X230" s="878"/>
      <c r="Y230" s="878"/>
      <c r="Z230" s="878"/>
      <c r="AA230" s="878"/>
      <c r="AB230" s="878"/>
      <c r="AC230" s="878"/>
      <c r="AD230" s="878"/>
      <c r="AE230" s="878"/>
      <c r="AF230" s="878"/>
      <c r="AG230" s="878"/>
      <c r="AH230" s="878"/>
      <c r="AI230" s="878"/>
      <c r="AJ230" s="878"/>
      <c r="AK230" s="878"/>
      <c r="AL230" s="878"/>
      <c r="AM230" s="878">
        <v>0</v>
      </c>
      <c r="AN230" s="878">
        <v>0</v>
      </c>
      <c r="AO230" s="878">
        <v>0</v>
      </c>
      <c r="AP230" s="878">
        <v>0</v>
      </c>
      <c r="AQ230" s="878"/>
      <c r="AR230" s="878"/>
      <c r="AS230" s="878"/>
      <c r="AT230" s="878"/>
      <c r="AU230" s="878"/>
      <c r="AV230" s="878"/>
      <c r="AW230" s="878"/>
      <c r="AX230" s="878"/>
      <c r="AY230" s="559">
        <v>1</v>
      </c>
      <c r="AZ230" s="560">
        <f t="shared" si="10"/>
        <v>0</v>
      </c>
      <c r="BA230" s="559">
        <f t="shared" si="11"/>
        <v>0</v>
      </c>
    </row>
    <row r="231" spans="1:53" x14ac:dyDescent="0.35">
      <c r="A231" s="712"/>
      <c r="B231" s="561" t="s">
        <v>158</v>
      </c>
      <c r="C231" s="878"/>
      <c r="D231" s="878"/>
      <c r="E231" s="878"/>
      <c r="F231" s="878"/>
      <c r="G231" s="878"/>
      <c r="H231" s="878"/>
      <c r="I231" s="878"/>
      <c r="J231" s="878"/>
      <c r="K231" s="878"/>
      <c r="L231" s="878"/>
      <c r="M231" s="878"/>
      <c r="N231" s="878"/>
      <c r="O231" s="878"/>
      <c r="P231" s="878"/>
      <c r="Q231" s="878"/>
      <c r="R231" s="878"/>
      <c r="S231" s="878"/>
      <c r="T231" s="878"/>
      <c r="U231" s="878"/>
      <c r="V231" s="878"/>
      <c r="W231" s="878"/>
      <c r="X231" s="878"/>
      <c r="Y231" s="878"/>
      <c r="Z231" s="878"/>
      <c r="AA231" s="878"/>
      <c r="AB231" s="878"/>
      <c r="AC231" s="878"/>
      <c r="AD231" s="878"/>
      <c r="AE231" s="878"/>
      <c r="AF231" s="878"/>
      <c r="AG231" s="878"/>
      <c r="AH231" s="878"/>
      <c r="AI231" s="878"/>
      <c r="AJ231" s="878"/>
      <c r="AK231" s="878"/>
      <c r="AL231" s="878"/>
      <c r="AM231" s="878">
        <v>0</v>
      </c>
      <c r="AN231" s="878">
        <v>0</v>
      </c>
      <c r="AO231" s="878">
        <v>0</v>
      </c>
      <c r="AP231" s="878">
        <v>0</v>
      </c>
      <c r="AQ231" s="878"/>
      <c r="AR231" s="878"/>
      <c r="AS231" s="878"/>
      <c r="AT231" s="878"/>
      <c r="AU231" s="878"/>
      <c r="AV231" s="878"/>
      <c r="AW231" s="878"/>
      <c r="AX231" s="878"/>
      <c r="AY231" s="559">
        <v>1</v>
      </c>
      <c r="AZ231" s="560">
        <f t="shared" si="10"/>
        <v>0</v>
      </c>
      <c r="BA231" s="559">
        <f t="shared" si="11"/>
        <v>0</v>
      </c>
    </row>
    <row r="232" spans="1:53" x14ac:dyDescent="0.35">
      <c r="A232" s="712"/>
      <c r="B232" s="561" t="s">
        <v>159</v>
      </c>
      <c r="C232" s="878"/>
      <c r="D232" s="878"/>
      <c r="E232" s="878"/>
      <c r="F232" s="878"/>
      <c r="G232" s="878"/>
      <c r="H232" s="878"/>
      <c r="I232" s="878"/>
      <c r="J232" s="878"/>
      <c r="K232" s="878"/>
      <c r="L232" s="878"/>
      <c r="M232" s="878"/>
      <c r="N232" s="878"/>
      <c r="O232" s="878"/>
      <c r="P232" s="878"/>
      <c r="Q232" s="878"/>
      <c r="R232" s="878"/>
      <c r="S232" s="878"/>
      <c r="T232" s="878"/>
      <c r="U232" s="878"/>
      <c r="V232" s="878"/>
      <c r="W232" s="878"/>
      <c r="X232" s="878"/>
      <c r="Y232" s="878"/>
      <c r="Z232" s="878"/>
      <c r="AA232" s="878"/>
      <c r="AB232" s="878"/>
      <c r="AC232" s="878"/>
      <c r="AD232" s="878"/>
      <c r="AE232" s="878"/>
      <c r="AF232" s="878"/>
      <c r="AG232" s="878"/>
      <c r="AH232" s="878"/>
      <c r="AI232" s="878"/>
      <c r="AJ232" s="878"/>
      <c r="AK232" s="878"/>
      <c r="AL232" s="878"/>
      <c r="AM232" s="878">
        <v>0</v>
      </c>
      <c r="AN232" s="878">
        <v>0</v>
      </c>
      <c r="AO232" s="878">
        <v>0</v>
      </c>
      <c r="AP232" s="878">
        <v>0</v>
      </c>
      <c r="AQ232" s="878"/>
      <c r="AR232" s="878"/>
      <c r="AS232" s="878"/>
      <c r="AT232" s="878"/>
      <c r="AU232" s="878"/>
      <c r="AV232" s="878"/>
      <c r="AW232" s="878"/>
      <c r="AX232" s="878"/>
      <c r="AY232" s="559">
        <v>1</v>
      </c>
      <c r="AZ232" s="560">
        <f t="shared" si="10"/>
        <v>0</v>
      </c>
      <c r="BA232" s="559">
        <f t="shared" si="11"/>
        <v>0</v>
      </c>
    </row>
    <row r="233" spans="1:53" x14ac:dyDescent="0.35">
      <c r="A233" s="712"/>
      <c r="B233" s="561" t="s">
        <v>131</v>
      </c>
      <c r="C233" s="878"/>
      <c r="D233" s="878"/>
      <c r="E233" s="878"/>
      <c r="F233" s="878"/>
      <c r="G233" s="878"/>
      <c r="H233" s="878"/>
      <c r="I233" s="878"/>
      <c r="J233" s="878"/>
      <c r="K233" s="878"/>
      <c r="L233" s="878"/>
      <c r="M233" s="878"/>
      <c r="N233" s="878"/>
      <c r="O233" s="878"/>
      <c r="P233" s="878"/>
      <c r="Q233" s="878"/>
      <c r="R233" s="878"/>
      <c r="S233" s="878"/>
      <c r="T233" s="878"/>
      <c r="U233" s="878"/>
      <c r="V233" s="878"/>
      <c r="W233" s="878"/>
      <c r="X233" s="878"/>
      <c r="Y233" s="878"/>
      <c r="Z233" s="878"/>
      <c r="AA233" s="878"/>
      <c r="AB233" s="878"/>
      <c r="AC233" s="878"/>
      <c r="AD233" s="878"/>
      <c r="AE233" s="878"/>
      <c r="AF233" s="878"/>
      <c r="AG233" s="878"/>
      <c r="AH233" s="878"/>
      <c r="AI233" s="878"/>
      <c r="AJ233" s="878"/>
      <c r="AK233" s="878"/>
      <c r="AL233" s="878"/>
      <c r="AM233" s="878">
        <v>0</v>
      </c>
      <c r="AN233" s="878">
        <v>0</v>
      </c>
      <c r="AO233" s="878">
        <v>0</v>
      </c>
      <c r="AP233" s="878">
        <v>0</v>
      </c>
      <c r="AQ233" s="878"/>
      <c r="AR233" s="878"/>
      <c r="AS233" s="878"/>
      <c r="AT233" s="878"/>
      <c r="AU233" s="878"/>
      <c r="AV233" s="878"/>
      <c r="AW233" s="878"/>
      <c r="AX233" s="878"/>
      <c r="AY233" s="559">
        <v>1</v>
      </c>
      <c r="AZ233" s="560">
        <f t="shared" si="10"/>
        <v>0</v>
      </c>
      <c r="BA233" s="559">
        <f t="shared" si="11"/>
        <v>0</v>
      </c>
    </row>
    <row r="234" spans="1:53" x14ac:dyDescent="0.35">
      <c r="A234" s="712"/>
      <c r="B234" s="561" t="s">
        <v>121</v>
      </c>
      <c r="C234" s="878"/>
      <c r="D234" s="878"/>
      <c r="E234" s="878"/>
      <c r="F234" s="878"/>
      <c r="G234" s="878"/>
      <c r="H234" s="878"/>
      <c r="I234" s="878"/>
      <c r="J234" s="878"/>
      <c r="K234" s="878"/>
      <c r="L234" s="878"/>
      <c r="M234" s="878"/>
      <c r="N234" s="878"/>
      <c r="O234" s="878"/>
      <c r="P234" s="878"/>
      <c r="Q234" s="878"/>
      <c r="R234" s="878"/>
      <c r="S234" s="878"/>
      <c r="T234" s="878"/>
      <c r="U234" s="878"/>
      <c r="V234" s="878"/>
      <c r="W234" s="878"/>
      <c r="X234" s="878"/>
      <c r="Y234" s="878"/>
      <c r="Z234" s="878"/>
      <c r="AA234" s="878"/>
      <c r="AB234" s="878"/>
      <c r="AC234" s="878"/>
      <c r="AD234" s="878"/>
      <c r="AE234" s="878"/>
      <c r="AF234" s="878"/>
      <c r="AG234" s="878"/>
      <c r="AH234" s="878"/>
      <c r="AI234" s="878"/>
      <c r="AJ234" s="878"/>
      <c r="AK234" s="878"/>
      <c r="AL234" s="878"/>
      <c r="AM234" s="878">
        <v>0.14000000000000001</v>
      </c>
      <c r="AN234" s="878">
        <v>0.14000000000000001</v>
      </c>
      <c r="AO234" s="878">
        <v>0.14000000000000001</v>
      </c>
      <c r="AP234" s="878">
        <v>0.14000000000000001</v>
      </c>
      <c r="AQ234" s="878"/>
      <c r="AR234" s="878"/>
      <c r="AS234" s="878"/>
      <c r="AT234" s="878"/>
      <c r="AU234" s="878"/>
      <c r="AV234" s="878"/>
      <c r="AW234" s="878"/>
      <c r="AX234" s="878"/>
      <c r="AY234" s="559">
        <v>1</v>
      </c>
      <c r="AZ234" s="560">
        <f t="shared" si="10"/>
        <v>0.14000000000000001</v>
      </c>
      <c r="BA234" s="559">
        <f t="shared" si="11"/>
        <v>0.14000000000000001</v>
      </c>
    </row>
    <row r="235" spans="1:53" x14ac:dyDescent="0.35">
      <c r="A235" s="712" t="str">
        <f>DISTRIBUCIÓN!A99</f>
        <v>Paso 3: Definición o ajuste de metas quinquenales de reducción de cargas contaminantes</v>
      </c>
      <c r="B235" s="561" t="s">
        <v>302</v>
      </c>
      <c r="C235" s="878"/>
      <c r="D235" s="878"/>
      <c r="E235" s="878"/>
      <c r="F235" s="878"/>
      <c r="G235" s="878"/>
      <c r="H235" s="878"/>
      <c r="I235" s="878"/>
      <c r="J235" s="878"/>
      <c r="K235" s="878"/>
      <c r="L235" s="878"/>
      <c r="M235" s="878"/>
      <c r="N235" s="878"/>
      <c r="O235" s="878"/>
      <c r="P235" s="878"/>
      <c r="Q235" s="878"/>
      <c r="R235" s="878"/>
      <c r="S235" s="878"/>
      <c r="T235" s="878"/>
      <c r="U235" s="878"/>
      <c r="V235" s="878"/>
      <c r="W235" s="878"/>
      <c r="X235" s="878"/>
      <c r="Y235" s="878"/>
      <c r="Z235" s="878"/>
      <c r="AA235" s="878"/>
      <c r="AB235" s="878"/>
      <c r="AC235" s="878"/>
      <c r="AD235" s="878"/>
      <c r="AE235" s="878"/>
      <c r="AF235" s="878"/>
      <c r="AG235" s="878"/>
      <c r="AH235" s="878"/>
      <c r="AI235" s="878"/>
      <c r="AJ235" s="878"/>
      <c r="AK235" s="878"/>
      <c r="AL235" s="878"/>
      <c r="AM235" s="878">
        <v>0.14000000000000001</v>
      </c>
      <c r="AN235" s="878">
        <v>0.14000000000000001</v>
      </c>
      <c r="AO235" s="878">
        <v>0.14000000000000001</v>
      </c>
      <c r="AP235" s="878">
        <v>0.14000000000000001</v>
      </c>
      <c r="AQ235" s="878"/>
      <c r="AR235" s="878"/>
      <c r="AS235" s="878"/>
      <c r="AT235" s="878"/>
      <c r="AU235" s="878"/>
      <c r="AV235" s="878"/>
      <c r="AW235" s="878"/>
      <c r="AX235" s="878"/>
      <c r="AY235" s="559">
        <v>1</v>
      </c>
      <c r="AZ235" s="560">
        <f t="shared" si="10"/>
        <v>0.14000000000000001</v>
      </c>
      <c r="BA235" s="559">
        <f t="shared" si="11"/>
        <v>0.14000000000000001</v>
      </c>
    </row>
    <row r="236" spans="1:53" x14ac:dyDescent="0.35">
      <c r="A236" s="712"/>
      <c r="B236" s="561" t="s">
        <v>156</v>
      </c>
      <c r="C236" s="878"/>
      <c r="D236" s="878"/>
      <c r="E236" s="878"/>
      <c r="F236" s="878"/>
      <c r="G236" s="878"/>
      <c r="H236" s="878"/>
      <c r="I236" s="878"/>
      <c r="J236" s="878"/>
      <c r="K236" s="878"/>
      <c r="L236" s="878"/>
      <c r="M236" s="878"/>
      <c r="N236" s="878"/>
      <c r="O236" s="878"/>
      <c r="P236" s="878"/>
      <c r="Q236" s="878"/>
      <c r="R236" s="878"/>
      <c r="S236" s="878"/>
      <c r="T236" s="878"/>
      <c r="U236" s="878"/>
      <c r="V236" s="878"/>
      <c r="W236" s="878"/>
      <c r="X236" s="878"/>
      <c r="Y236" s="878"/>
      <c r="Z236" s="878"/>
      <c r="AA236" s="878"/>
      <c r="AB236" s="878"/>
      <c r="AC236" s="878"/>
      <c r="AD236" s="878"/>
      <c r="AE236" s="878"/>
      <c r="AF236" s="878"/>
      <c r="AG236" s="878"/>
      <c r="AH236" s="878"/>
      <c r="AI236" s="878"/>
      <c r="AJ236" s="878"/>
      <c r="AK236" s="878"/>
      <c r="AL236" s="878"/>
      <c r="AM236" s="878">
        <v>0.14000000000000001</v>
      </c>
      <c r="AN236" s="878">
        <v>0.14000000000000001</v>
      </c>
      <c r="AO236" s="878">
        <v>0.14000000000000001</v>
      </c>
      <c r="AP236" s="878">
        <v>0.14000000000000001</v>
      </c>
      <c r="AQ236" s="878"/>
      <c r="AR236" s="878"/>
      <c r="AS236" s="878"/>
      <c r="AT236" s="878"/>
      <c r="AU236" s="878"/>
      <c r="AV236" s="878"/>
      <c r="AW236" s="878"/>
      <c r="AX236" s="878"/>
      <c r="AY236" s="559">
        <v>1</v>
      </c>
      <c r="AZ236" s="560">
        <f t="shared" si="10"/>
        <v>0.14000000000000001</v>
      </c>
      <c r="BA236" s="559">
        <f t="shared" si="11"/>
        <v>0.14000000000000001</v>
      </c>
    </row>
    <row r="237" spans="1:53" x14ac:dyDescent="0.35">
      <c r="A237" s="712"/>
      <c r="B237" s="561" t="s">
        <v>157</v>
      </c>
      <c r="C237" s="878"/>
      <c r="D237" s="878"/>
      <c r="E237" s="878"/>
      <c r="F237" s="878"/>
      <c r="G237" s="878"/>
      <c r="H237" s="878"/>
      <c r="I237" s="878"/>
      <c r="J237" s="878"/>
      <c r="K237" s="878"/>
      <c r="L237" s="878"/>
      <c r="M237" s="878"/>
      <c r="N237" s="878"/>
      <c r="O237" s="878"/>
      <c r="P237" s="878"/>
      <c r="Q237" s="878"/>
      <c r="R237" s="878"/>
      <c r="S237" s="878"/>
      <c r="T237" s="878"/>
      <c r="U237" s="878"/>
      <c r="V237" s="878"/>
      <c r="W237" s="878"/>
      <c r="X237" s="878"/>
      <c r="Y237" s="878"/>
      <c r="Z237" s="878"/>
      <c r="AA237" s="878"/>
      <c r="AB237" s="878"/>
      <c r="AC237" s="878"/>
      <c r="AD237" s="878"/>
      <c r="AE237" s="878"/>
      <c r="AF237" s="878"/>
      <c r="AG237" s="878"/>
      <c r="AH237" s="878"/>
      <c r="AI237" s="878"/>
      <c r="AJ237" s="878"/>
      <c r="AK237" s="878"/>
      <c r="AL237" s="878"/>
      <c r="AM237" s="878">
        <v>0</v>
      </c>
      <c r="AN237" s="878">
        <v>0</v>
      </c>
      <c r="AO237" s="878">
        <v>0</v>
      </c>
      <c r="AP237" s="878">
        <v>0</v>
      </c>
      <c r="AQ237" s="878"/>
      <c r="AR237" s="878"/>
      <c r="AS237" s="878"/>
      <c r="AT237" s="878"/>
      <c r="AU237" s="878"/>
      <c r="AV237" s="878"/>
      <c r="AW237" s="878"/>
      <c r="AX237" s="878"/>
      <c r="AY237" s="559">
        <v>1</v>
      </c>
      <c r="AZ237" s="560">
        <f t="shared" si="10"/>
        <v>0</v>
      </c>
      <c r="BA237" s="559">
        <f t="shared" si="11"/>
        <v>0</v>
      </c>
    </row>
    <row r="238" spans="1:53" x14ac:dyDescent="0.35">
      <c r="A238" s="712"/>
      <c r="B238" s="561" t="s">
        <v>158</v>
      </c>
      <c r="C238" s="878"/>
      <c r="D238" s="878"/>
      <c r="E238" s="878"/>
      <c r="F238" s="878"/>
      <c r="G238" s="878"/>
      <c r="H238" s="878"/>
      <c r="I238" s="878"/>
      <c r="J238" s="878"/>
      <c r="K238" s="878"/>
      <c r="L238" s="878"/>
      <c r="M238" s="878"/>
      <c r="N238" s="878"/>
      <c r="O238" s="878"/>
      <c r="P238" s="878"/>
      <c r="Q238" s="878"/>
      <c r="R238" s="878"/>
      <c r="S238" s="878"/>
      <c r="T238" s="878"/>
      <c r="U238" s="878"/>
      <c r="V238" s="878"/>
      <c r="W238" s="878"/>
      <c r="X238" s="878"/>
      <c r="Y238" s="878"/>
      <c r="Z238" s="878"/>
      <c r="AA238" s="878"/>
      <c r="AB238" s="878"/>
      <c r="AC238" s="878"/>
      <c r="AD238" s="878"/>
      <c r="AE238" s="878"/>
      <c r="AF238" s="878"/>
      <c r="AG238" s="878"/>
      <c r="AH238" s="878"/>
      <c r="AI238" s="878"/>
      <c r="AJ238" s="878"/>
      <c r="AK238" s="878"/>
      <c r="AL238" s="878"/>
      <c r="AM238" s="878">
        <v>0</v>
      </c>
      <c r="AN238" s="878">
        <v>0</v>
      </c>
      <c r="AO238" s="878">
        <v>0</v>
      </c>
      <c r="AP238" s="878">
        <v>0</v>
      </c>
      <c r="AQ238" s="878"/>
      <c r="AR238" s="878"/>
      <c r="AS238" s="878"/>
      <c r="AT238" s="878"/>
      <c r="AU238" s="878"/>
      <c r="AV238" s="878"/>
      <c r="AW238" s="878"/>
      <c r="AX238" s="878"/>
      <c r="AY238" s="559">
        <v>1</v>
      </c>
      <c r="AZ238" s="560">
        <f t="shared" si="10"/>
        <v>0</v>
      </c>
      <c r="BA238" s="559">
        <f t="shared" si="11"/>
        <v>0</v>
      </c>
    </row>
    <row r="239" spans="1:53" x14ac:dyDescent="0.35">
      <c r="A239" s="712"/>
      <c r="B239" s="561" t="s">
        <v>159</v>
      </c>
      <c r="C239" s="878"/>
      <c r="D239" s="878"/>
      <c r="E239" s="878"/>
      <c r="F239" s="878"/>
      <c r="G239" s="878"/>
      <c r="H239" s="878"/>
      <c r="I239" s="878"/>
      <c r="J239" s="878"/>
      <c r="K239" s="878"/>
      <c r="L239" s="878"/>
      <c r="M239" s="878"/>
      <c r="N239" s="878"/>
      <c r="O239" s="878"/>
      <c r="P239" s="878"/>
      <c r="Q239" s="878"/>
      <c r="R239" s="878"/>
      <c r="S239" s="878"/>
      <c r="T239" s="878"/>
      <c r="U239" s="878"/>
      <c r="V239" s="878"/>
      <c r="W239" s="878"/>
      <c r="X239" s="878"/>
      <c r="Y239" s="878"/>
      <c r="Z239" s="878"/>
      <c r="AA239" s="878"/>
      <c r="AB239" s="878"/>
      <c r="AC239" s="878"/>
      <c r="AD239" s="878"/>
      <c r="AE239" s="878"/>
      <c r="AF239" s="878"/>
      <c r="AG239" s="878"/>
      <c r="AH239" s="878"/>
      <c r="AI239" s="878"/>
      <c r="AJ239" s="878"/>
      <c r="AK239" s="878"/>
      <c r="AL239" s="878"/>
      <c r="AM239" s="878">
        <v>0</v>
      </c>
      <c r="AN239" s="878">
        <v>0</v>
      </c>
      <c r="AO239" s="878">
        <v>0</v>
      </c>
      <c r="AP239" s="878">
        <v>0</v>
      </c>
      <c r="AQ239" s="878"/>
      <c r="AR239" s="878"/>
      <c r="AS239" s="878"/>
      <c r="AT239" s="878"/>
      <c r="AU239" s="878"/>
      <c r="AV239" s="878"/>
      <c r="AW239" s="878"/>
      <c r="AX239" s="878"/>
      <c r="AY239" s="559">
        <v>1</v>
      </c>
      <c r="AZ239" s="560">
        <f t="shared" si="10"/>
        <v>0</v>
      </c>
      <c r="BA239" s="559">
        <f t="shared" si="11"/>
        <v>0</v>
      </c>
    </row>
    <row r="240" spans="1:53" x14ac:dyDescent="0.35">
      <c r="A240" s="712"/>
      <c r="B240" s="561" t="s">
        <v>131</v>
      </c>
      <c r="C240" s="878"/>
      <c r="D240" s="878"/>
      <c r="E240" s="878"/>
      <c r="F240" s="878"/>
      <c r="G240" s="878"/>
      <c r="H240" s="878"/>
      <c r="I240" s="878"/>
      <c r="J240" s="878"/>
      <c r="K240" s="878"/>
      <c r="L240" s="878"/>
      <c r="M240" s="878"/>
      <c r="N240" s="878"/>
      <c r="O240" s="878"/>
      <c r="P240" s="878"/>
      <c r="Q240" s="878"/>
      <c r="R240" s="878"/>
      <c r="S240" s="878"/>
      <c r="T240" s="878"/>
      <c r="U240" s="878"/>
      <c r="V240" s="878"/>
      <c r="W240" s="878"/>
      <c r="X240" s="878"/>
      <c r="Y240" s="878"/>
      <c r="Z240" s="878"/>
      <c r="AA240" s="878"/>
      <c r="AB240" s="878"/>
      <c r="AC240" s="878"/>
      <c r="AD240" s="878"/>
      <c r="AE240" s="878"/>
      <c r="AF240" s="878"/>
      <c r="AG240" s="878"/>
      <c r="AH240" s="878"/>
      <c r="AI240" s="878"/>
      <c r="AJ240" s="878"/>
      <c r="AK240" s="878"/>
      <c r="AL240" s="878"/>
      <c r="AM240" s="878">
        <v>0</v>
      </c>
      <c r="AN240" s="878">
        <v>0</v>
      </c>
      <c r="AO240" s="878">
        <v>0</v>
      </c>
      <c r="AP240" s="878">
        <v>0</v>
      </c>
      <c r="AQ240" s="878"/>
      <c r="AR240" s="878"/>
      <c r="AS240" s="878"/>
      <c r="AT240" s="878"/>
      <c r="AU240" s="878"/>
      <c r="AV240" s="878"/>
      <c r="AW240" s="878"/>
      <c r="AX240" s="878"/>
      <c r="AY240" s="559">
        <v>1</v>
      </c>
      <c r="AZ240" s="560">
        <f t="shared" si="10"/>
        <v>0</v>
      </c>
      <c r="BA240" s="559">
        <f t="shared" si="11"/>
        <v>0</v>
      </c>
    </row>
    <row r="241" spans="1:53" x14ac:dyDescent="0.35">
      <c r="A241" s="712"/>
      <c r="B241" s="561" t="s">
        <v>121</v>
      </c>
      <c r="C241" s="878"/>
      <c r="D241" s="878"/>
      <c r="E241" s="878"/>
      <c r="F241" s="878"/>
      <c r="G241" s="878"/>
      <c r="H241" s="878"/>
      <c r="I241" s="878"/>
      <c r="J241" s="878"/>
      <c r="K241" s="878"/>
      <c r="L241" s="878"/>
      <c r="M241" s="878"/>
      <c r="N241" s="878"/>
      <c r="O241" s="878"/>
      <c r="P241" s="878"/>
      <c r="Q241" s="878"/>
      <c r="R241" s="878"/>
      <c r="S241" s="878"/>
      <c r="T241" s="878"/>
      <c r="U241" s="878"/>
      <c r="V241" s="878"/>
      <c r="W241" s="878"/>
      <c r="X241" s="878"/>
      <c r="Y241" s="878"/>
      <c r="Z241" s="878"/>
      <c r="AA241" s="878"/>
      <c r="AB241" s="878"/>
      <c r="AC241" s="878"/>
      <c r="AD241" s="878"/>
      <c r="AE241" s="878"/>
      <c r="AF241" s="878"/>
      <c r="AG241" s="878"/>
      <c r="AH241" s="878"/>
      <c r="AI241" s="878"/>
      <c r="AJ241" s="878"/>
      <c r="AK241" s="878"/>
      <c r="AL241" s="878"/>
      <c r="AM241" s="878">
        <v>0.14000000000000001</v>
      </c>
      <c r="AN241" s="878">
        <v>0.14000000000000001</v>
      </c>
      <c r="AO241" s="878">
        <v>0.14000000000000001</v>
      </c>
      <c r="AP241" s="878">
        <v>0.14000000000000001</v>
      </c>
      <c r="AQ241" s="878"/>
      <c r="AR241" s="878"/>
      <c r="AS241" s="878"/>
      <c r="AT241" s="878"/>
      <c r="AU241" s="878"/>
      <c r="AV241" s="878"/>
      <c r="AW241" s="878"/>
      <c r="AX241" s="878"/>
      <c r="AY241" s="559">
        <v>1</v>
      </c>
      <c r="AZ241" s="560">
        <f t="shared" si="10"/>
        <v>0.14000000000000001</v>
      </c>
      <c r="BA241" s="559">
        <f t="shared" si="11"/>
        <v>0.14000000000000001</v>
      </c>
    </row>
    <row r="242" spans="1:53" x14ac:dyDescent="0.35">
      <c r="A242" s="712" t="str">
        <f>DISTRIBUCIÓN!A100</f>
        <v>Paso 4. Articulación con el POMCA</v>
      </c>
      <c r="B242" s="561" t="s">
        <v>302</v>
      </c>
      <c r="C242" s="878"/>
      <c r="D242" s="878"/>
      <c r="E242" s="878"/>
      <c r="F242" s="878"/>
      <c r="G242" s="878"/>
      <c r="H242" s="878"/>
      <c r="I242" s="878"/>
      <c r="J242" s="878"/>
      <c r="K242" s="878"/>
      <c r="L242" s="878"/>
      <c r="M242" s="878"/>
      <c r="N242" s="878"/>
      <c r="O242" s="878"/>
      <c r="P242" s="878"/>
      <c r="Q242" s="878"/>
      <c r="R242" s="878"/>
      <c r="S242" s="878"/>
      <c r="T242" s="878"/>
      <c r="U242" s="878"/>
      <c r="V242" s="878"/>
      <c r="W242" s="878"/>
      <c r="X242" s="878"/>
      <c r="Y242" s="878"/>
      <c r="Z242" s="878"/>
      <c r="AA242" s="878"/>
      <c r="AB242" s="878"/>
      <c r="AC242" s="878"/>
      <c r="AD242" s="878"/>
      <c r="AE242" s="878"/>
      <c r="AF242" s="878"/>
      <c r="AG242" s="878"/>
      <c r="AH242" s="878"/>
      <c r="AI242" s="878"/>
      <c r="AJ242" s="878"/>
      <c r="AK242" s="878"/>
      <c r="AL242" s="878"/>
      <c r="AM242" s="878">
        <v>0.14000000000000001</v>
      </c>
      <c r="AN242" s="878">
        <v>0.14000000000000001</v>
      </c>
      <c r="AO242" s="878">
        <v>0.14000000000000001</v>
      </c>
      <c r="AP242" s="878">
        <v>0.14000000000000001</v>
      </c>
      <c r="AQ242" s="878"/>
      <c r="AR242" s="878"/>
      <c r="AS242" s="878"/>
      <c r="AT242" s="878"/>
      <c r="AU242" s="878"/>
      <c r="AV242" s="878"/>
      <c r="AW242" s="878"/>
      <c r="AX242" s="878"/>
      <c r="AY242" s="559">
        <v>1</v>
      </c>
      <c r="AZ242" s="560">
        <f t="shared" si="10"/>
        <v>0.14000000000000001</v>
      </c>
      <c r="BA242" s="559">
        <f t="shared" si="11"/>
        <v>0.14000000000000001</v>
      </c>
    </row>
    <row r="243" spans="1:53" x14ac:dyDescent="0.35">
      <c r="A243" s="712"/>
      <c r="B243" s="561" t="s">
        <v>156</v>
      </c>
      <c r="C243" s="878"/>
      <c r="D243" s="878"/>
      <c r="E243" s="878"/>
      <c r="F243" s="878"/>
      <c r="G243" s="878"/>
      <c r="H243" s="878"/>
      <c r="I243" s="878"/>
      <c r="J243" s="878"/>
      <c r="K243" s="878"/>
      <c r="L243" s="878"/>
      <c r="M243" s="878"/>
      <c r="N243" s="878"/>
      <c r="O243" s="878"/>
      <c r="P243" s="878"/>
      <c r="Q243" s="878"/>
      <c r="R243" s="878"/>
      <c r="S243" s="878"/>
      <c r="T243" s="878"/>
      <c r="U243" s="878"/>
      <c r="V243" s="878"/>
      <c r="W243" s="878"/>
      <c r="X243" s="878"/>
      <c r="Y243" s="878"/>
      <c r="Z243" s="878"/>
      <c r="AA243" s="878"/>
      <c r="AB243" s="878"/>
      <c r="AC243" s="878"/>
      <c r="AD243" s="878"/>
      <c r="AE243" s="878"/>
      <c r="AF243" s="878"/>
      <c r="AG243" s="878"/>
      <c r="AH243" s="878"/>
      <c r="AI243" s="878"/>
      <c r="AJ243" s="878"/>
      <c r="AK243" s="878"/>
      <c r="AL243" s="878"/>
      <c r="AM243" s="878">
        <v>0.14000000000000001</v>
      </c>
      <c r="AN243" s="878">
        <v>0.14000000000000001</v>
      </c>
      <c r="AO243" s="878">
        <v>0.14000000000000001</v>
      </c>
      <c r="AP243" s="878">
        <v>0.14000000000000001</v>
      </c>
      <c r="AQ243" s="878"/>
      <c r="AR243" s="878"/>
      <c r="AS243" s="878"/>
      <c r="AT243" s="878"/>
      <c r="AU243" s="878"/>
      <c r="AV243" s="878"/>
      <c r="AW243" s="878"/>
      <c r="AX243" s="878"/>
      <c r="AY243" s="559">
        <v>1</v>
      </c>
      <c r="AZ243" s="560">
        <f t="shared" si="10"/>
        <v>0.14000000000000001</v>
      </c>
      <c r="BA243" s="559">
        <f t="shared" si="11"/>
        <v>0.14000000000000001</v>
      </c>
    </row>
    <row r="244" spans="1:53" x14ac:dyDescent="0.35">
      <c r="A244" s="712"/>
      <c r="B244" s="561" t="s">
        <v>157</v>
      </c>
      <c r="C244" s="878"/>
      <c r="D244" s="878"/>
      <c r="E244" s="878"/>
      <c r="F244" s="878"/>
      <c r="G244" s="878"/>
      <c r="H244" s="878"/>
      <c r="I244" s="878"/>
      <c r="J244" s="878"/>
      <c r="K244" s="878"/>
      <c r="L244" s="878"/>
      <c r="M244" s="878"/>
      <c r="N244" s="878"/>
      <c r="O244" s="878"/>
      <c r="P244" s="878"/>
      <c r="Q244" s="878"/>
      <c r="R244" s="878"/>
      <c r="S244" s="878"/>
      <c r="T244" s="878"/>
      <c r="U244" s="878"/>
      <c r="V244" s="878"/>
      <c r="W244" s="878"/>
      <c r="X244" s="878"/>
      <c r="Y244" s="878"/>
      <c r="Z244" s="878"/>
      <c r="AA244" s="878"/>
      <c r="AB244" s="878"/>
      <c r="AC244" s="878"/>
      <c r="AD244" s="878"/>
      <c r="AE244" s="878"/>
      <c r="AF244" s="878"/>
      <c r="AG244" s="878"/>
      <c r="AH244" s="878"/>
      <c r="AI244" s="878"/>
      <c r="AJ244" s="878"/>
      <c r="AK244" s="878"/>
      <c r="AL244" s="878"/>
      <c r="AM244" s="878">
        <v>0</v>
      </c>
      <c r="AN244" s="878">
        <v>0</v>
      </c>
      <c r="AO244" s="878">
        <v>0</v>
      </c>
      <c r="AP244" s="878">
        <v>0</v>
      </c>
      <c r="AQ244" s="878"/>
      <c r="AR244" s="878"/>
      <c r="AS244" s="878"/>
      <c r="AT244" s="878"/>
      <c r="AU244" s="878"/>
      <c r="AV244" s="878"/>
      <c r="AW244" s="878"/>
      <c r="AX244" s="878"/>
      <c r="AY244" s="559">
        <v>1</v>
      </c>
      <c r="AZ244" s="560">
        <f t="shared" si="10"/>
        <v>0</v>
      </c>
      <c r="BA244" s="559">
        <f t="shared" si="11"/>
        <v>0</v>
      </c>
    </row>
    <row r="245" spans="1:53" x14ac:dyDescent="0.35">
      <c r="A245" s="712"/>
      <c r="B245" s="561" t="s">
        <v>158</v>
      </c>
      <c r="C245" s="878"/>
      <c r="D245" s="878"/>
      <c r="E245" s="878"/>
      <c r="F245" s="878"/>
      <c r="G245" s="878"/>
      <c r="H245" s="878"/>
      <c r="I245" s="878"/>
      <c r="J245" s="878"/>
      <c r="K245" s="878"/>
      <c r="L245" s="878"/>
      <c r="M245" s="878"/>
      <c r="N245" s="878"/>
      <c r="O245" s="878"/>
      <c r="P245" s="878"/>
      <c r="Q245" s="878"/>
      <c r="R245" s="878"/>
      <c r="S245" s="878"/>
      <c r="T245" s="878"/>
      <c r="U245" s="878"/>
      <c r="V245" s="878"/>
      <c r="W245" s="878"/>
      <c r="X245" s="878"/>
      <c r="Y245" s="878"/>
      <c r="Z245" s="878"/>
      <c r="AA245" s="878"/>
      <c r="AB245" s="878"/>
      <c r="AC245" s="878"/>
      <c r="AD245" s="878"/>
      <c r="AE245" s="878"/>
      <c r="AF245" s="878"/>
      <c r="AG245" s="878"/>
      <c r="AH245" s="878"/>
      <c r="AI245" s="878"/>
      <c r="AJ245" s="878"/>
      <c r="AK245" s="878"/>
      <c r="AL245" s="878"/>
      <c r="AM245" s="878">
        <v>0</v>
      </c>
      <c r="AN245" s="878">
        <v>0</v>
      </c>
      <c r="AO245" s="878">
        <v>0</v>
      </c>
      <c r="AP245" s="878">
        <v>0</v>
      </c>
      <c r="AQ245" s="878"/>
      <c r="AR245" s="878"/>
      <c r="AS245" s="878"/>
      <c r="AT245" s="878"/>
      <c r="AU245" s="878"/>
      <c r="AV245" s="878"/>
      <c r="AW245" s="878"/>
      <c r="AX245" s="878"/>
      <c r="AY245" s="559">
        <v>1</v>
      </c>
      <c r="AZ245" s="560">
        <f t="shared" si="10"/>
        <v>0</v>
      </c>
      <c r="BA245" s="559">
        <f t="shared" si="11"/>
        <v>0</v>
      </c>
    </row>
    <row r="246" spans="1:53" x14ac:dyDescent="0.35">
      <c r="A246" s="712"/>
      <c r="B246" s="561" t="s">
        <v>159</v>
      </c>
      <c r="C246" s="878"/>
      <c r="D246" s="878"/>
      <c r="E246" s="878"/>
      <c r="F246" s="878"/>
      <c r="G246" s="878"/>
      <c r="H246" s="878"/>
      <c r="I246" s="878"/>
      <c r="J246" s="878"/>
      <c r="K246" s="878"/>
      <c r="L246" s="878"/>
      <c r="M246" s="878"/>
      <c r="N246" s="878"/>
      <c r="O246" s="878"/>
      <c r="P246" s="878"/>
      <c r="Q246" s="878"/>
      <c r="R246" s="878"/>
      <c r="S246" s="878"/>
      <c r="T246" s="878"/>
      <c r="U246" s="878"/>
      <c r="V246" s="878"/>
      <c r="W246" s="878"/>
      <c r="X246" s="878"/>
      <c r="Y246" s="878"/>
      <c r="Z246" s="878"/>
      <c r="AA246" s="878"/>
      <c r="AB246" s="878"/>
      <c r="AC246" s="878"/>
      <c r="AD246" s="878"/>
      <c r="AE246" s="878"/>
      <c r="AF246" s="878"/>
      <c r="AG246" s="878"/>
      <c r="AH246" s="878"/>
      <c r="AI246" s="878"/>
      <c r="AJ246" s="878"/>
      <c r="AK246" s="878"/>
      <c r="AL246" s="878"/>
      <c r="AM246" s="878">
        <v>0</v>
      </c>
      <c r="AN246" s="878">
        <v>0</v>
      </c>
      <c r="AO246" s="878">
        <v>0</v>
      </c>
      <c r="AP246" s="878">
        <v>0</v>
      </c>
      <c r="AQ246" s="878"/>
      <c r="AR246" s="878"/>
      <c r="AS246" s="878"/>
      <c r="AT246" s="878"/>
      <c r="AU246" s="878"/>
      <c r="AV246" s="878"/>
      <c r="AW246" s="878"/>
      <c r="AX246" s="878"/>
      <c r="AY246" s="559">
        <v>1</v>
      </c>
      <c r="AZ246" s="560">
        <f t="shared" si="10"/>
        <v>0</v>
      </c>
      <c r="BA246" s="559">
        <f t="shared" si="11"/>
        <v>0</v>
      </c>
    </row>
    <row r="247" spans="1:53" x14ac:dyDescent="0.35">
      <c r="A247" s="712"/>
      <c r="B247" s="561" t="s">
        <v>131</v>
      </c>
      <c r="C247" s="878"/>
      <c r="D247" s="878"/>
      <c r="E247" s="878"/>
      <c r="F247" s="878"/>
      <c r="G247" s="878"/>
      <c r="H247" s="878"/>
      <c r="I247" s="878"/>
      <c r="J247" s="878"/>
      <c r="K247" s="878"/>
      <c r="L247" s="878"/>
      <c r="M247" s="878"/>
      <c r="N247" s="878"/>
      <c r="O247" s="878"/>
      <c r="P247" s="878"/>
      <c r="Q247" s="878"/>
      <c r="R247" s="878"/>
      <c r="S247" s="878"/>
      <c r="T247" s="878"/>
      <c r="U247" s="878"/>
      <c r="V247" s="878"/>
      <c r="W247" s="878"/>
      <c r="X247" s="878"/>
      <c r="Y247" s="878"/>
      <c r="Z247" s="878"/>
      <c r="AA247" s="878"/>
      <c r="AB247" s="878"/>
      <c r="AC247" s="878"/>
      <c r="AD247" s="878"/>
      <c r="AE247" s="878"/>
      <c r="AF247" s="878"/>
      <c r="AG247" s="878"/>
      <c r="AH247" s="878"/>
      <c r="AI247" s="878"/>
      <c r="AJ247" s="878"/>
      <c r="AK247" s="878"/>
      <c r="AL247" s="878"/>
      <c r="AM247" s="878">
        <v>0</v>
      </c>
      <c r="AN247" s="878">
        <v>0</v>
      </c>
      <c r="AO247" s="878">
        <v>0</v>
      </c>
      <c r="AP247" s="878">
        <v>0</v>
      </c>
      <c r="AQ247" s="878"/>
      <c r="AR247" s="878"/>
      <c r="AS247" s="878"/>
      <c r="AT247" s="878"/>
      <c r="AU247" s="878"/>
      <c r="AV247" s="878"/>
      <c r="AW247" s="878"/>
      <c r="AX247" s="878"/>
      <c r="AY247" s="559">
        <v>1</v>
      </c>
      <c r="AZ247" s="560">
        <f t="shared" ref="AZ247:AZ290" si="12">IF(COUNTIF(B247:AX247,"&gt;0")=0,0,ROUND(SUM(B247:AX247)/COUNTIF(B247:AX247,"&gt;0"),4))</f>
        <v>0</v>
      </c>
      <c r="BA247" s="559">
        <f t="shared" ref="BA247:BA290" si="13">ROUND(SUM(B247:AX247)/4,2)</f>
        <v>0</v>
      </c>
    </row>
    <row r="248" spans="1:53" x14ac:dyDescent="0.35">
      <c r="A248" s="712"/>
      <c r="B248" s="561" t="s">
        <v>121</v>
      </c>
      <c r="C248" s="878"/>
      <c r="D248" s="878"/>
      <c r="E248" s="878"/>
      <c r="F248" s="878"/>
      <c r="G248" s="878"/>
      <c r="H248" s="878"/>
      <c r="I248" s="878"/>
      <c r="J248" s="878"/>
      <c r="K248" s="878"/>
      <c r="L248" s="878"/>
      <c r="M248" s="878"/>
      <c r="N248" s="878"/>
      <c r="O248" s="878"/>
      <c r="P248" s="878"/>
      <c r="Q248" s="878"/>
      <c r="R248" s="878"/>
      <c r="S248" s="878"/>
      <c r="T248" s="878"/>
      <c r="U248" s="878"/>
      <c r="V248" s="878"/>
      <c r="W248" s="878"/>
      <c r="X248" s="878"/>
      <c r="Y248" s="878"/>
      <c r="Z248" s="878"/>
      <c r="AA248" s="878"/>
      <c r="AB248" s="878"/>
      <c r="AC248" s="878"/>
      <c r="AD248" s="878"/>
      <c r="AE248" s="878"/>
      <c r="AF248" s="878"/>
      <c r="AG248" s="878"/>
      <c r="AH248" s="878"/>
      <c r="AI248" s="878"/>
      <c r="AJ248" s="878"/>
      <c r="AK248" s="878"/>
      <c r="AL248" s="878"/>
      <c r="AM248" s="878">
        <v>0.14000000000000001</v>
      </c>
      <c r="AN248" s="878">
        <v>0.14000000000000001</v>
      </c>
      <c r="AO248" s="878">
        <v>0.14000000000000001</v>
      </c>
      <c r="AP248" s="878">
        <v>0.14000000000000001</v>
      </c>
      <c r="AQ248" s="878"/>
      <c r="AR248" s="878"/>
      <c r="AS248" s="878"/>
      <c r="AT248" s="878"/>
      <c r="AU248" s="878"/>
      <c r="AV248" s="878"/>
      <c r="AW248" s="878"/>
      <c r="AX248" s="878"/>
      <c r="AY248" s="559">
        <v>1</v>
      </c>
      <c r="AZ248" s="560">
        <f t="shared" si="12"/>
        <v>0.14000000000000001</v>
      </c>
      <c r="BA248" s="559">
        <f t="shared" si="13"/>
        <v>0.14000000000000001</v>
      </c>
    </row>
    <row r="249" spans="1:53" x14ac:dyDescent="0.35">
      <c r="A249" s="712" t="str">
        <f>DISTRIBUCIÓN!A101</f>
        <v>Paso 5: Articulación con otros instrumentos</v>
      </c>
      <c r="B249" s="561" t="s">
        <v>302</v>
      </c>
      <c r="C249" s="878"/>
      <c r="D249" s="878"/>
      <c r="E249" s="878"/>
      <c r="F249" s="878"/>
      <c r="G249" s="878"/>
      <c r="H249" s="878"/>
      <c r="I249" s="878"/>
      <c r="J249" s="878"/>
      <c r="K249" s="878"/>
      <c r="L249" s="878"/>
      <c r="M249" s="878"/>
      <c r="N249" s="878"/>
      <c r="O249" s="878"/>
      <c r="P249" s="878"/>
      <c r="Q249" s="878"/>
      <c r="R249" s="878"/>
      <c r="S249" s="878"/>
      <c r="T249" s="878"/>
      <c r="U249" s="878"/>
      <c r="V249" s="878"/>
      <c r="W249" s="878"/>
      <c r="X249" s="878"/>
      <c r="Y249" s="878"/>
      <c r="Z249" s="878"/>
      <c r="AA249" s="878"/>
      <c r="AB249" s="878"/>
      <c r="AC249" s="878"/>
      <c r="AD249" s="878"/>
      <c r="AE249" s="878"/>
      <c r="AF249" s="878"/>
      <c r="AG249" s="878"/>
      <c r="AH249" s="878"/>
      <c r="AI249" s="878"/>
      <c r="AJ249" s="878"/>
      <c r="AK249" s="878"/>
      <c r="AL249" s="878"/>
      <c r="AM249" s="878">
        <v>0.14000000000000001</v>
      </c>
      <c r="AN249" s="878">
        <v>0.14000000000000001</v>
      </c>
      <c r="AO249" s="878">
        <v>0.14000000000000001</v>
      </c>
      <c r="AP249" s="878">
        <v>0.14000000000000001</v>
      </c>
      <c r="AQ249" s="878"/>
      <c r="AR249" s="878"/>
      <c r="AS249" s="878"/>
      <c r="AT249" s="878"/>
      <c r="AU249" s="878"/>
      <c r="AV249" s="878"/>
      <c r="AW249" s="878"/>
      <c r="AX249" s="878"/>
      <c r="AY249" s="559">
        <v>1</v>
      </c>
      <c r="AZ249" s="560">
        <f t="shared" si="12"/>
        <v>0.14000000000000001</v>
      </c>
      <c r="BA249" s="559">
        <f t="shared" si="13"/>
        <v>0.14000000000000001</v>
      </c>
    </row>
    <row r="250" spans="1:53" x14ac:dyDescent="0.35">
      <c r="A250" s="712"/>
      <c r="B250" s="561" t="s">
        <v>156</v>
      </c>
      <c r="C250" s="878"/>
      <c r="D250" s="878"/>
      <c r="E250" s="878"/>
      <c r="F250" s="878"/>
      <c r="G250" s="878"/>
      <c r="H250" s="878"/>
      <c r="I250" s="878"/>
      <c r="J250" s="878"/>
      <c r="K250" s="878"/>
      <c r="L250" s="878"/>
      <c r="M250" s="878"/>
      <c r="N250" s="878"/>
      <c r="O250" s="878"/>
      <c r="P250" s="878"/>
      <c r="Q250" s="878"/>
      <c r="R250" s="878"/>
      <c r="S250" s="878"/>
      <c r="T250" s="878"/>
      <c r="U250" s="878"/>
      <c r="V250" s="878"/>
      <c r="W250" s="878"/>
      <c r="X250" s="878"/>
      <c r="Y250" s="878"/>
      <c r="Z250" s="878"/>
      <c r="AA250" s="878"/>
      <c r="AB250" s="878"/>
      <c r="AC250" s="878"/>
      <c r="AD250" s="878"/>
      <c r="AE250" s="878"/>
      <c r="AF250" s="878"/>
      <c r="AG250" s="878"/>
      <c r="AH250" s="878"/>
      <c r="AI250" s="878"/>
      <c r="AJ250" s="878"/>
      <c r="AK250" s="878"/>
      <c r="AL250" s="878"/>
      <c r="AM250" s="878">
        <v>0.14000000000000001</v>
      </c>
      <c r="AN250" s="878">
        <v>0.14000000000000001</v>
      </c>
      <c r="AO250" s="878">
        <v>0.14000000000000001</v>
      </c>
      <c r="AP250" s="878">
        <v>0.14000000000000001</v>
      </c>
      <c r="AQ250" s="878"/>
      <c r="AR250" s="878"/>
      <c r="AS250" s="878"/>
      <c r="AT250" s="878"/>
      <c r="AU250" s="878"/>
      <c r="AV250" s="878"/>
      <c r="AW250" s="878"/>
      <c r="AX250" s="878"/>
      <c r="AY250" s="559">
        <v>1</v>
      </c>
      <c r="AZ250" s="560">
        <f t="shared" si="12"/>
        <v>0.14000000000000001</v>
      </c>
      <c r="BA250" s="559">
        <f t="shared" si="13"/>
        <v>0.14000000000000001</v>
      </c>
    </row>
    <row r="251" spans="1:53" x14ac:dyDescent="0.35">
      <c r="A251" s="712"/>
      <c r="B251" s="561" t="s">
        <v>157</v>
      </c>
      <c r="C251" s="878"/>
      <c r="D251" s="878"/>
      <c r="E251" s="878"/>
      <c r="F251" s="878"/>
      <c r="G251" s="878"/>
      <c r="H251" s="878"/>
      <c r="I251" s="878"/>
      <c r="J251" s="878"/>
      <c r="K251" s="878"/>
      <c r="L251" s="878"/>
      <c r="M251" s="878"/>
      <c r="N251" s="878"/>
      <c r="O251" s="878"/>
      <c r="P251" s="878"/>
      <c r="Q251" s="878"/>
      <c r="R251" s="878"/>
      <c r="S251" s="878"/>
      <c r="T251" s="878"/>
      <c r="U251" s="878"/>
      <c r="V251" s="878"/>
      <c r="W251" s="878"/>
      <c r="X251" s="878"/>
      <c r="Y251" s="878"/>
      <c r="Z251" s="878"/>
      <c r="AA251" s="878"/>
      <c r="AB251" s="878"/>
      <c r="AC251" s="878"/>
      <c r="AD251" s="878"/>
      <c r="AE251" s="878"/>
      <c r="AF251" s="878"/>
      <c r="AG251" s="878"/>
      <c r="AH251" s="878"/>
      <c r="AI251" s="878"/>
      <c r="AJ251" s="878"/>
      <c r="AK251" s="878"/>
      <c r="AL251" s="878"/>
      <c r="AM251" s="878">
        <v>0</v>
      </c>
      <c r="AN251" s="878">
        <v>0</v>
      </c>
      <c r="AO251" s="878">
        <v>0</v>
      </c>
      <c r="AP251" s="878">
        <v>0</v>
      </c>
      <c r="AQ251" s="878"/>
      <c r="AR251" s="878"/>
      <c r="AS251" s="878"/>
      <c r="AT251" s="878"/>
      <c r="AU251" s="878"/>
      <c r="AV251" s="878"/>
      <c r="AW251" s="878"/>
      <c r="AX251" s="878"/>
      <c r="AY251" s="559">
        <v>1</v>
      </c>
      <c r="AZ251" s="560">
        <f t="shared" si="12"/>
        <v>0</v>
      </c>
      <c r="BA251" s="559">
        <f t="shared" si="13"/>
        <v>0</v>
      </c>
    </row>
    <row r="252" spans="1:53" x14ac:dyDescent="0.35">
      <c r="A252" s="712"/>
      <c r="B252" s="561" t="s">
        <v>158</v>
      </c>
      <c r="C252" s="878"/>
      <c r="D252" s="878"/>
      <c r="E252" s="878"/>
      <c r="F252" s="878"/>
      <c r="G252" s="878"/>
      <c r="H252" s="878"/>
      <c r="I252" s="878"/>
      <c r="J252" s="878"/>
      <c r="K252" s="878"/>
      <c r="L252" s="878"/>
      <c r="M252" s="878"/>
      <c r="N252" s="878"/>
      <c r="O252" s="878"/>
      <c r="P252" s="878"/>
      <c r="Q252" s="878"/>
      <c r="R252" s="878"/>
      <c r="S252" s="878"/>
      <c r="T252" s="878"/>
      <c r="U252" s="878"/>
      <c r="V252" s="878"/>
      <c r="W252" s="878"/>
      <c r="X252" s="878"/>
      <c r="Y252" s="878"/>
      <c r="Z252" s="878"/>
      <c r="AA252" s="878"/>
      <c r="AB252" s="878"/>
      <c r="AC252" s="878"/>
      <c r="AD252" s="878"/>
      <c r="AE252" s="878"/>
      <c r="AF252" s="878"/>
      <c r="AG252" s="878"/>
      <c r="AH252" s="878"/>
      <c r="AI252" s="878"/>
      <c r="AJ252" s="878"/>
      <c r="AK252" s="878"/>
      <c r="AL252" s="878"/>
      <c r="AM252" s="878">
        <v>0</v>
      </c>
      <c r="AN252" s="878">
        <v>0</v>
      </c>
      <c r="AO252" s="878">
        <v>0</v>
      </c>
      <c r="AP252" s="878">
        <v>0</v>
      </c>
      <c r="AQ252" s="878"/>
      <c r="AR252" s="878"/>
      <c r="AS252" s="878"/>
      <c r="AT252" s="878"/>
      <c r="AU252" s="878"/>
      <c r="AV252" s="878"/>
      <c r="AW252" s="878"/>
      <c r="AX252" s="878"/>
      <c r="AY252" s="559">
        <v>1</v>
      </c>
      <c r="AZ252" s="560">
        <f t="shared" si="12"/>
        <v>0</v>
      </c>
      <c r="BA252" s="559">
        <f t="shared" si="13"/>
        <v>0</v>
      </c>
    </row>
    <row r="253" spans="1:53" x14ac:dyDescent="0.35">
      <c r="A253" s="712"/>
      <c r="B253" s="561" t="s">
        <v>159</v>
      </c>
      <c r="C253" s="878"/>
      <c r="D253" s="878"/>
      <c r="E253" s="878"/>
      <c r="F253" s="878"/>
      <c r="G253" s="878"/>
      <c r="H253" s="878"/>
      <c r="I253" s="878"/>
      <c r="J253" s="878"/>
      <c r="K253" s="878"/>
      <c r="L253" s="878"/>
      <c r="M253" s="878"/>
      <c r="N253" s="878"/>
      <c r="O253" s="878"/>
      <c r="P253" s="878"/>
      <c r="Q253" s="878"/>
      <c r="R253" s="878"/>
      <c r="S253" s="878"/>
      <c r="T253" s="878"/>
      <c r="U253" s="878"/>
      <c r="V253" s="878"/>
      <c r="W253" s="878"/>
      <c r="X253" s="878"/>
      <c r="Y253" s="878"/>
      <c r="Z253" s="878"/>
      <c r="AA253" s="878"/>
      <c r="AB253" s="878"/>
      <c r="AC253" s="878"/>
      <c r="AD253" s="878"/>
      <c r="AE253" s="878"/>
      <c r="AF253" s="878"/>
      <c r="AG253" s="878"/>
      <c r="AH253" s="878"/>
      <c r="AI253" s="878"/>
      <c r="AJ253" s="878"/>
      <c r="AK253" s="878"/>
      <c r="AL253" s="878"/>
      <c r="AM253" s="878">
        <v>0</v>
      </c>
      <c r="AN253" s="878">
        <v>0</v>
      </c>
      <c r="AO253" s="878">
        <v>0</v>
      </c>
      <c r="AP253" s="878">
        <v>0</v>
      </c>
      <c r="AQ253" s="878"/>
      <c r="AR253" s="878"/>
      <c r="AS253" s="878"/>
      <c r="AT253" s="878"/>
      <c r="AU253" s="878"/>
      <c r="AV253" s="878"/>
      <c r="AW253" s="878"/>
      <c r="AX253" s="878"/>
      <c r="AY253" s="559">
        <v>1</v>
      </c>
      <c r="AZ253" s="560">
        <f t="shared" si="12"/>
        <v>0</v>
      </c>
      <c r="BA253" s="559">
        <f t="shared" si="13"/>
        <v>0</v>
      </c>
    </row>
    <row r="254" spans="1:53" x14ac:dyDescent="0.35">
      <c r="A254" s="712"/>
      <c r="B254" s="561" t="s">
        <v>131</v>
      </c>
      <c r="C254" s="878"/>
      <c r="D254" s="878"/>
      <c r="E254" s="878"/>
      <c r="F254" s="878"/>
      <c r="G254" s="878"/>
      <c r="H254" s="878"/>
      <c r="I254" s="878"/>
      <c r="J254" s="878"/>
      <c r="K254" s="878"/>
      <c r="L254" s="878"/>
      <c r="M254" s="878"/>
      <c r="N254" s="878"/>
      <c r="O254" s="878"/>
      <c r="P254" s="878"/>
      <c r="Q254" s="878"/>
      <c r="R254" s="878"/>
      <c r="S254" s="878"/>
      <c r="T254" s="878"/>
      <c r="U254" s="878"/>
      <c r="V254" s="878"/>
      <c r="W254" s="878"/>
      <c r="X254" s="878"/>
      <c r="Y254" s="878"/>
      <c r="Z254" s="878"/>
      <c r="AA254" s="878"/>
      <c r="AB254" s="878"/>
      <c r="AC254" s="878"/>
      <c r="AD254" s="878"/>
      <c r="AE254" s="878"/>
      <c r="AF254" s="878"/>
      <c r="AG254" s="878"/>
      <c r="AH254" s="878"/>
      <c r="AI254" s="878"/>
      <c r="AJ254" s="878"/>
      <c r="AK254" s="878"/>
      <c r="AL254" s="878"/>
      <c r="AM254" s="878">
        <v>0</v>
      </c>
      <c r="AN254" s="878">
        <v>0</v>
      </c>
      <c r="AO254" s="878">
        <v>0</v>
      </c>
      <c r="AP254" s="878">
        <v>0</v>
      </c>
      <c r="AQ254" s="878"/>
      <c r="AR254" s="878"/>
      <c r="AS254" s="878"/>
      <c r="AT254" s="878"/>
      <c r="AU254" s="878"/>
      <c r="AV254" s="878"/>
      <c r="AW254" s="878"/>
      <c r="AX254" s="878"/>
      <c r="AY254" s="559">
        <v>1</v>
      </c>
      <c r="AZ254" s="560">
        <f t="shared" si="12"/>
        <v>0</v>
      </c>
      <c r="BA254" s="559">
        <f t="shared" si="13"/>
        <v>0</v>
      </c>
    </row>
    <row r="255" spans="1:53" x14ac:dyDescent="0.35">
      <c r="A255" s="712"/>
      <c r="B255" s="561" t="s">
        <v>121</v>
      </c>
      <c r="C255" s="878"/>
      <c r="D255" s="878"/>
      <c r="E255" s="878"/>
      <c r="F255" s="878"/>
      <c r="G255" s="878"/>
      <c r="H255" s="878"/>
      <c r="I255" s="878"/>
      <c r="J255" s="878"/>
      <c r="K255" s="878"/>
      <c r="L255" s="878"/>
      <c r="M255" s="878"/>
      <c r="N255" s="878"/>
      <c r="O255" s="878"/>
      <c r="P255" s="878"/>
      <c r="Q255" s="878"/>
      <c r="R255" s="878"/>
      <c r="S255" s="878"/>
      <c r="T255" s="878"/>
      <c r="U255" s="878"/>
      <c r="V255" s="878"/>
      <c r="W255" s="878"/>
      <c r="X255" s="878"/>
      <c r="Y255" s="878"/>
      <c r="Z255" s="878"/>
      <c r="AA255" s="878"/>
      <c r="AB255" s="878"/>
      <c r="AC255" s="878"/>
      <c r="AD255" s="878"/>
      <c r="AE255" s="878"/>
      <c r="AF255" s="878"/>
      <c r="AG255" s="878"/>
      <c r="AH255" s="878"/>
      <c r="AI255" s="878"/>
      <c r="AJ255" s="878"/>
      <c r="AK255" s="878"/>
      <c r="AL255" s="878"/>
      <c r="AM255" s="878">
        <v>0.14000000000000001</v>
      </c>
      <c r="AN255" s="878">
        <v>0.14000000000000001</v>
      </c>
      <c r="AO255" s="878">
        <v>0.14000000000000001</v>
      </c>
      <c r="AP255" s="878">
        <v>0.14000000000000001</v>
      </c>
      <c r="AQ255" s="878"/>
      <c r="AR255" s="878"/>
      <c r="AS255" s="878"/>
      <c r="AT255" s="878"/>
      <c r="AU255" s="878"/>
      <c r="AV255" s="878"/>
      <c r="AW255" s="878"/>
      <c r="AX255" s="878"/>
      <c r="AY255" s="559">
        <v>1</v>
      </c>
      <c r="AZ255" s="560">
        <f t="shared" si="12"/>
        <v>0.14000000000000001</v>
      </c>
      <c r="BA255" s="559">
        <f t="shared" si="13"/>
        <v>0.14000000000000001</v>
      </c>
    </row>
    <row r="256" spans="1:53" x14ac:dyDescent="0.35">
      <c r="A256" s="712" t="str">
        <f>DISTRIBUCIÓN!A102</f>
        <v>Paso 6: Elaboración del programa de seguimiento y monitoreo al recurso hídrico</v>
      </c>
      <c r="B256" s="561" t="s">
        <v>302</v>
      </c>
      <c r="C256" s="878"/>
      <c r="D256" s="878"/>
      <c r="E256" s="878"/>
      <c r="F256" s="878"/>
      <c r="G256" s="878"/>
      <c r="H256" s="878"/>
      <c r="I256" s="878"/>
      <c r="J256" s="878"/>
      <c r="K256" s="878"/>
      <c r="L256" s="878"/>
      <c r="M256" s="878"/>
      <c r="N256" s="878"/>
      <c r="O256" s="878"/>
      <c r="P256" s="878"/>
      <c r="Q256" s="878"/>
      <c r="R256" s="878"/>
      <c r="S256" s="878"/>
      <c r="T256" s="878"/>
      <c r="U256" s="878"/>
      <c r="V256" s="878"/>
      <c r="W256" s="878"/>
      <c r="X256" s="878"/>
      <c r="Y256" s="878"/>
      <c r="Z256" s="878"/>
      <c r="AA256" s="878"/>
      <c r="AB256" s="878"/>
      <c r="AC256" s="878"/>
      <c r="AD256" s="878"/>
      <c r="AE256" s="878"/>
      <c r="AF256" s="878"/>
      <c r="AG256" s="878"/>
      <c r="AH256" s="878"/>
      <c r="AI256" s="878"/>
      <c r="AJ256" s="878"/>
      <c r="AK256" s="878"/>
      <c r="AL256" s="878"/>
      <c r="AM256" s="878"/>
      <c r="AN256" s="878"/>
      <c r="AO256" s="878"/>
      <c r="AP256" s="878"/>
      <c r="AQ256" s="878">
        <v>0.18</v>
      </c>
      <c r="AR256" s="878">
        <v>0.18</v>
      </c>
      <c r="AS256" s="878">
        <v>0.18</v>
      </c>
      <c r="AT256" s="878">
        <v>0.18</v>
      </c>
      <c r="AU256" s="878"/>
      <c r="AV256" s="878"/>
      <c r="AW256" s="878"/>
      <c r="AX256" s="878"/>
      <c r="AY256" s="559">
        <v>1</v>
      </c>
      <c r="AZ256" s="560">
        <f t="shared" si="12"/>
        <v>0.18</v>
      </c>
      <c r="BA256" s="559">
        <f t="shared" si="13"/>
        <v>0.18</v>
      </c>
    </row>
    <row r="257" spans="1:53" x14ac:dyDescent="0.35">
      <c r="A257" s="712"/>
      <c r="B257" s="561" t="s">
        <v>156</v>
      </c>
      <c r="C257" s="878"/>
      <c r="D257" s="878"/>
      <c r="E257" s="878"/>
      <c r="F257" s="878"/>
      <c r="G257" s="878"/>
      <c r="H257" s="878"/>
      <c r="I257" s="878"/>
      <c r="J257" s="878"/>
      <c r="K257" s="878"/>
      <c r="L257" s="878"/>
      <c r="M257" s="878"/>
      <c r="N257" s="878"/>
      <c r="O257" s="878"/>
      <c r="P257" s="878"/>
      <c r="Q257" s="878"/>
      <c r="R257" s="878"/>
      <c r="S257" s="878"/>
      <c r="T257" s="878"/>
      <c r="U257" s="878"/>
      <c r="V257" s="878"/>
      <c r="W257" s="878"/>
      <c r="X257" s="878"/>
      <c r="Y257" s="878"/>
      <c r="Z257" s="878"/>
      <c r="AA257" s="878"/>
      <c r="AB257" s="878"/>
      <c r="AC257" s="878"/>
      <c r="AD257" s="878"/>
      <c r="AE257" s="878"/>
      <c r="AF257" s="878"/>
      <c r="AG257" s="878"/>
      <c r="AH257" s="878"/>
      <c r="AI257" s="878"/>
      <c r="AJ257" s="878"/>
      <c r="AK257" s="878"/>
      <c r="AL257" s="878"/>
      <c r="AM257" s="878"/>
      <c r="AN257" s="878"/>
      <c r="AO257" s="878"/>
      <c r="AP257" s="878"/>
      <c r="AQ257" s="878">
        <v>0.17</v>
      </c>
      <c r="AR257" s="878">
        <v>0.17</v>
      </c>
      <c r="AS257" s="878">
        <v>0.17</v>
      </c>
      <c r="AT257" s="878">
        <v>0.17</v>
      </c>
      <c r="AU257" s="878"/>
      <c r="AV257" s="878"/>
      <c r="AW257" s="878"/>
      <c r="AX257" s="878"/>
      <c r="AY257" s="559">
        <v>1</v>
      </c>
      <c r="AZ257" s="560">
        <f t="shared" si="12"/>
        <v>0.17</v>
      </c>
      <c r="BA257" s="559">
        <f t="shared" si="13"/>
        <v>0.17</v>
      </c>
    </row>
    <row r="258" spans="1:53" x14ac:dyDescent="0.35">
      <c r="A258" s="712"/>
      <c r="B258" s="561" t="s">
        <v>157</v>
      </c>
      <c r="C258" s="878"/>
      <c r="D258" s="878"/>
      <c r="E258" s="878"/>
      <c r="F258" s="878"/>
      <c r="G258" s="878"/>
      <c r="H258" s="878"/>
      <c r="I258" s="878"/>
      <c r="J258" s="878"/>
      <c r="K258" s="878"/>
      <c r="L258" s="878"/>
      <c r="M258" s="878"/>
      <c r="N258" s="878"/>
      <c r="O258" s="878"/>
      <c r="P258" s="878"/>
      <c r="Q258" s="878"/>
      <c r="R258" s="878"/>
      <c r="S258" s="878"/>
      <c r="T258" s="878"/>
      <c r="U258" s="878"/>
      <c r="V258" s="878"/>
      <c r="W258" s="878"/>
      <c r="X258" s="878"/>
      <c r="Y258" s="878"/>
      <c r="Z258" s="878"/>
      <c r="AA258" s="878"/>
      <c r="AB258" s="878"/>
      <c r="AC258" s="878"/>
      <c r="AD258" s="878"/>
      <c r="AE258" s="878"/>
      <c r="AF258" s="878"/>
      <c r="AG258" s="878"/>
      <c r="AH258" s="878"/>
      <c r="AI258" s="878"/>
      <c r="AJ258" s="878"/>
      <c r="AK258" s="878"/>
      <c r="AL258" s="878"/>
      <c r="AM258" s="878"/>
      <c r="AN258" s="878"/>
      <c r="AO258" s="878"/>
      <c r="AP258" s="878"/>
      <c r="AQ258" s="878">
        <v>0</v>
      </c>
      <c r="AR258" s="878">
        <v>0</v>
      </c>
      <c r="AS258" s="878">
        <v>0</v>
      </c>
      <c r="AT258" s="878">
        <v>0</v>
      </c>
      <c r="AU258" s="878"/>
      <c r="AV258" s="878"/>
      <c r="AW258" s="878"/>
      <c r="AX258" s="878"/>
      <c r="AY258" s="559">
        <v>1</v>
      </c>
      <c r="AZ258" s="560">
        <f t="shared" si="12"/>
        <v>0</v>
      </c>
      <c r="BA258" s="559">
        <f t="shared" si="13"/>
        <v>0</v>
      </c>
    </row>
    <row r="259" spans="1:53" x14ac:dyDescent="0.35">
      <c r="A259" s="712"/>
      <c r="B259" s="561" t="s">
        <v>158</v>
      </c>
      <c r="C259" s="878"/>
      <c r="D259" s="878"/>
      <c r="E259" s="878"/>
      <c r="F259" s="878"/>
      <c r="G259" s="878"/>
      <c r="H259" s="878"/>
      <c r="I259" s="878"/>
      <c r="J259" s="878"/>
      <c r="K259" s="878"/>
      <c r="L259" s="878"/>
      <c r="M259" s="878"/>
      <c r="N259" s="878"/>
      <c r="O259" s="878"/>
      <c r="P259" s="878"/>
      <c r="Q259" s="878"/>
      <c r="R259" s="878"/>
      <c r="S259" s="878"/>
      <c r="T259" s="878"/>
      <c r="U259" s="878"/>
      <c r="V259" s="878"/>
      <c r="W259" s="878"/>
      <c r="X259" s="878"/>
      <c r="Y259" s="878"/>
      <c r="Z259" s="878"/>
      <c r="AA259" s="878"/>
      <c r="AB259" s="878"/>
      <c r="AC259" s="878"/>
      <c r="AD259" s="878"/>
      <c r="AE259" s="878"/>
      <c r="AF259" s="878"/>
      <c r="AG259" s="878"/>
      <c r="AH259" s="878"/>
      <c r="AI259" s="878"/>
      <c r="AJ259" s="878"/>
      <c r="AK259" s="878"/>
      <c r="AL259" s="878"/>
      <c r="AM259" s="878"/>
      <c r="AN259" s="878"/>
      <c r="AO259" s="878"/>
      <c r="AP259" s="878"/>
      <c r="AQ259" s="878">
        <v>0</v>
      </c>
      <c r="AR259" s="878">
        <v>0</v>
      </c>
      <c r="AS259" s="878">
        <v>0</v>
      </c>
      <c r="AT259" s="878">
        <v>0</v>
      </c>
      <c r="AU259" s="878"/>
      <c r="AV259" s="878"/>
      <c r="AW259" s="878"/>
      <c r="AX259" s="878"/>
      <c r="AY259" s="559">
        <v>1</v>
      </c>
      <c r="AZ259" s="560">
        <f t="shared" si="12"/>
        <v>0</v>
      </c>
      <c r="BA259" s="559">
        <f t="shared" si="13"/>
        <v>0</v>
      </c>
    </row>
    <row r="260" spans="1:53" x14ac:dyDescent="0.35">
      <c r="A260" s="712"/>
      <c r="B260" s="561" t="s">
        <v>159</v>
      </c>
      <c r="C260" s="878"/>
      <c r="D260" s="878"/>
      <c r="E260" s="878"/>
      <c r="F260" s="878"/>
      <c r="G260" s="878"/>
      <c r="H260" s="878"/>
      <c r="I260" s="878"/>
      <c r="J260" s="878"/>
      <c r="K260" s="878"/>
      <c r="L260" s="878"/>
      <c r="M260" s="878"/>
      <c r="N260" s="878"/>
      <c r="O260" s="878"/>
      <c r="P260" s="878"/>
      <c r="Q260" s="878"/>
      <c r="R260" s="878"/>
      <c r="S260" s="878"/>
      <c r="T260" s="878"/>
      <c r="U260" s="878"/>
      <c r="V260" s="878"/>
      <c r="W260" s="878"/>
      <c r="X260" s="878"/>
      <c r="Y260" s="878"/>
      <c r="Z260" s="878"/>
      <c r="AA260" s="878"/>
      <c r="AB260" s="878"/>
      <c r="AC260" s="878"/>
      <c r="AD260" s="878"/>
      <c r="AE260" s="878"/>
      <c r="AF260" s="878"/>
      <c r="AG260" s="878"/>
      <c r="AH260" s="878"/>
      <c r="AI260" s="878"/>
      <c r="AJ260" s="878"/>
      <c r="AK260" s="878"/>
      <c r="AL260" s="878"/>
      <c r="AM260" s="878"/>
      <c r="AN260" s="878"/>
      <c r="AO260" s="878"/>
      <c r="AP260" s="878"/>
      <c r="AQ260" s="878">
        <v>0</v>
      </c>
      <c r="AR260" s="878">
        <v>0</v>
      </c>
      <c r="AS260" s="878">
        <v>0</v>
      </c>
      <c r="AT260" s="878">
        <v>0</v>
      </c>
      <c r="AU260" s="878"/>
      <c r="AV260" s="878"/>
      <c r="AW260" s="878"/>
      <c r="AX260" s="878"/>
      <c r="AY260" s="559">
        <v>1</v>
      </c>
      <c r="AZ260" s="560">
        <f t="shared" si="12"/>
        <v>0</v>
      </c>
      <c r="BA260" s="559">
        <f t="shared" si="13"/>
        <v>0</v>
      </c>
    </row>
    <row r="261" spans="1:53" x14ac:dyDescent="0.35">
      <c r="A261" s="712"/>
      <c r="B261" s="561" t="s">
        <v>131</v>
      </c>
      <c r="C261" s="878"/>
      <c r="D261" s="878"/>
      <c r="E261" s="878"/>
      <c r="F261" s="878"/>
      <c r="G261" s="878"/>
      <c r="H261" s="878"/>
      <c r="I261" s="878"/>
      <c r="J261" s="878"/>
      <c r="K261" s="878"/>
      <c r="L261" s="878"/>
      <c r="M261" s="878"/>
      <c r="N261" s="878"/>
      <c r="O261" s="878"/>
      <c r="P261" s="878"/>
      <c r="Q261" s="878"/>
      <c r="R261" s="878"/>
      <c r="S261" s="878"/>
      <c r="T261" s="878"/>
      <c r="U261" s="878"/>
      <c r="V261" s="878"/>
      <c r="W261" s="878"/>
      <c r="X261" s="878"/>
      <c r="Y261" s="878"/>
      <c r="Z261" s="878"/>
      <c r="AA261" s="878"/>
      <c r="AB261" s="878"/>
      <c r="AC261" s="878"/>
      <c r="AD261" s="878"/>
      <c r="AE261" s="878"/>
      <c r="AF261" s="878"/>
      <c r="AG261" s="878"/>
      <c r="AH261" s="878"/>
      <c r="AI261" s="878"/>
      <c r="AJ261" s="878"/>
      <c r="AK261" s="878"/>
      <c r="AL261" s="878"/>
      <c r="AM261" s="878"/>
      <c r="AN261" s="878"/>
      <c r="AO261" s="878"/>
      <c r="AP261" s="878"/>
      <c r="AQ261" s="878">
        <v>0.15</v>
      </c>
      <c r="AR261" s="878">
        <v>0.15</v>
      </c>
      <c r="AS261" s="878">
        <v>0.15</v>
      </c>
      <c r="AT261" s="878">
        <v>0.15</v>
      </c>
      <c r="AU261" s="878"/>
      <c r="AV261" s="878"/>
      <c r="AW261" s="878"/>
      <c r="AX261" s="878"/>
      <c r="AY261" s="559">
        <v>1</v>
      </c>
      <c r="AZ261" s="560">
        <f t="shared" si="12"/>
        <v>0.15</v>
      </c>
      <c r="BA261" s="559">
        <f t="shared" si="13"/>
        <v>0.15</v>
      </c>
    </row>
    <row r="262" spans="1:53" x14ac:dyDescent="0.35">
      <c r="A262" s="712"/>
      <c r="B262" s="561" t="s">
        <v>121</v>
      </c>
      <c r="C262" s="878"/>
      <c r="D262" s="878"/>
      <c r="E262" s="878"/>
      <c r="F262" s="878"/>
      <c r="G262" s="878"/>
      <c r="H262" s="878"/>
      <c r="I262" s="878"/>
      <c r="J262" s="878"/>
      <c r="K262" s="878"/>
      <c r="L262" s="878"/>
      <c r="M262" s="878"/>
      <c r="N262" s="878"/>
      <c r="O262" s="878"/>
      <c r="P262" s="878"/>
      <c r="Q262" s="878"/>
      <c r="R262" s="878"/>
      <c r="S262" s="878"/>
      <c r="T262" s="878"/>
      <c r="U262" s="878"/>
      <c r="V262" s="878"/>
      <c r="W262" s="878"/>
      <c r="X262" s="878"/>
      <c r="Y262" s="878"/>
      <c r="Z262" s="878"/>
      <c r="AA262" s="878"/>
      <c r="AB262" s="878"/>
      <c r="AC262" s="878"/>
      <c r="AD262" s="878"/>
      <c r="AE262" s="878"/>
      <c r="AF262" s="878"/>
      <c r="AG262" s="878"/>
      <c r="AH262" s="878"/>
      <c r="AI262" s="878"/>
      <c r="AJ262" s="878"/>
      <c r="AK262" s="878"/>
      <c r="AL262" s="878"/>
      <c r="AM262" s="878"/>
      <c r="AN262" s="878"/>
      <c r="AO262" s="878"/>
      <c r="AP262" s="878"/>
      <c r="AQ262" s="878">
        <v>0.17</v>
      </c>
      <c r="AR262" s="878">
        <v>0.17</v>
      </c>
      <c r="AS262" s="878">
        <v>0.17</v>
      </c>
      <c r="AT262" s="878">
        <v>0.17</v>
      </c>
      <c r="AU262" s="878"/>
      <c r="AV262" s="878"/>
      <c r="AW262" s="878"/>
      <c r="AX262" s="878"/>
      <c r="AY262" s="559">
        <v>1</v>
      </c>
      <c r="AZ262" s="560">
        <f t="shared" si="12"/>
        <v>0.17</v>
      </c>
      <c r="BA262" s="559">
        <f t="shared" si="13"/>
        <v>0.17</v>
      </c>
    </row>
    <row r="263" spans="1:53" x14ac:dyDescent="0.35">
      <c r="A263" s="712" t="str">
        <f>DISTRIBUCIÓN!A103</f>
        <v>Paso 7: Estructuración de proyectos y actividades</v>
      </c>
      <c r="B263" s="561" t="s">
        <v>302</v>
      </c>
      <c r="C263" s="878"/>
      <c r="D263" s="878"/>
      <c r="E263" s="878"/>
      <c r="F263" s="878"/>
      <c r="G263" s="878"/>
      <c r="H263" s="878"/>
      <c r="I263" s="878"/>
      <c r="J263" s="878"/>
      <c r="K263" s="878"/>
      <c r="L263" s="878"/>
      <c r="M263" s="878"/>
      <c r="N263" s="878"/>
      <c r="O263" s="878"/>
      <c r="P263" s="878"/>
      <c r="Q263" s="878"/>
      <c r="R263" s="878"/>
      <c r="S263" s="878"/>
      <c r="T263" s="878"/>
      <c r="U263" s="878"/>
      <c r="V263" s="878"/>
      <c r="W263" s="878"/>
      <c r="X263" s="878"/>
      <c r="Y263" s="878"/>
      <c r="Z263" s="878"/>
      <c r="AA263" s="878"/>
      <c r="AB263" s="878"/>
      <c r="AC263" s="878"/>
      <c r="AD263" s="878"/>
      <c r="AE263" s="878"/>
      <c r="AF263" s="878"/>
      <c r="AG263" s="878"/>
      <c r="AH263" s="878"/>
      <c r="AI263" s="878"/>
      <c r="AJ263" s="878"/>
      <c r="AK263" s="878"/>
      <c r="AL263" s="878"/>
      <c r="AM263" s="878"/>
      <c r="AN263" s="878"/>
      <c r="AO263" s="878"/>
      <c r="AP263" s="878"/>
      <c r="AQ263" s="878">
        <v>0.17</v>
      </c>
      <c r="AR263" s="878">
        <v>0.17</v>
      </c>
      <c r="AS263" s="878">
        <v>0.17</v>
      </c>
      <c r="AT263" s="878">
        <v>0.17</v>
      </c>
      <c r="AU263" s="878"/>
      <c r="AV263" s="878"/>
      <c r="AW263" s="878"/>
      <c r="AX263" s="878"/>
      <c r="AY263" s="559">
        <v>1</v>
      </c>
      <c r="AZ263" s="560">
        <f t="shared" si="12"/>
        <v>0.17</v>
      </c>
      <c r="BA263" s="559">
        <f t="shared" si="13"/>
        <v>0.17</v>
      </c>
    </row>
    <row r="264" spans="1:53" x14ac:dyDescent="0.35">
      <c r="A264" s="712"/>
      <c r="B264" s="561" t="s">
        <v>156</v>
      </c>
      <c r="C264" s="878"/>
      <c r="D264" s="878"/>
      <c r="E264" s="878"/>
      <c r="F264" s="878"/>
      <c r="G264" s="878"/>
      <c r="H264" s="878"/>
      <c r="I264" s="878"/>
      <c r="J264" s="878"/>
      <c r="K264" s="878"/>
      <c r="L264" s="878"/>
      <c r="M264" s="878"/>
      <c r="N264" s="878"/>
      <c r="O264" s="878"/>
      <c r="P264" s="878"/>
      <c r="Q264" s="878"/>
      <c r="R264" s="878"/>
      <c r="S264" s="878"/>
      <c r="T264" s="878"/>
      <c r="U264" s="878"/>
      <c r="V264" s="878"/>
      <c r="W264" s="878"/>
      <c r="X264" s="878"/>
      <c r="Y264" s="878"/>
      <c r="Z264" s="878"/>
      <c r="AA264" s="878"/>
      <c r="AB264" s="878"/>
      <c r="AC264" s="878"/>
      <c r="AD264" s="878"/>
      <c r="AE264" s="878"/>
      <c r="AF264" s="878"/>
      <c r="AG264" s="878"/>
      <c r="AH264" s="878"/>
      <c r="AI264" s="878"/>
      <c r="AJ264" s="878"/>
      <c r="AK264" s="878"/>
      <c r="AL264" s="878"/>
      <c r="AM264" s="878"/>
      <c r="AN264" s="878"/>
      <c r="AO264" s="878"/>
      <c r="AP264" s="878"/>
      <c r="AQ264" s="878">
        <v>0.17</v>
      </c>
      <c r="AR264" s="878">
        <v>0.17</v>
      </c>
      <c r="AS264" s="878">
        <v>0.17</v>
      </c>
      <c r="AT264" s="878">
        <v>0.17</v>
      </c>
      <c r="AU264" s="878"/>
      <c r="AV264" s="878"/>
      <c r="AW264" s="878"/>
      <c r="AX264" s="878"/>
      <c r="AY264" s="559">
        <v>1</v>
      </c>
      <c r="AZ264" s="560">
        <f t="shared" si="12"/>
        <v>0.17</v>
      </c>
      <c r="BA264" s="559">
        <f t="shared" si="13"/>
        <v>0.17</v>
      </c>
    </row>
    <row r="265" spans="1:53" x14ac:dyDescent="0.35">
      <c r="A265" s="712"/>
      <c r="B265" s="561" t="s">
        <v>157</v>
      </c>
      <c r="C265" s="878"/>
      <c r="D265" s="878"/>
      <c r="E265" s="878"/>
      <c r="F265" s="878"/>
      <c r="G265" s="878"/>
      <c r="H265" s="878"/>
      <c r="I265" s="878"/>
      <c r="J265" s="878"/>
      <c r="K265" s="878"/>
      <c r="L265" s="878"/>
      <c r="M265" s="878"/>
      <c r="N265" s="878"/>
      <c r="O265" s="878"/>
      <c r="P265" s="878"/>
      <c r="Q265" s="878"/>
      <c r="R265" s="878"/>
      <c r="S265" s="878"/>
      <c r="T265" s="878"/>
      <c r="U265" s="878"/>
      <c r="V265" s="878"/>
      <c r="W265" s="878"/>
      <c r="X265" s="878"/>
      <c r="Y265" s="878"/>
      <c r="Z265" s="878"/>
      <c r="AA265" s="878"/>
      <c r="AB265" s="878"/>
      <c r="AC265" s="878"/>
      <c r="AD265" s="878"/>
      <c r="AE265" s="878"/>
      <c r="AF265" s="878"/>
      <c r="AG265" s="878"/>
      <c r="AH265" s="878"/>
      <c r="AI265" s="878"/>
      <c r="AJ265" s="878"/>
      <c r="AK265" s="878"/>
      <c r="AL265" s="878"/>
      <c r="AM265" s="878"/>
      <c r="AN265" s="878"/>
      <c r="AO265" s="878"/>
      <c r="AP265" s="878"/>
      <c r="AQ265" s="878">
        <v>0</v>
      </c>
      <c r="AR265" s="878">
        <v>0</v>
      </c>
      <c r="AS265" s="878">
        <v>0</v>
      </c>
      <c r="AT265" s="878">
        <v>0</v>
      </c>
      <c r="AU265" s="878"/>
      <c r="AV265" s="878"/>
      <c r="AW265" s="878"/>
      <c r="AX265" s="878"/>
      <c r="AY265" s="559">
        <v>1</v>
      </c>
      <c r="AZ265" s="560">
        <f t="shared" si="12"/>
        <v>0</v>
      </c>
      <c r="BA265" s="559">
        <f t="shared" si="13"/>
        <v>0</v>
      </c>
    </row>
    <row r="266" spans="1:53" x14ac:dyDescent="0.35">
      <c r="A266" s="712"/>
      <c r="B266" s="561" t="s">
        <v>158</v>
      </c>
      <c r="C266" s="878"/>
      <c r="D266" s="878"/>
      <c r="E266" s="878"/>
      <c r="F266" s="878"/>
      <c r="G266" s="878"/>
      <c r="H266" s="878"/>
      <c r="I266" s="878"/>
      <c r="J266" s="878"/>
      <c r="K266" s="878"/>
      <c r="L266" s="878"/>
      <c r="M266" s="878"/>
      <c r="N266" s="878"/>
      <c r="O266" s="878"/>
      <c r="P266" s="878"/>
      <c r="Q266" s="878"/>
      <c r="R266" s="878"/>
      <c r="S266" s="878"/>
      <c r="T266" s="878"/>
      <c r="U266" s="878"/>
      <c r="V266" s="878"/>
      <c r="W266" s="878"/>
      <c r="X266" s="878"/>
      <c r="Y266" s="878"/>
      <c r="Z266" s="878"/>
      <c r="AA266" s="878"/>
      <c r="AB266" s="878"/>
      <c r="AC266" s="878"/>
      <c r="AD266" s="878"/>
      <c r="AE266" s="878"/>
      <c r="AF266" s="878"/>
      <c r="AG266" s="878"/>
      <c r="AH266" s="878"/>
      <c r="AI266" s="878"/>
      <c r="AJ266" s="878"/>
      <c r="AK266" s="878"/>
      <c r="AL266" s="878"/>
      <c r="AM266" s="878"/>
      <c r="AN266" s="878"/>
      <c r="AO266" s="878"/>
      <c r="AP266" s="878"/>
      <c r="AQ266" s="878">
        <v>0</v>
      </c>
      <c r="AR266" s="878">
        <v>0</v>
      </c>
      <c r="AS266" s="878">
        <v>0</v>
      </c>
      <c r="AT266" s="878">
        <v>0</v>
      </c>
      <c r="AU266" s="878"/>
      <c r="AV266" s="878"/>
      <c r="AW266" s="878"/>
      <c r="AX266" s="878"/>
      <c r="AY266" s="559">
        <v>1</v>
      </c>
      <c r="AZ266" s="560">
        <f t="shared" si="12"/>
        <v>0</v>
      </c>
      <c r="BA266" s="559">
        <f t="shared" si="13"/>
        <v>0</v>
      </c>
    </row>
    <row r="267" spans="1:53" x14ac:dyDescent="0.35">
      <c r="A267" s="712"/>
      <c r="B267" s="561" t="s">
        <v>159</v>
      </c>
      <c r="C267" s="878"/>
      <c r="D267" s="878"/>
      <c r="E267" s="878"/>
      <c r="F267" s="878"/>
      <c r="G267" s="878"/>
      <c r="H267" s="878"/>
      <c r="I267" s="878"/>
      <c r="J267" s="878"/>
      <c r="K267" s="878"/>
      <c r="L267" s="878"/>
      <c r="M267" s="878"/>
      <c r="N267" s="878"/>
      <c r="O267" s="878"/>
      <c r="P267" s="878"/>
      <c r="Q267" s="878"/>
      <c r="R267" s="878"/>
      <c r="S267" s="878"/>
      <c r="T267" s="878"/>
      <c r="U267" s="878"/>
      <c r="V267" s="878"/>
      <c r="W267" s="878"/>
      <c r="X267" s="878"/>
      <c r="Y267" s="878"/>
      <c r="Z267" s="878"/>
      <c r="AA267" s="878"/>
      <c r="AB267" s="878"/>
      <c r="AC267" s="878"/>
      <c r="AD267" s="878"/>
      <c r="AE267" s="878"/>
      <c r="AF267" s="878"/>
      <c r="AG267" s="878"/>
      <c r="AH267" s="878"/>
      <c r="AI267" s="878"/>
      <c r="AJ267" s="878"/>
      <c r="AK267" s="878"/>
      <c r="AL267" s="878"/>
      <c r="AM267" s="878"/>
      <c r="AN267" s="878"/>
      <c r="AO267" s="878"/>
      <c r="AP267" s="878"/>
      <c r="AQ267" s="878">
        <v>0</v>
      </c>
      <c r="AR267" s="878">
        <v>0</v>
      </c>
      <c r="AS267" s="878">
        <v>0</v>
      </c>
      <c r="AT267" s="878">
        <v>0</v>
      </c>
      <c r="AU267" s="878"/>
      <c r="AV267" s="878"/>
      <c r="AW267" s="878"/>
      <c r="AX267" s="878"/>
      <c r="AY267" s="559">
        <v>1</v>
      </c>
      <c r="AZ267" s="560">
        <f t="shared" si="12"/>
        <v>0</v>
      </c>
      <c r="BA267" s="559">
        <f t="shared" si="13"/>
        <v>0</v>
      </c>
    </row>
    <row r="268" spans="1:53" x14ac:dyDescent="0.35">
      <c r="A268" s="712"/>
      <c r="B268" s="561" t="s">
        <v>131</v>
      </c>
      <c r="C268" s="878"/>
      <c r="D268" s="878"/>
      <c r="E268" s="878"/>
      <c r="F268" s="878"/>
      <c r="G268" s="878"/>
      <c r="H268" s="878"/>
      <c r="I268" s="878"/>
      <c r="J268" s="878"/>
      <c r="K268" s="878"/>
      <c r="L268" s="878"/>
      <c r="M268" s="878"/>
      <c r="N268" s="878"/>
      <c r="O268" s="878"/>
      <c r="P268" s="878"/>
      <c r="Q268" s="878"/>
      <c r="R268" s="878"/>
      <c r="S268" s="878"/>
      <c r="T268" s="878"/>
      <c r="U268" s="878"/>
      <c r="V268" s="878"/>
      <c r="W268" s="878"/>
      <c r="X268" s="878"/>
      <c r="Y268" s="878"/>
      <c r="Z268" s="878"/>
      <c r="AA268" s="878"/>
      <c r="AB268" s="878"/>
      <c r="AC268" s="878"/>
      <c r="AD268" s="878"/>
      <c r="AE268" s="878"/>
      <c r="AF268" s="878"/>
      <c r="AG268" s="878"/>
      <c r="AH268" s="878"/>
      <c r="AI268" s="878"/>
      <c r="AJ268" s="878"/>
      <c r="AK268" s="878"/>
      <c r="AL268" s="878"/>
      <c r="AM268" s="878"/>
      <c r="AN268" s="878"/>
      <c r="AO268" s="878"/>
      <c r="AP268" s="878"/>
      <c r="AQ268" s="878">
        <v>0.15</v>
      </c>
      <c r="AR268" s="878">
        <v>0.15</v>
      </c>
      <c r="AS268" s="878">
        <v>0.15</v>
      </c>
      <c r="AT268" s="878">
        <v>0.15</v>
      </c>
      <c r="AU268" s="878"/>
      <c r="AV268" s="878"/>
      <c r="AW268" s="878"/>
      <c r="AX268" s="878"/>
      <c r="AY268" s="559">
        <v>1</v>
      </c>
      <c r="AZ268" s="560">
        <f t="shared" si="12"/>
        <v>0.15</v>
      </c>
      <c r="BA268" s="559">
        <f t="shared" si="13"/>
        <v>0.15</v>
      </c>
    </row>
    <row r="269" spans="1:53" x14ac:dyDescent="0.35">
      <c r="A269" s="712"/>
      <c r="B269" s="561" t="s">
        <v>121</v>
      </c>
      <c r="C269" s="878"/>
      <c r="D269" s="878"/>
      <c r="E269" s="878"/>
      <c r="F269" s="878"/>
      <c r="G269" s="878"/>
      <c r="H269" s="878"/>
      <c r="I269" s="878"/>
      <c r="J269" s="878"/>
      <c r="K269" s="878"/>
      <c r="L269" s="878"/>
      <c r="M269" s="878"/>
      <c r="N269" s="878"/>
      <c r="O269" s="878"/>
      <c r="P269" s="878"/>
      <c r="Q269" s="878"/>
      <c r="R269" s="878"/>
      <c r="S269" s="878"/>
      <c r="T269" s="878"/>
      <c r="U269" s="878"/>
      <c r="V269" s="878"/>
      <c r="W269" s="878"/>
      <c r="X269" s="878"/>
      <c r="Y269" s="878"/>
      <c r="Z269" s="878"/>
      <c r="AA269" s="878"/>
      <c r="AB269" s="878"/>
      <c r="AC269" s="878"/>
      <c r="AD269" s="878"/>
      <c r="AE269" s="878"/>
      <c r="AF269" s="878"/>
      <c r="AG269" s="878"/>
      <c r="AH269" s="878"/>
      <c r="AI269" s="878"/>
      <c r="AJ269" s="878"/>
      <c r="AK269" s="878"/>
      <c r="AL269" s="878"/>
      <c r="AM269" s="878"/>
      <c r="AN269" s="878"/>
      <c r="AO269" s="878"/>
      <c r="AP269" s="878"/>
      <c r="AQ269" s="878">
        <v>0.17</v>
      </c>
      <c r="AR269" s="878">
        <v>0.17</v>
      </c>
      <c r="AS269" s="878">
        <v>0.17</v>
      </c>
      <c r="AT269" s="878">
        <v>0.17</v>
      </c>
      <c r="AU269" s="878"/>
      <c r="AV269" s="878"/>
      <c r="AW269" s="878"/>
      <c r="AX269" s="878"/>
      <c r="AY269" s="559">
        <v>1</v>
      </c>
      <c r="AZ269" s="560">
        <f t="shared" si="12"/>
        <v>0.17</v>
      </c>
      <c r="BA269" s="559">
        <f t="shared" si="13"/>
        <v>0.17</v>
      </c>
    </row>
    <row r="270" spans="1:53" x14ac:dyDescent="0.35">
      <c r="A270" s="712" t="str">
        <f>DISTRIBUCIÓN!A104</f>
        <v>Paso 8: Elaboración de informes</v>
      </c>
      <c r="B270" s="561" t="s">
        <v>302</v>
      </c>
      <c r="C270" s="878"/>
      <c r="D270" s="878"/>
      <c r="E270" s="878"/>
      <c r="F270" s="878"/>
      <c r="G270" s="878"/>
      <c r="H270" s="878"/>
      <c r="I270" s="878"/>
      <c r="J270" s="878"/>
      <c r="K270" s="878"/>
      <c r="L270" s="878"/>
      <c r="M270" s="878"/>
      <c r="N270" s="878"/>
      <c r="O270" s="878"/>
      <c r="P270" s="878"/>
      <c r="Q270" s="878"/>
      <c r="R270" s="878"/>
      <c r="S270" s="878"/>
      <c r="T270" s="878"/>
      <c r="U270" s="878"/>
      <c r="V270" s="878"/>
      <c r="W270" s="878"/>
      <c r="X270" s="878"/>
      <c r="Y270" s="878"/>
      <c r="Z270" s="878"/>
      <c r="AA270" s="878"/>
      <c r="AB270" s="878"/>
      <c r="AC270" s="878"/>
      <c r="AD270" s="878"/>
      <c r="AE270" s="878"/>
      <c r="AF270" s="878"/>
      <c r="AG270" s="878"/>
      <c r="AH270" s="878"/>
      <c r="AI270" s="878"/>
      <c r="AJ270" s="878"/>
      <c r="AK270" s="878"/>
      <c r="AL270" s="878"/>
      <c r="AM270" s="878"/>
      <c r="AN270" s="878"/>
      <c r="AO270" s="878"/>
      <c r="AP270" s="878"/>
      <c r="AQ270" s="878">
        <v>0.18</v>
      </c>
      <c r="AR270" s="878">
        <v>0.18</v>
      </c>
      <c r="AS270" s="878">
        <v>0.18</v>
      </c>
      <c r="AT270" s="878">
        <v>0.18</v>
      </c>
      <c r="AU270" s="878"/>
      <c r="AV270" s="878"/>
      <c r="AW270" s="878"/>
      <c r="AX270" s="878"/>
      <c r="AY270" s="559">
        <v>1</v>
      </c>
      <c r="AZ270" s="560">
        <f t="shared" si="12"/>
        <v>0.18</v>
      </c>
      <c r="BA270" s="559">
        <f t="shared" si="13"/>
        <v>0.18</v>
      </c>
    </row>
    <row r="271" spans="1:53" x14ac:dyDescent="0.35">
      <c r="A271" s="712"/>
      <c r="B271" s="561" t="s">
        <v>156</v>
      </c>
      <c r="C271" s="878"/>
      <c r="D271" s="878"/>
      <c r="E271" s="878"/>
      <c r="F271" s="878"/>
      <c r="G271" s="878"/>
      <c r="H271" s="878"/>
      <c r="I271" s="878"/>
      <c r="J271" s="878"/>
      <c r="K271" s="878"/>
      <c r="L271" s="878"/>
      <c r="M271" s="878"/>
      <c r="N271" s="878"/>
      <c r="O271" s="878"/>
      <c r="P271" s="878"/>
      <c r="Q271" s="878"/>
      <c r="R271" s="878"/>
      <c r="S271" s="878"/>
      <c r="T271" s="878"/>
      <c r="U271" s="878"/>
      <c r="V271" s="878"/>
      <c r="W271" s="878"/>
      <c r="X271" s="878"/>
      <c r="Y271" s="878"/>
      <c r="Z271" s="878"/>
      <c r="AA271" s="878"/>
      <c r="AB271" s="878"/>
      <c r="AC271" s="878"/>
      <c r="AD271" s="878"/>
      <c r="AE271" s="878"/>
      <c r="AF271" s="878"/>
      <c r="AG271" s="878"/>
      <c r="AH271" s="878"/>
      <c r="AI271" s="878"/>
      <c r="AJ271" s="878"/>
      <c r="AK271" s="878"/>
      <c r="AL271" s="878"/>
      <c r="AM271" s="878"/>
      <c r="AN271" s="878"/>
      <c r="AO271" s="878"/>
      <c r="AP271" s="878"/>
      <c r="AQ271" s="878">
        <v>0.18</v>
      </c>
      <c r="AR271" s="878">
        <v>0.18</v>
      </c>
      <c r="AS271" s="878">
        <v>0.18</v>
      </c>
      <c r="AT271" s="878">
        <v>0.18</v>
      </c>
      <c r="AU271" s="878"/>
      <c r="AV271" s="878"/>
      <c r="AW271" s="878"/>
      <c r="AX271" s="878"/>
      <c r="AY271" s="559">
        <v>1</v>
      </c>
      <c r="AZ271" s="560">
        <f t="shared" si="12"/>
        <v>0.18</v>
      </c>
      <c r="BA271" s="559">
        <f t="shared" si="13"/>
        <v>0.18</v>
      </c>
    </row>
    <row r="272" spans="1:53" x14ac:dyDescent="0.35">
      <c r="A272" s="712"/>
      <c r="B272" s="561" t="s">
        <v>157</v>
      </c>
      <c r="C272" s="878"/>
      <c r="D272" s="878"/>
      <c r="E272" s="878"/>
      <c r="F272" s="878"/>
      <c r="G272" s="878"/>
      <c r="H272" s="878"/>
      <c r="I272" s="878"/>
      <c r="J272" s="878"/>
      <c r="K272" s="878"/>
      <c r="L272" s="878"/>
      <c r="M272" s="878"/>
      <c r="N272" s="878"/>
      <c r="O272" s="878"/>
      <c r="P272" s="878"/>
      <c r="Q272" s="878"/>
      <c r="R272" s="878"/>
      <c r="S272" s="878"/>
      <c r="T272" s="878"/>
      <c r="U272" s="878"/>
      <c r="V272" s="878"/>
      <c r="W272" s="878"/>
      <c r="X272" s="878"/>
      <c r="Y272" s="878"/>
      <c r="Z272" s="878"/>
      <c r="AA272" s="878"/>
      <c r="AB272" s="878"/>
      <c r="AC272" s="878"/>
      <c r="AD272" s="878"/>
      <c r="AE272" s="878"/>
      <c r="AF272" s="878"/>
      <c r="AG272" s="878"/>
      <c r="AH272" s="878"/>
      <c r="AI272" s="878"/>
      <c r="AJ272" s="878"/>
      <c r="AK272" s="878"/>
      <c r="AL272" s="878"/>
      <c r="AM272" s="878"/>
      <c r="AN272" s="878"/>
      <c r="AO272" s="878"/>
      <c r="AP272" s="878"/>
      <c r="AQ272" s="878">
        <v>0</v>
      </c>
      <c r="AR272" s="878">
        <v>0</v>
      </c>
      <c r="AS272" s="878">
        <v>0</v>
      </c>
      <c r="AT272" s="878">
        <v>0</v>
      </c>
      <c r="AU272" s="878"/>
      <c r="AV272" s="878"/>
      <c r="AW272" s="878"/>
      <c r="AX272" s="878"/>
      <c r="AY272" s="559">
        <v>1</v>
      </c>
      <c r="AZ272" s="560">
        <f t="shared" si="12"/>
        <v>0</v>
      </c>
      <c r="BA272" s="559">
        <f t="shared" si="13"/>
        <v>0</v>
      </c>
    </row>
    <row r="273" spans="1:53" x14ac:dyDescent="0.35">
      <c r="A273" s="712"/>
      <c r="B273" s="561" t="s">
        <v>158</v>
      </c>
      <c r="C273" s="878"/>
      <c r="D273" s="878"/>
      <c r="E273" s="878"/>
      <c r="F273" s="878"/>
      <c r="G273" s="878"/>
      <c r="H273" s="878"/>
      <c r="I273" s="878"/>
      <c r="J273" s="878"/>
      <c r="K273" s="878"/>
      <c r="L273" s="878"/>
      <c r="M273" s="878"/>
      <c r="N273" s="878"/>
      <c r="O273" s="878"/>
      <c r="P273" s="878"/>
      <c r="Q273" s="878"/>
      <c r="R273" s="878"/>
      <c r="S273" s="878"/>
      <c r="T273" s="878"/>
      <c r="U273" s="878"/>
      <c r="V273" s="878"/>
      <c r="W273" s="878"/>
      <c r="X273" s="878"/>
      <c r="Y273" s="878"/>
      <c r="Z273" s="878"/>
      <c r="AA273" s="878"/>
      <c r="AB273" s="878"/>
      <c r="AC273" s="878"/>
      <c r="AD273" s="878"/>
      <c r="AE273" s="878"/>
      <c r="AF273" s="878"/>
      <c r="AG273" s="878"/>
      <c r="AH273" s="878"/>
      <c r="AI273" s="878"/>
      <c r="AJ273" s="878"/>
      <c r="AK273" s="878"/>
      <c r="AL273" s="878"/>
      <c r="AM273" s="878"/>
      <c r="AN273" s="878"/>
      <c r="AO273" s="878"/>
      <c r="AP273" s="878"/>
      <c r="AQ273" s="878">
        <v>0</v>
      </c>
      <c r="AR273" s="878">
        <v>0</v>
      </c>
      <c r="AS273" s="878">
        <v>0</v>
      </c>
      <c r="AT273" s="878">
        <v>0</v>
      </c>
      <c r="AU273" s="878"/>
      <c r="AV273" s="878"/>
      <c r="AW273" s="878"/>
      <c r="AX273" s="878"/>
      <c r="AY273" s="559">
        <v>1</v>
      </c>
      <c r="AZ273" s="560">
        <f t="shared" si="12"/>
        <v>0</v>
      </c>
      <c r="BA273" s="559">
        <f t="shared" si="13"/>
        <v>0</v>
      </c>
    </row>
    <row r="274" spans="1:53" x14ac:dyDescent="0.35">
      <c r="A274" s="712"/>
      <c r="B274" s="561" t="s">
        <v>159</v>
      </c>
      <c r="C274" s="878"/>
      <c r="D274" s="878"/>
      <c r="E274" s="878"/>
      <c r="F274" s="878"/>
      <c r="G274" s="878"/>
      <c r="H274" s="878"/>
      <c r="I274" s="878"/>
      <c r="J274" s="878"/>
      <c r="K274" s="878"/>
      <c r="L274" s="878"/>
      <c r="M274" s="878"/>
      <c r="N274" s="878"/>
      <c r="O274" s="878"/>
      <c r="P274" s="878"/>
      <c r="Q274" s="878"/>
      <c r="R274" s="878"/>
      <c r="S274" s="878"/>
      <c r="T274" s="878"/>
      <c r="U274" s="878"/>
      <c r="V274" s="878"/>
      <c r="W274" s="878"/>
      <c r="X274" s="878"/>
      <c r="Y274" s="878"/>
      <c r="Z274" s="878"/>
      <c r="AA274" s="878"/>
      <c r="AB274" s="878"/>
      <c r="AC274" s="878"/>
      <c r="AD274" s="878"/>
      <c r="AE274" s="878"/>
      <c r="AF274" s="878"/>
      <c r="AG274" s="878"/>
      <c r="AH274" s="878"/>
      <c r="AI274" s="878"/>
      <c r="AJ274" s="878"/>
      <c r="AK274" s="878"/>
      <c r="AL274" s="878"/>
      <c r="AM274" s="878"/>
      <c r="AN274" s="878"/>
      <c r="AO274" s="878"/>
      <c r="AP274" s="878"/>
      <c r="AQ274" s="878">
        <v>0</v>
      </c>
      <c r="AR274" s="878">
        <v>0</v>
      </c>
      <c r="AS274" s="878">
        <v>0</v>
      </c>
      <c r="AT274" s="878">
        <v>0</v>
      </c>
      <c r="AU274" s="878"/>
      <c r="AV274" s="878"/>
      <c r="AW274" s="878"/>
      <c r="AX274" s="878"/>
      <c r="AY274" s="559">
        <v>1</v>
      </c>
      <c r="AZ274" s="560">
        <f t="shared" si="12"/>
        <v>0</v>
      </c>
      <c r="BA274" s="559">
        <f t="shared" si="13"/>
        <v>0</v>
      </c>
    </row>
    <row r="275" spans="1:53" x14ac:dyDescent="0.35">
      <c r="A275" s="712"/>
      <c r="B275" s="561" t="s">
        <v>131</v>
      </c>
      <c r="C275" s="878"/>
      <c r="D275" s="878"/>
      <c r="E275" s="878"/>
      <c r="F275" s="878"/>
      <c r="G275" s="878"/>
      <c r="H275" s="878"/>
      <c r="I275" s="878"/>
      <c r="J275" s="878"/>
      <c r="K275" s="878"/>
      <c r="L275" s="878"/>
      <c r="M275" s="878"/>
      <c r="N275" s="878"/>
      <c r="O275" s="878"/>
      <c r="P275" s="878"/>
      <c r="Q275" s="878"/>
      <c r="R275" s="878"/>
      <c r="S275" s="878"/>
      <c r="T275" s="878"/>
      <c r="U275" s="878"/>
      <c r="V275" s="878"/>
      <c r="W275" s="878"/>
      <c r="X275" s="878"/>
      <c r="Y275" s="878"/>
      <c r="Z275" s="878"/>
      <c r="AA275" s="878"/>
      <c r="AB275" s="878"/>
      <c r="AC275" s="878"/>
      <c r="AD275" s="878"/>
      <c r="AE275" s="878"/>
      <c r="AF275" s="878"/>
      <c r="AG275" s="878"/>
      <c r="AH275" s="878"/>
      <c r="AI275" s="878"/>
      <c r="AJ275" s="878"/>
      <c r="AK275" s="878"/>
      <c r="AL275" s="878"/>
      <c r="AM275" s="878"/>
      <c r="AN275" s="878"/>
      <c r="AO275" s="878"/>
      <c r="AP275" s="878"/>
      <c r="AQ275" s="878">
        <v>0.15</v>
      </c>
      <c r="AR275" s="878">
        <v>0.15</v>
      </c>
      <c r="AS275" s="878">
        <v>0.15</v>
      </c>
      <c r="AT275" s="878">
        <v>0.15</v>
      </c>
      <c r="AU275" s="878"/>
      <c r="AV275" s="878"/>
      <c r="AW275" s="878"/>
      <c r="AX275" s="878"/>
      <c r="AY275" s="559">
        <v>1</v>
      </c>
      <c r="AZ275" s="560">
        <f t="shared" si="12"/>
        <v>0.15</v>
      </c>
      <c r="BA275" s="559">
        <f t="shared" si="13"/>
        <v>0.15</v>
      </c>
    </row>
    <row r="276" spans="1:53" x14ac:dyDescent="0.35">
      <c r="A276" s="712"/>
      <c r="B276" s="561" t="s">
        <v>121</v>
      </c>
      <c r="C276" s="878"/>
      <c r="D276" s="878"/>
      <c r="E276" s="878"/>
      <c r="F276" s="878"/>
      <c r="G276" s="878"/>
      <c r="H276" s="878"/>
      <c r="I276" s="878"/>
      <c r="J276" s="878"/>
      <c r="K276" s="878"/>
      <c r="L276" s="878"/>
      <c r="M276" s="878"/>
      <c r="N276" s="878"/>
      <c r="O276" s="878"/>
      <c r="P276" s="878"/>
      <c r="Q276" s="878"/>
      <c r="R276" s="878"/>
      <c r="S276" s="878"/>
      <c r="T276" s="878"/>
      <c r="U276" s="878"/>
      <c r="V276" s="878"/>
      <c r="W276" s="878"/>
      <c r="X276" s="878"/>
      <c r="Y276" s="878"/>
      <c r="Z276" s="878"/>
      <c r="AA276" s="878"/>
      <c r="AB276" s="878"/>
      <c r="AC276" s="878"/>
      <c r="AD276" s="878"/>
      <c r="AE276" s="878"/>
      <c r="AF276" s="878"/>
      <c r="AG276" s="878"/>
      <c r="AH276" s="878"/>
      <c r="AI276" s="878"/>
      <c r="AJ276" s="878"/>
      <c r="AK276" s="878"/>
      <c r="AL276" s="878"/>
      <c r="AM276" s="878"/>
      <c r="AN276" s="878"/>
      <c r="AO276" s="878"/>
      <c r="AP276" s="878"/>
      <c r="AQ276" s="878">
        <v>0.18</v>
      </c>
      <c r="AR276" s="878">
        <v>0.18</v>
      </c>
      <c r="AS276" s="878">
        <v>0.18</v>
      </c>
      <c r="AT276" s="878">
        <v>0.18</v>
      </c>
      <c r="AU276" s="878"/>
      <c r="AV276" s="878"/>
      <c r="AW276" s="878"/>
      <c r="AX276" s="878"/>
      <c r="AY276" s="559">
        <v>1</v>
      </c>
      <c r="AZ276" s="560">
        <f t="shared" si="12"/>
        <v>0.18</v>
      </c>
      <c r="BA276" s="559">
        <f t="shared" si="13"/>
        <v>0.18</v>
      </c>
    </row>
    <row r="277" spans="1:53" x14ac:dyDescent="0.35">
      <c r="A277" s="712" t="str">
        <f>DISTRIBUCIÓN!A105</f>
        <v>Paso 9: Socialización del PORH</v>
      </c>
      <c r="B277" s="561" t="s">
        <v>302</v>
      </c>
      <c r="C277" s="878"/>
      <c r="D277" s="878"/>
      <c r="E277" s="878"/>
      <c r="F277" s="878"/>
      <c r="G277" s="878"/>
      <c r="H277" s="878"/>
      <c r="I277" s="878"/>
      <c r="J277" s="878"/>
      <c r="K277" s="878"/>
      <c r="L277" s="878"/>
      <c r="M277" s="878"/>
      <c r="N277" s="878"/>
      <c r="O277" s="878"/>
      <c r="P277" s="878"/>
      <c r="Q277" s="878"/>
      <c r="R277" s="878"/>
      <c r="S277" s="878"/>
      <c r="T277" s="878"/>
      <c r="U277" s="878"/>
      <c r="V277" s="878"/>
      <c r="W277" s="878"/>
      <c r="X277" s="878"/>
      <c r="Y277" s="878"/>
      <c r="Z277" s="878"/>
      <c r="AA277" s="878"/>
      <c r="AB277" s="878"/>
      <c r="AC277" s="878"/>
      <c r="AD277" s="878"/>
      <c r="AE277" s="878"/>
      <c r="AF277" s="878"/>
      <c r="AG277" s="878"/>
      <c r="AH277" s="878"/>
      <c r="AI277" s="878"/>
      <c r="AJ277" s="878"/>
      <c r="AK277" s="878"/>
      <c r="AL277" s="878"/>
      <c r="AM277" s="878"/>
      <c r="AN277" s="878"/>
      <c r="AO277" s="878"/>
      <c r="AP277" s="878"/>
      <c r="AQ277" s="878">
        <v>0.17</v>
      </c>
      <c r="AR277" s="878">
        <v>0.17</v>
      </c>
      <c r="AS277" s="878">
        <v>0.17</v>
      </c>
      <c r="AT277" s="878">
        <v>0.17</v>
      </c>
      <c r="AU277" s="878"/>
      <c r="AV277" s="878"/>
      <c r="AW277" s="878"/>
      <c r="AX277" s="878"/>
      <c r="AY277" s="559">
        <v>1</v>
      </c>
      <c r="AZ277" s="560">
        <f t="shared" si="12"/>
        <v>0.17</v>
      </c>
      <c r="BA277" s="559">
        <f t="shared" si="13"/>
        <v>0.17</v>
      </c>
    </row>
    <row r="278" spans="1:53" x14ac:dyDescent="0.35">
      <c r="A278" s="712"/>
      <c r="B278" s="561" t="s">
        <v>156</v>
      </c>
      <c r="C278" s="878"/>
      <c r="D278" s="878"/>
      <c r="E278" s="878"/>
      <c r="F278" s="878"/>
      <c r="G278" s="878"/>
      <c r="H278" s="878"/>
      <c r="I278" s="878"/>
      <c r="J278" s="878"/>
      <c r="K278" s="878"/>
      <c r="L278" s="878"/>
      <c r="M278" s="878"/>
      <c r="N278" s="878"/>
      <c r="O278" s="878"/>
      <c r="P278" s="878"/>
      <c r="Q278" s="878"/>
      <c r="R278" s="878"/>
      <c r="S278" s="878"/>
      <c r="T278" s="878"/>
      <c r="U278" s="878"/>
      <c r="V278" s="878"/>
      <c r="W278" s="878"/>
      <c r="X278" s="878"/>
      <c r="Y278" s="878"/>
      <c r="Z278" s="878"/>
      <c r="AA278" s="878"/>
      <c r="AB278" s="878"/>
      <c r="AC278" s="878"/>
      <c r="AD278" s="878"/>
      <c r="AE278" s="878"/>
      <c r="AF278" s="878"/>
      <c r="AG278" s="878"/>
      <c r="AH278" s="878"/>
      <c r="AI278" s="878"/>
      <c r="AJ278" s="878"/>
      <c r="AK278" s="878"/>
      <c r="AL278" s="878"/>
      <c r="AM278" s="878"/>
      <c r="AN278" s="878"/>
      <c r="AO278" s="878"/>
      <c r="AP278" s="878"/>
      <c r="AQ278" s="878">
        <v>0.18</v>
      </c>
      <c r="AR278" s="878">
        <v>0.18</v>
      </c>
      <c r="AS278" s="878">
        <v>0.18</v>
      </c>
      <c r="AT278" s="878">
        <v>0.18</v>
      </c>
      <c r="AU278" s="878"/>
      <c r="AV278" s="878"/>
      <c r="AW278" s="878"/>
      <c r="AX278" s="878"/>
      <c r="AY278" s="559">
        <v>1</v>
      </c>
      <c r="AZ278" s="560">
        <f t="shared" si="12"/>
        <v>0.18</v>
      </c>
      <c r="BA278" s="559">
        <f t="shared" si="13"/>
        <v>0.18</v>
      </c>
    </row>
    <row r="279" spans="1:53" x14ac:dyDescent="0.35">
      <c r="A279" s="712"/>
      <c r="B279" s="561" t="s">
        <v>157</v>
      </c>
      <c r="C279" s="878"/>
      <c r="D279" s="878"/>
      <c r="E279" s="878"/>
      <c r="F279" s="878"/>
      <c r="G279" s="878"/>
      <c r="H279" s="878"/>
      <c r="I279" s="878"/>
      <c r="J279" s="878"/>
      <c r="K279" s="878"/>
      <c r="L279" s="878"/>
      <c r="M279" s="878"/>
      <c r="N279" s="878"/>
      <c r="O279" s="878"/>
      <c r="P279" s="878"/>
      <c r="Q279" s="878"/>
      <c r="R279" s="878"/>
      <c r="S279" s="878"/>
      <c r="T279" s="878"/>
      <c r="U279" s="878"/>
      <c r="V279" s="878"/>
      <c r="W279" s="878"/>
      <c r="X279" s="878"/>
      <c r="Y279" s="878"/>
      <c r="Z279" s="878"/>
      <c r="AA279" s="878"/>
      <c r="AB279" s="878"/>
      <c r="AC279" s="878"/>
      <c r="AD279" s="878"/>
      <c r="AE279" s="878"/>
      <c r="AF279" s="878"/>
      <c r="AG279" s="878"/>
      <c r="AH279" s="878"/>
      <c r="AI279" s="878"/>
      <c r="AJ279" s="878"/>
      <c r="AK279" s="878"/>
      <c r="AL279" s="878"/>
      <c r="AM279" s="878"/>
      <c r="AN279" s="878"/>
      <c r="AO279" s="878"/>
      <c r="AP279" s="878"/>
      <c r="AQ279" s="878">
        <v>0</v>
      </c>
      <c r="AR279" s="878">
        <v>0</v>
      </c>
      <c r="AS279" s="878">
        <v>0</v>
      </c>
      <c r="AT279" s="878">
        <v>0</v>
      </c>
      <c r="AU279" s="878"/>
      <c r="AV279" s="878"/>
      <c r="AW279" s="878"/>
      <c r="AX279" s="878"/>
      <c r="AY279" s="559">
        <v>1</v>
      </c>
      <c r="AZ279" s="560">
        <f t="shared" si="12"/>
        <v>0</v>
      </c>
      <c r="BA279" s="559">
        <f t="shared" si="13"/>
        <v>0</v>
      </c>
    </row>
    <row r="280" spans="1:53" x14ac:dyDescent="0.35">
      <c r="A280" s="712"/>
      <c r="B280" s="561" t="s">
        <v>158</v>
      </c>
      <c r="C280" s="878"/>
      <c r="D280" s="878"/>
      <c r="E280" s="878"/>
      <c r="F280" s="878"/>
      <c r="G280" s="878"/>
      <c r="H280" s="878"/>
      <c r="I280" s="878"/>
      <c r="J280" s="878"/>
      <c r="K280" s="878"/>
      <c r="L280" s="878"/>
      <c r="M280" s="878"/>
      <c r="N280" s="878"/>
      <c r="O280" s="878"/>
      <c r="P280" s="878"/>
      <c r="Q280" s="878"/>
      <c r="R280" s="878"/>
      <c r="S280" s="878"/>
      <c r="T280" s="878"/>
      <c r="U280" s="878"/>
      <c r="V280" s="878"/>
      <c r="W280" s="878"/>
      <c r="X280" s="878"/>
      <c r="Y280" s="878"/>
      <c r="Z280" s="878"/>
      <c r="AA280" s="878"/>
      <c r="AB280" s="878"/>
      <c r="AC280" s="878"/>
      <c r="AD280" s="878"/>
      <c r="AE280" s="878"/>
      <c r="AF280" s="878"/>
      <c r="AG280" s="878"/>
      <c r="AH280" s="878"/>
      <c r="AI280" s="878"/>
      <c r="AJ280" s="878"/>
      <c r="AK280" s="878"/>
      <c r="AL280" s="878"/>
      <c r="AM280" s="878"/>
      <c r="AN280" s="878"/>
      <c r="AO280" s="878"/>
      <c r="AP280" s="878"/>
      <c r="AQ280" s="878">
        <v>0</v>
      </c>
      <c r="AR280" s="878">
        <v>0</v>
      </c>
      <c r="AS280" s="878">
        <v>0</v>
      </c>
      <c r="AT280" s="878">
        <v>0</v>
      </c>
      <c r="AU280" s="878"/>
      <c r="AV280" s="878"/>
      <c r="AW280" s="878"/>
      <c r="AX280" s="878"/>
      <c r="AY280" s="559">
        <v>1</v>
      </c>
      <c r="AZ280" s="560">
        <f t="shared" si="12"/>
        <v>0</v>
      </c>
      <c r="BA280" s="559">
        <f t="shared" si="13"/>
        <v>0</v>
      </c>
    </row>
    <row r="281" spans="1:53" x14ac:dyDescent="0.35">
      <c r="A281" s="712"/>
      <c r="B281" s="561" t="s">
        <v>159</v>
      </c>
      <c r="C281" s="878"/>
      <c r="D281" s="878"/>
      <c r="E281" s="878"/>
      <c r="F281" s="878"/>
      <c r="G281" s="878"/>
      <c r="H281" s="878"/>
      <c r="I281" s="878"/>
      <c r="J281" s="878"/>
      <c r="K281" s="878"/>
      <c r="L281" s="878"/>
      <c r="M281" s="878"/>
      <c r="N281" s="878"/>
      <c r="O281" s="878"/>
      <c r="P281" s="878"/>
      <c r="Q281" s="878"/>
      <c r="R281" s="878"/>
      <c r="S281" s="878"/>
      <c r="T281" s="878"/>
      <c r="U281" s="878"/>
      <c r="V281" s="878"/>
      <c r="W281" s="878"/>
      <c r="X281" s="878"/>
      <c r="Y281" s="878"/>
      <c r="Z281" s="878"/>
      <c r="AA281" s="878"/>
      <c r="AB281" s="878"/>
      <c r="AC281" s="878"/>
      <c r="AD281" s="878"/>
      <c r="AE281" s="878"/>
      <c r="AF281" s="878"/>
      <c r="AG281" s="878"/>
      <c r="AH281" s="878"/>
      <c r="AI281" s="878"/>
      <c r="AJ281" s="878"/>
      <c r="AK281" s="878"/>
      <c r="AL281" s="878"/>
      <c r="AM281" s="878"/>
      <c r="AN281" s="878"/>
      <c r="AO281" s="878"/>
      <c r="AP281" s="878"/>
      <c r="AQ281" s="878">
        <v>0</v>
      </c>
      <c r="AR281" s="878">
        <v>0</v>
      </c>
      <c r="AS281" s="878">
        <v>0</v>
      </c>
      <c r="AT281" s="878">
        <v>0</v>
      </c>
      <c r="AU281" s="878"/>
      <c r="AV281" s="878"/>
      <c r="AW281" s="878"/>
      <c r="AX281" s="878"/>
      <c r="AY281" s="559">
        <v>1</v>
      </c>
      <c r="AZ281" s="560">
        <f t="shared" si="12"/>
        <v>0</v>
      </c>
      <c r="BA281" s="559">
        <f t="shared" si="13"/>
        <v>0</v>
      </c>
    </row>
    <row r="282" spans="1:53" x14ac:dyDescent="0.35">
      <c r="A282" s="712"/>
      <c r="B282" s="561" t="s">
        <v>131</v>
      </c>
      <c r="C282" s="878"/>
      <c r="D282" s="878"/>
      <c r="E282" s="878"/>
      <c r="F282" s="878"/>
      <c r="G282" s="878"/>
      <c r="H282" s="878"/>
      <c r="I282" s="878"/>
      <c r="J282" s="878"/>
      <c r="K282" s="878"/>
      <c r="L282" s="878"/>
      <c r="M282" s="878"/>
      <c r="N282" s="878"/>
      <c r="O282" s="878"/>
      <c r="P282" s="878"/>
      <c r="Q282" s="878"/>
      <c r="R282" s="878"/>
      <c r="S282" s="878"/>
      <c r="T282" s="878"/>
      <c r="U282" s="878"/>
      <c r="V282" s="878"/>
      <c r="W282" s="878"/>
      <c r="X282" s="878"/>
      <c r="Y282" s="878"/>
      <c r="Z282" s="878"/>
      <c r="AA282" s="878"/>
      <c r="AB282" s="878"/>
      <c r="AC282" s="878"/>
      <c r="AD282" s="878"/>
      <c r="AE282" s="878"/>
      <c r="AF282" s="878"/>
      <c r="AG282" s="878"/>
      <c r="AH282" s="878"/>
      <c r="AI282" s="878"/>
      <c r="AJ282" s="878"/>
      <c r="AK282" s="878"/>
      <c r="AL282" s="878"/>
      <c r="AM282" s="878"/>
      <c r="AN282" s="878"/>
      <c r="AO282" s="878"/>
      <c r="AP282" s="878"/>
      <c r="AQ282" s="878">
        <v>0.15</v>
      </c>
      <c r="AR282" s="878">
        <v>0.15</v>
      </c>
      <c r="AS282" s="878">
        <v>0.15</v>
      </c>
      <c r="AT282" s="878">
        <v>0.15</v>
      </c>
      <c r="AU282" s="878"/>
      <c r="AV282" s="878"/>
      <c r="AW282" s="878"/>
      <c r="AX282" s="878"/>
      <c r="AY282" s="559">
        <v>1</v>
      </c>
      <c r="AZ282" s="560">
        <f t="shared" si="12"/>
        <v>0.15</v>
      </c>
      <c r="BA282" s="559">
        <f t="shared" si="13"/>
        <v>0.15</v>
      </c>
    </row>
    <row r="283" spans="1:53" x14ac:dyDescent="0.35">
      <c r="A283" s="712"/>
      <c r="B283" s="561" t="s">
        <v>121</v>
      </c>
      <c r="C283" s="878"/>
      <c r="D283" s="878"/>
      <c r="E283" s="878"/>
      <c r="F283" s="878"/>
      <c r="G283" s="878"/>
      <c r="H283" s="878"/>
      <c r="I283" s="878"/>
      <c r="J283" s="878"/>
      <c r="K283" s="878"/>
      <c r="L283" s="878"/>
      <c r="M283" s="878"/>
      <c r="N283" s="878"/>
      <c r="O283" s="878"/>
      <c r="P283" s="878"/>
      <c r="Q283" s="878"/>
      <c r="R283" s="878"/>
      <c r="S283" s="878"/>
      <c r="T283" s="878"/>
      <c r="U283" s="878"/>
      <c r="V283" s="878"/>
      <c r="W283" s="878"/>
      <c r="X283" s="878"/>
      <c r="Y283" s="878"/>
      <c r="Z283" s="878"/>
      <c r="AA283" s="878"/>
      <c r="AB283" s="878"/>
      <c r="AC283" s="878"/>
      <c r="AD283" s="878"/>
      <c r="AE283" s="878"/>
      <c r="AF283" s="878"/>
      <c r="AG283" s="878"/>
      <c r="AH283" s="878"/>
      <c r="AI283" s="878"/>
      <c r="AJ283" s="878"/>
      <c r="AK283" s="878"/>
      <c r="AL283" s="878"/>
      <c r="AM283" s="878"/>
      <c r="AN283" s="878"/>
      <c r="AO283" s="878"/>
      <c r="AP283" s="878"/>
      <c r="AQ283" s="878">
        <v>0.18</v>
      </c>
      <c r="AR283" s="878">
        <v>0.18</v>
      </c>
      <c r="AS283" s="878">
        <v>0.18</v>
      </c>
      <c r="AT283" s="878">
        <v>0.18</v>
      </c>
      <c r="AU283" s="878"/>
      <c r="AV283" s="878"/>
      <c r="AW283" s="878"/>
      <c r="AX283" s="878"/>
      <c r="AY283" s="559">
        <v>1</v>
      </c>
      <c r="AZ283" s="560">
        <f t="shared" si="12"/>
        <v>0.18</v>
      </c>
      <c r="BA283" s="559">
        <f t="shared" si="13"/>
        <v>0.18</v>
      </c>
    </row>
    <row r="284" spans="1:53" x14ac:dyDescent="0.35">
      <c r="A284" s="712" t="str">
        <f>DISTRIBUCIÓN!A106</f>
        <v>Impresiones y publicaciones</v>
      </c>
      <c r="B284" s="561" t="s">
        <v>302</v>
      </c>
      <c r="C284" s="878"/>
      <c r="D284" s="878"/>
      <c r="E284" s="878"/>
      <c r="F284" s="878"/>
      <c r="G284" s="878"/>
      <c r="H284" s="878"/>
      <c r="I284" s="878"/>
      <c r="J284" s="878"/>
      <c r="K284" s="878"/>
      <c r="L284" s="878"/>
      <c r="M284" s="878"/>
      <c r="N284" s="878"/>
      <c r="O284" s="878"/>
      <c r="P284" s="878"/>
      <c r="Q284" s="878"/>
      <c r="R284" s="878"/>
      <c r="S284" s="878"/>
      <c r="T284" s="878"/>
      <c r="U284" s="878"/>
      <c r="V284" s="878"/>
      <c r="W284" s="878"/>
      <c r="X284" s="878"/>
      <c r="Y284" s="878"/>
      <c r="Z284" s="878"/>
      <c r="AA284" s="878"/>
      <c r="AB284" s="878"/>
      <c r="AC284" s="878"/>
      <c r="AD284" s="878"/>
      <c r="AE284" s="878"/>
      <c r="AF284" s="878"/>
      <c r="AG284" s="878"/>
      <c r="AH284" s="878"/>
      <c r="AI284" s="878"/>
      <c r="AJ284" s="878"/>
      <c r="AK284" s="878"/>
      <c r="AL284" s="878"/>
      <c r="AM284" s="878"/>
      <c r="AN284" s="878"/>
      <c r="AO284" s="878"/>
      <c r="AP284" s="878"/>
      <c r="AQ284" s="878"/>
      <c r="AR284" s="878"/>
      <c r="AS284" s="878"/>
      <c r="AT284" s="878"/>
      <c r="AU284" s="878">
        <v>0.7</v>
      </c>
      <c r="AV284" s="878">
        <v>0.7</v>
      </c>
      <c r="AW284" s="878">
        <v>0.7</v>
      </c>
      <c r="AX284" s="878">
        <v>0.7</v>
      </c>
      <c r="AY284" s="559">
        <v>1</v>
      </c>
      <c r="AZ284" s="560">
        <f t="shared" si="12"/>
        <v>0.7</v>
      </c>
      <c r="BA284" s="559">
        <f t="shared" si="13"/>
        <v>0.7</v>
      </c>
    </row>
    <row r="285" spans="1:53" x14ac:dyDescent="0.35">
      <c r="A285" s="712"/>
      <c r="B285" s="561" t="s">
        <v>156</v>
      </c>
      <c r="C285" s="878"/>
      <c r="D285" s="878"/>
      <c r="E285" s="878"/>
      <c r="F285" s="878"/>
      <c r="G285" s="878"/>
      <c r="H285" s="878"/>
      <c r="I285" s="878"/>
      <c r="J285" s="878"/>
      <c r="K285" s="878"/>
      <c r="L285" s="878"/>
      <c r="M285" s="878"/>
      <c r="N285" s="878"/>
      <c r="O285" s="878"/>
      <c r="P285" s="878"/>
      <c r="Q285" s="878"/>
      <c r="R285" s="878"/>
      <c r="S285" s="878"/>
      <c r="T285" s="878"/>
      <c r="U285" s="878"/>
      <c r="V285" s="878"/>
      <c r="W285" s="878"/>
      <c r="X285" s="878"/>
      <c r="Y285" s="878"/>
      <c r="Z285" s="878"/>
      <c r="AA285" s="878"/>
      <c r="AB285" s="878"/>
      <c r="AC285" s="878"/>
      <c r="AD285" s="878"/>
      <c r="AE285" s="878"/>
      <c r="AF285" s="878"/>
      <c r="AG285" s="878"/>
      <c r="AH285" s="878"/>
      <c r="AI285" s="878"/>
      <c r="AJ285" s="878"/>
      <c r="AK285" s="878"/>
      <c r="AL285" s="878"/>
      <c r="AM285" s="878"/>
      <c r="AN285" s="878"/>
      <c r="AO285" s="878"/>
      <c r="AP285" s="878"/>
      <c r="AQ285" s="878"/>
      <c r="AR285" s="878"/>
      <c r="AS285" s="878"/>
      <c r="AT285" s="878"/>
      <c r="AU285" s="878">
        <v>0</v>
      </c>
      <c r="AV285" s="878">
        <v>0</v>
      </c>
      <c r="AW285" s="878">
        <v>0</v>
      </c>
      <c r="AX285" s="878">
        <v>0</v>
      </c>
      <c r="AY285" s="559">
        <v>1</v>
      </c>
      <c r="AZ285" s="560">
        <f t="shared" si="12"/>
        <v>0</v>
      </c>
      <c r="BA285" s="559">
        <f t="shared" si="13"/>
        <v>0</v>
      </c>
    </row>
    <row r="286" spans="1:53" x14ac:dyDescent="0.35">
      <c r="A286" s="712"/>
      <c r="B286" s="561" t="s">
        <v>157</v>
      </c>
      <c r="C286" s="878"/>
      <c r="D286" s="878"/>
      <c r="E286" s="878"/>
      <c r="F286" s="878"/>
      <c r="G286" s="878"/>
      <c r="H286" s="878"/>
      <c r="I286" s="878"/>
      <c r="J286" s="878"/>
      <c r="K286" s="878"/>
      <c r="L286" s="878"/>
      <c r="M286" s="878"/>
      <c r="N286" s="878"/>
      <c r="O286" s="878"/>
      <c r="P286" s="878"/>
      <c r="Q286" s="878"/>
      <c r="R286" s="878"/>
      <c r="S286" s="878"/>
      <c r="T286" s="878"/>
      <c r="U286" s="878"/>
      <c r="V286" s="878"/>
      <c r="W286" s="878"/>
      <c r="X286" s="878"/>
      <c r="Y286" s="878"/>
      <c r="Z286" s="878"/>
      <c r="AA286" s="878"/>
      <c r="AB286" s="878"/>
      <c r="AC286" s="878"/>
      <c r="AD286" s="878"/>
      <c r="AE286" s="878"/>
      <c r="AF286" s="878"/>
      <c r="AG286" s="878"/>
      <c r="AH286" s="878"/>
      <c r="AI286" s="878"/>
      <c r="AJ286" s="878"/>
      <c r="AK286" s="878"/>
      <c r="AL286" s="878"/>
      <c r="AM286" s="878"/>
      <c r="AN286" s="878"/>
      <c r="AO286" s="878"/>
      <c r="AP286" s="878"/>
      <c r="AQ286" s="878"/>
      <c r="AR286" s="878"/>
      <c r="AS286" s="878"/>
      <c r="AT286" s="878"/>
      <c r="AU286" s="878">
        <v>0</v>
      </c>
      <c r="AV286" s="878">
        <v>0</v>
      </c>
      <c r="AW286" s="878">
        <v>0</v>
      </c>
      <c r="AX286" s="878">
        <v>0</v>
      </c>
      <c r="AY286" s="559">
        <v>1</v>
      </c>
      <c r="AZ286" s="560">
        <f t="shared" si="12"/>
        <v>0</v>
      </c>
      <c r="BA286" s="559">
        <f t="shared" si="13"/>
        <v>0</v>
      </c>
    </row>
    <row r="287" spans="1:53" x14ac:dyDescent="0.35">
      <c r="A287" s="712"/>
      <c r="B287" s="561" t="s">
        <v>158</v>
      </c>
      <c r="C287" s="878"/>
      <c r="D287" s="878"/>
      <c r="E287" s="878"/>
      <c r="F287" s="878"/>
      <c r="G287" s="878"/>
      <c r="H287" s="878"/>
      <c r="I287" s="878"/>
      <c r="J287" s="878"/>
      <c r="K287" s="878"/>
      <c r="L287" s="878"/>
      <c r="M287" s="878"/>
      <c r="N287" s="878"/>
      <c r="O287" s="878"/>
      <c r="P287" s="878"/>
      <c r="Q287" s="878"/>
      <c r="R287" s="878"/>
      <c r="S287" s="878"/>
      <c r="T287" s="878"/>
      <c r="U287" s="878"/>
      <c r="V287" s="878"/>
      <c r="W287" s="878"/>
      <c r="X287" s="878"/>
      <c r="Y287" s="878"/>
      <c r="Z287" s="878"/>
      <c r="AA287" s="878"/>
      <c r="AB287" s="878"/>
      <c r="AC287" s="878"/>
      <c r="AD287" s="878"/>
      <c r="AE287" s="878"/>
      <c r="AF287" s="878"/>
      <c r="AG287" s="878"/>
      <c r="AH287" s="878"/>
      <c r="AI287" s="878"/>
      <c r="AJ287" s="878"/>
      <c r="AK287" s="878"/>
      <c r="AL287" s="878"/>
      <c r="AM287" s="878"/>
      <c r="AN287" s="878"/>
      <c r="AO287" s="878"/>
      <c r="AP287" s="878"/>
      <c r="AQ287" s="878"/>
      <c r="AR287" s="878"/>
      <c r="AS287" s="878"/>
      <c r="AT287" s="878"/>
      <c r="AU287" s="878">
        <v>0</v>
      </c>
      <c r="AV287" s="878">
        <v>0</v>
      </c>
      <c r="AW287" s="878">
        <v>0</v>
      </c>
      <c r="AX287" s="878">
        <v>0</v>
      </c>
      <c r="AY287" s="559">
        <v>1</v>
      </c>
      <c r="AZ287" s="560">
        <f t="shared" si="12"/>
        <v>0</v>
      </c>
      <c r="BA287" s="559">
        <f t="shared" si="13"/>
        <v>0</v>
      </c>
    </row>
    <row r="288" spans="1:53" x14ac:dyDescent="0.35">
      <c r="A288" s="712"/>
      <c r="B288" s="561" t="s">
        <v>159</v>
      </c>
      <c r="C288" s="878"/>
      <c r="D288" s="878"/>
      <c r="E288" s="878"/>
      <c r="F288" s="878"/>
      <c r="G288" s="878"/>
      <c r="H288" s="878"/>
      <c r="I288" s="878"/>
      <c r="J288" s="878"/>
      <c r="K288" s="878"/>
      <c r="L288" s="878"/>
      <c r="M288" s="878"/>
      <c r="N288" s="878"/>
      <c r="O288" s="878"/>
      <c r="P288" s="878"/>
      <c r="Q288" s="878"/>
      <c r="R288" s="878"/>
      <c r="S288" s="878"/>
      <c r="T288" s="878"/>
      <c r="U288" s="878"/>
      <c r="V288" s="878"/>
      <c r="W288" s="878"/>
      <c r="X288" s="878"/>
      <c r="Y288" s="878"/>
      <c r="Z288" s="878"/>
      <c r="AA288" s="878"/>
      <c r="AB288" s="878"/>
      <c r="AC288" s="878"/>
      <c r="AD288" s="878"/>
      <c r="AE288" s="878"/>
      <c r="AF288" s="878"/>
      <c r="AG288" s="878"/>
      <c r="AH288" s="878"/>
      <c r="AI288" s="878"/>
      <c r="AJ288" s="878"/>
      <c r="AK288" s="878"/>
      <c r="AL288" s="878"/>
      <c r="AM288" s="878"/>
      <c r="AN288" s="878"/>
      <c r="AO288" s="878"/>
      <c r="AP288" s="878"/>
      <c r="AQ288" s="878"/>
      <c r="AR288" s="878"/>
      <c r="AS288" s="878"/>
      <c r="AT288" s="878"/>
      <c r="AU288" s="878">
        <v>0</v>
      </c>
      <c r="AV288" s="878">
        <v>0</v>
      </c>
      <c r="AW288" s="878">
        <v>0</v>
      </c>
      <c r="AX288" s="878">
        <v>0</v>
      </c>
      <c r="AY288" s="559">
        <v>1</v>
      </c>
      <c r="AZ288" s="560">
        <f t="shared" si="12"/>
        <v>0</v>
      </c>
      <c r="BA288" s="559">
        <f t="shared" si="13"/>
        <v>0</v>
      </c>
    </row>
    <row r="289" spans="1:53" x14ac:dyDescent="0.35">
      <c r="A289" s="712"/>
      <c r="B289" s="561" t="s">
        <v>131</v>
      </c>
      <c r="C289" s="878"/>
      <c r="D289" s="878"/>
      <c r="E289" s="878"/>
      <c r="F289" s="878"/>
      <c r="G289" s="878"/>
      <c r="H289" s="878"/>
      <c r="I289" s="878"/>
      <c r="J289" s="878"/>
      <c r="K289" s="878"/>
      <c r="L289" s="878"/>
      <c r="M289" s="878"/>
      <c r="N289" s="878"/>
      <c r="O289" s="878"/>
      <c r="P289" s="878"/>
      <c r="Q289" s="878"/>
      <c r="R289" s="878"/>
      <c r="S289" s="878"/>
      <c r="T289" s="878"/>
      <c r="U289" s="878"/>
      <c r="V289" s="878"/>
      <c r="W289" s="878"/>
      <c r="X289" s="878"/>
      <c r="Y289" s="878"/>
      <c r="Z289" s="878"/>
      <c r="AA289" s="878"/>
      <c r="AB289" s="878"/>
      <c r="AC289" s="878"/>
      <c r="AD289" s="878"/>
      <c r="AE289" s="878"/>
      <c r="AF289" s="878"/>
      <c r="AG289" s="878"/>
      <c r="AH289" s="878"/>
      <c r="AI289" s="878"/>
      <c r="AJ289" s="878"/>
      <c r="AK289" s="878"/>
      <c r="AL289" s="878"/>
      <c r="AM289" s="878"/>
      <c r="AN289" s="878"/>
      <c r="AO289" s="878"/>
      <c r="AP289" s="878"/>
      <c r="AQ289" s="878"/>
      <c r="AR289" s="878"/>
      <c r="AS289" s="878"/>
      <c r="AT289" s="878"/>
      <c r="AU289" s="878">
        <v>0</v>
      </c>
      <c r="AV289" s="878">
        <v>0</v>
      </c>
      <c r="AW289" s="878">
        <v>0</v>
      </c>
      <c r="AX289" s="878">
        <v>0</v>
      </c>
      <c r="AY289" s="559">
        <v>1</v>
      </c>
      <c r="AZ289" s="560">
        <f t="shared" si="12"/>
        <v>0</v>
      </c>
      <c r="BA289" s="559">
        <f t="shared" si="13"/>
        <v>0</v>
      </c>
    </row>
    <row r="290" spans="1:53" x14ac:dyDescent="0.35">
      <c r="A290" s="712"/>
      <c r="B290" s="561" t="s">
        <v>121</v>
      </c>
      <c r="C290" s="878"/>
      <c r="D290" s="878"/>
      <c r="E290" s="878"/>
      <c r="F290" s="878"/>
      <c r="G290" s="878"/>
      <c r="H290" s="878"/>
      <c r="I290" s="878"/>
      <c r="J290" s="878"/>
      <c r="K290" s="878"/>
      <c r="L290" s="878"/>
      <c r="M290" s="878"/>
      <c r="N290" s="878"/>
      <c r="O290" s="878"/>
      <c r="P290" s="878"/>
      <c r="Q290" s="878"/>
      <c r="R290" s="878"/>
      <c r="S290" s="878"/>
      <c r="T290" s="878"/>
      <c r="U290" s="878"/>
      <c r="V290" s="878"/>
      <c r="W290" s="878"/>
      <c r="X290" s="878"/>
      <c r="Y290" s="878"/>
      <c r="Z290" s="878"/>
      <c r="AA290" s="878"/>
      <c r="AB290" s="878"/>
      <c r="AC290" s="878"/>
      <c r="AD290" s="878"/>
      <c r="AE290" s="878"/>
      <c r="AF290" s="878"/>
      <c r="AG290" s="878"/>
      <c r="AH290" s="878"/>
      <c r="AI290" s="878"/>
      <c r="AJ290" s="878"/>
      <c r="AK290" s="878"/>
      <c r="AL290" s="878"/>
      <c r="AM290" s="878"/>
      <c r="AN290" s="878"/>
      <c r="AO290" s="878"/>
      <c r="AP290" s="878"/>
      <c r="AQ290" s="878"/>
      <c r="AR290" s="878"/>
      <c r="AS290" s="878"/>
      <c r="AT290" s="878"/>
      <c r="AU290" s="878">
        <v>0.7</v>
      </c>
      <c r="AV290" s="878">
        <v>0.7</v>
      </c>
      <c r="AW290" s="878">
        <v>0.7</v>
      </c>
      <c r="AX290" s="878">
        <v>0.7</v>
      </c>
      <c r="AY290" s="559">
        <v>1</v>
      </c>
      <c r="AZ290" s="560">
        <f t="shared" si="12"/>
        <v>0.7</v>
      </c>
      <c r="BA290" s="559">
        <f t="shared" si="13"/>
        <v>0.7</v>
      </c>
    </row>
  </sheetData>
  <autoFilter ref="B1:B290" xr:uid="{BA62D5D9-CC9E-4C4F-A6AA-160729CCD3DC}"/>
  <mergeCells count="59">
    <mergeCell ref="A256:A262"/>
    <mergeCell ref="A263:A269"/>
    <mergeCell ref="A270:A276"/>
    <mergeCell ref="A277:A283"/>
    <mergeCell ref="A284:A290"/>
    <mergeCell ref="A221:A227"/>
    <mergeCell ref="A228:A234"/>
    <mergeCell ref="A235:A241"/>
    <mergeCell ref="A242:A248"/>
    <mergeCell ref="A249:A255"/>
    <mergeCell ref="A186:A192"/>
    <mergeCell ref="A144:A150"/>
    <mergeCell ref="A151:A157"/>
    <mergeCell ref="A158:A164"/>
    <mergeCell ref="A165:A171"/>
    <mergeCell ref="A172:A178"/>
    <mergeCell ref="A179:A185"/>
    <mergeCell ref="A4:A10"/>
    <mergeCell ref="A11:A17"/>
    <mergeCell ref="AQ2:AT2"/>
    <mergeCell ref="AU2:AX2"/>
    <mergeCell ref="A60:A66"/>
    <mergeCell ref="A25:A31"/>
    <mergeCell ref="A32:A38"/>
    <mergeCell ref="A39:A45"/>
    <mergeCell ref="A46:A52"/>
    <mergeCell ref="A53:A59"/>
    <mergeCell ref="A193:A199"/>
    <mergeCell ref="A200:A206"/>
    <mergeCell ref="A207:A213"/>
    <mergeCell ref="A214:A220"/>
    <mergeCell ref="A18:A24"/>
    <mergeCell ref="A102:A108"/>
    <mergeCell ref="A95:A101"/>
    <mergeCell ref="A67:A73"/>
    <mergeCell ref="A74:A80"/>
    <mergeCell ref="A81:A87"/>
    <mergeCell ref="A88:A94"/>
    <mergeCell ref="A116:A122"/>
    <mergeCell ref="A123:A129"/>
    <mergeCell ref="A130:A136"/>
    <mergeCell ref="A137:A143"/>
    <mergeCell ref="A109:A115"/>
    <mergeCell ref="A1:BA1"/>
    <mergeCell ref="A2:A3"/>
    <mergeCell ref="B2:B3"/>
    <mergeCell ref="C2:F2"/>
    <mergeCell ref="G2:J2"/>
    <mergeCell ref="K2:N2"/>
    <mergeCell ref="O2:R2"/>
    <mergeCell ref="S2:V2"/>
    <mergeCell ref="W2:Z2"/>
    <mergeCell ref="AA2:AD2"/>
    <mergeCell ref="AE2:AH2"/>
    <mergeCell ref="BA2:BA3"/>
    <mergeCell ref="AI2:AL2"/>
    <mergeCell ref="AM2:AP2"/>
    <mergeCell ref="AY2:AY3"/>
    <mergeCell ref="AZ2:AZ3"/>
  </mergeCells>
  <phoneticPr fontId="5" type="noConversion"/>
  <conditionalFormatting sqref="C4:AX115 R116:R121 C116:Q122 S116:AX122 C123:AX290">
    <cfRule type="cellIs" dxfId="0" priority="1" operator="greaterThan">
      <formula>0</formula>
    </cfRule>
  </conditionalFormatting>
  <dataValidations count="1">
    <dataValidation type="list" allowBlank="1" showInputMessage="1" showErrorMessage="1" sqref="B4:B290" xr:uid="{A2EDE8DE-3BE4-4E19-A0BB-069C81938B20}">
      <formula1>"Director, Experto en modelamiento y calidad de agua, Experto en Hidrología, Profesional Social, Personal de Campo, Profesional SIG, Auxiliar administrativo"</formula1>
    </dataValidation>
  </dataValidations>
  <hyperlinks>
    <hyperlink ref="B2:B3" location="'TABLERO CONTROL'!A1" display="PROFESIONAL" xr:uid="{A0BE48FC-D4AA-4043-9193-AF934D34F7A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37FAB-E0C6-4496-BCD3-779C7F63DFD1}">
  <sheetPr codeName="Hoja12"/>
  <dimension ref="A1:AZ22"/>
  <sheetViews>
    <sheetView showGridLines="0" zoomScaleNormal="100" workbookViewId="0">
      <selection activeCell="A4" sqref="A4"/>
    </sheetView>
  </sheetViews>
  <sheetFormatPr defaultColWidth="11.3984375" defaultRowHeight="12.75" x14ac:dyDescent="0.35"/>
  <cols>
    <col min="1" max="1" width="31.73046875" style="565" customWidth="1"/>
    <col min="2" max="2" width="6.59765625" style="565" customWidth="1"/>
    <col min="3" max="19" width="5.73046875" style="565" customWidth="1"/>
    <col min="20" max="40" width="5.59765625" style="565" customWidth="1"/>
    <col min="41" max="49" width="5.73046875" style="565" customWidth="1"/>
    <col min="50" max="16384" width="11.3984375" style="565"/>
  </cols>
  <sheetData>
    <row r="1" spans="1:52" x14ac:dyDescent="0.35">
      <c r="A1" s="720" t="s">
        <v>303</v>
      </c>
      <c r="B1" s="721"/>
      <c r="C1" s="721"/>
      <c r="D1" s="721"/>
      <c r="E1" s="721"/>
      <c r="F1" s="721"/>
      <c r="G1" s="721"/>
      <c r="H1" s="721"/>
      <c r="I1" s="721"/>
      <c r="J1" s="721"/>
      <c r="K1" s="721"/>
      <c r="L1" s="721"/>
      <c r="M1" s="721"/>
      <c r="N1" s="721"/>
      <c r="O1" s="721"/>
      <c r="P1" s="721"/>
      <c r="Q1" s="721"/>
      <c r="R1" s="721"/>
      <c r="S1" s="721"/>
      <c r="T1" s="721"/>
      <c r="U1" s="721"/>
      <c r="V1" s="721"/>
      <c r="W1" s="721"/>
      <c r="X1" s="721"/>
      <c r="Y1" s="721"/>
      <c r="Z1" s="721"/>
      <c r="AA1" s="721"/>
      <c r="AB1" s="721"/>
      <c r="AC1" s="721"/>
      <c r="AD1" s="721"/>
      <c r="AE1" s="721"/>
      <c r="AF1" s="721"/>
      <c r="AG1" s="721"/>
      <c r="AH1" s="721"/>
      <c r="AI1" s="721"/>
      <c r="AJ1" s="721"/>
      <c r="AK1" s="721"/>
      <c r="AL1" s="721"/>
      <c r="AM1" s="721"/>
      <c r="AN1" s="721"/>
      <c r="AO1" s="721"/>
      <c r="AP1" s="721"/>
      <c r="AQ1" s="721"/>
      <c r="AR1" s="721"/>
      <c r="AS1" s="721"/>
      <c r="AT1" s="721"/>
      <c r="AU1" s="721"/>
      <c r="AV1" s="721"/>
      <c r="AW1" s="721"/>
      <c r="AX1" s="721"/>
      <c r="AY1" s="721"/>
      <c r="AZ1" s="721"/>
    </row>
    <row r="2" spans="1:52" x14ac:dyDescent="0.35">
      <c r="A2" s="727" t="s">
        <v>292</v>
      </c>
      <c r="B2" s="717" t="s">
        <v>53</v>
      </c>
      <c r="C2" s="717"/>
      <c r="D2" s="717"/>
      <c r="E2" s="717"/>
      <c r="F2" s="717" t="s">
        <v>54</v>
      </c>
      <c r="G2" s="717"/>
      <c r="H2" s="717"/>
      <c r="I2" s="717"/>
      <c r="J2" s="717" t="s">
        <v>55</v>
      </c>
      <c r="K2" s="717"/>
      <c r="L2" s="717"/>
      <c r="M2" s="717"/>
      <c r="N2" s="717" t="s">
        <v>56</v>
      </c>
      <c r="O2" s="717"/>
      <c r="P2" s="717"/>
      <c r="Q2" s="717"/>
      <c r="R2" s="717" t="s">
        <v>57</v>
      </c>
      <c r="S2" s="717"/>
      <c r="T2" s="717"/>
      <c r="U2" s="717"/>
      <c r="V2" s="717" t="s">
        <v>58</v>
      </c>
      <c r="W2" s="717"/>
      <c r="X2" s="717"/>
      <c r="Y2" s="717"/>
      <c r="Z2" s="717" t="s">
        <v>117</v>
      </c>
      <c r="AA2" s="717"/>
      <c r="AB2" s="717"/>
      <c r="AC2" s="717"/>
      <c r="AD2" s="717" t="s">
        <v>177</v>
      </c>
      <c r="AE2" s="717"/>
      <c r="AF2" s="717"/>
      <c r="AG2" s="717"/>
      <c r="AH2" s="717" t="s">
        <v>178</v>
      </c>
      <c r="AI2" s="717"/>
      <c r="AJ2" s="717"/>
      <c r="AK2" s="717"/>
      <c r="AL2" s="717" t="s">
        <v>180</v>
      </c>
      <c r="AM2" s="717"/>
      <c r="AN2" s="717"/>
      <c r="AO2" s="717"/>
      <c r="AP2" s="717" t="s">
        <v>181</v>
      </c>
      <c r="AQ2" s="717"/>
      <c r="AR2" s="717"/>
      <c r="AS2" s="717"/>
      <c r="AT2" s="717" t="s">
        <v>301</v>
      </c>
      <c r="AU2" s="717"/>
      <c r="AV2" s="717"/>
      <c r="AW2" s="723"/>
      <c r="AX2" s="718" t="s">
        <v>293</v>
      </c>
      <c r="AY2" s="724" t="s">
        <v>294</v>
      </c>
      <c r="AZ2" s="718" t="s">
        <v>295</v>
      </c>
    </row>
    <row r="3" spans="1:52" s="568" customFormat="1" ht="11.25" customHeight="1" x14ac:dyDescent="0.35">
      <c r="A3" s="727"/>
      <c r="B3" s="566" t="s">
        <v>296</v>
      </c>
      <c r="C3" s="566" t="s">
        <v>297</v>
      </c>
      <c r="D3" s="566" t="s">
        <v>298</v>
      </c>
      <c r="E3" s="566" t="s">
        <v>299</v>
      </c>
      <c r="F3" s="566" t="s">
        <v>296</v>
      </c>
      <c r="G3" s="566" t="s">
        <v>297</v>
      </c>
      <c r="H3" s="566" t="s">
        <v>298</v>
      </c>
      <c r="I3" s="566" t="s">
        <v>299</v>
      </c>
      <c r="J3" s="566" t="s">
        <v>296</v>
      </c>
      <c r="K3" s="566" t="s">
        <v>297</v>
      </c>
      <c r="L3" s="566" t="s">
        <v>298</v>
      </c>
      <c r="M3" s="566" t="s">
        <v>299</v>
      </c>
      <c r="N3" s="566" t="s">
        <v>296</v>
      </c>
      <c r="O3" s="566" t="s">
        <v>297</v>
      </c>
      <c r="P3" s="566" t="s">
        <v>298</v>
      </c>
      <c r="Q3" s="566" t="s">
        <v>299</v>
      </c>
      <c r="R3" s="566" t="s">
        <v>296</v>
      </c>
      <c r="S3" s="566" t="s">
        <v>297</v>
      </c>
      <c r="T3" s="566" t="s">
        <v>298</v>
      </c>
      <c r="U3" s="566" t="s">
        <v>299</v>
      </c>
      <c r="V3" s="566" t="s">
        <v>296</v>
      </c>
      <c r="W3" s="566" t="s">
        <v>297</v>
      </c>
      <c r="X3" s="566" t="s">
        <v>298</v>
      </c>
      <c r="Y3" s="566" t="s">
        <v>299</v>
      </c>
      <c r="Z3" s="566" t="s">
        <v>296</v>
      </c>
      <c r="AA3" s="566" t="s">
        <v>297</v>
      </c>
      <c r="AB3" s="566" t="s">
        <v>298</v>
      </c>
      <c r="AC3" s="566" t="s">
        <v>299</v>
      </c>
      <c r="AD3" s="566" t="s">
        <v>296</v>
      </c>
      <c r="AE3" s="566" t="s">
        <v>297</v>
      </c>
      <c r="AF3" s="566" t="s">
        <v>298</v>
      </c>
      <c r="AG3" s="566" t="s">
        <v>299</v>
      </c>
      <c r="AH3" s="566" t="s">
        <v>296</v>
      </c>
      <c r="AI3" s="566" t="s">
        <v>297</v>
      </c>
      <c r="AJ3" s="566" t="s">
        <v>298</v>
      </c>
      <c r="AK3" s="566" t="s">
        <v>299</v>
      </c>
      <c r="AL3" s="566" t="s">
        <v>296</v>
      </c>
      <c r="AM3" s="566" t="s">
        <v>297</v>
      </c>
      <c r="AN3" s="566" t="s">
        <v>298</v>
      </c>
      <c r="AO3" s="566" t="s">
        <v>299</v>
      </c>
      <c r="AP3" s="566" t="s">
        <v>296</v>
      </c>
      <c r="AQ3" s="566" t="s">
        <v>297</v>
      </c>
      <c r="AR3" s="566" t="s">
        <v>298</v>
      </c>
      <c r="AS3" s="566" t="s">
        <v>299</v>
      </c>
      <c r="AT3" s="566" t="s">
        <v>296</v>
      </c>
      <c r="AU3" s="566" t="s">
        <v>297</v>
      </c>
      <c r="AV3" s="566" t="s">
        <v>298</v>
      </c>
      <c r="AW3" s="567" t="s">
        <v>299</v>
      </c>
      <c r="AX3" s="719"/>
      <c r="AY3" s="725"/>
      <c r="AZ3" s="719"/>
    </row>
    <row r="4" spans="1:52" ht="17.25" customHeight="1" x14ac:dyDescent="0.35">
      <c r="A4" s="569" t="str">
        <f>DISTRIBUCIÓN!A4</f>
        <v>Director</v>
      </c>
      <c r="B4" s="570">
        <f ca="1">SUMIF('PLAN DE CARGAS'!$B$4:$B$377,"Director",'PLAN DE CARGAS'!C4:C327)</f>
        <v>0.46</v>
      </c>
      <c r="C4" s="570">
        <f ca="1">SUMIF('PLAN DE CARGAS'!$B$4:$B$377,"Director",'PLAN DE CARGAS'!D4:D327)</f>
        <v>0.79</v>
      </c>
      <c r="D4" s="570">
        <f ca="1">SUMIF('PLAN DE CARGAS'!$B$4:$B$377,"Director",'PLAN DE CARGAS'!E4:E327)</f>
        <v>0.84000000000000008</v>
      </c>
      <c r="E4" s="570">
        <f ca="1">SUMIF('PLAN DE CARGAS'!$B$4:$B$377,"Director",'PLAN DE CARGAS'!F4:F327)</f>
        <v>0.75</v>
      </c>
      <c r="F4" s="570">
        <f ca="1">SUMIF('PLAN DE CARGAS'!$B$4:$B$377,"Director",'PLAN DE CARGAS'!G4:G327)</f>
        <v>0.72000000000000008</v>
      </c>
      <c r="G4" s="570">
        <f ca="1">SUMIF('PLAN DE CARGAS'!$B$4:$B$377,"Director",'PLAN DE CARGAS'!H4:H327)</f>
        <v>0.72000000000000008</v>
      </c>
      <c r="H4" s="570">
        <f ca="1">SUMIF('PLAN DE CARGAS'!$B$4:$B$377,"Director",'PLAN DE CARGAS'!I4:I327)</f>
        <v>0.68</v>
      </c>
      <c r="I4" s="570">
        <f ca="1">SUMIF('PLAN DE CARGAS'!$B$4:$B$377,"Director",'PLAN DE CARGAS'!J4:J327)</f>
        <v>0.68</v>
      </c>
      <c r="J4" s="570">
        <f ca="1">SUMIF('PLAN DE CARGAS'!$B$4:$B$377,"Director",'PLAN DE CARGAS'!K4:K327)</f>
        <v>0.70000000000000007</v>
      </c>
      <c r="K4" s="570">
        <f ca="1">SUMIF('PLAN DE CARGAS'!$B$4:$B$377,"Director",'PLAN DE CARGAS'!L4:L327)</f>
        <v>0.70000000000000007</v>
      </c>
      <c r="L4" s="570">
        <f ca="1">SUMIF('PLAN DE CARGAS'!$B$4:$B$377,"Director",'PLAN DE CARGAS'!M4:M327)</f>
        <v>0.70000000000000007</v>
      </c>
      <c r="M4" s="570">
        <f ca="1">SUMIF('PLAN DE CARGAS'!$B$4:$B$377,"Director",'PLAN DE CARGAS'!N4:N327)</f>
        <v>0.70000000000000007</v>
      </c>
      <c r="N4" s="570">
        <f ca="1">SUMIF('PLAN DE CARGAS'!$B$4:$B$377,"Director",'PLAN DE CARGAS'!O4:O327)</f>
        <v>0.70000000000000007</v>
      </c>
      <c r="O4" s="570">
        <f ca="1">SUMIF('PLAN DE CARGAS'!$B$4:$B$377,"Director",'PLAN DE CARGAS'!P4:P327)</f>
        <v>0.70000000000000007</v>
      </c>
      <c r="P4" s="570">
        <f ca="1">SUMIF('PLAN DE CARGAS'!$B$4:$B$377,"Director",'PLAN DE CARGAS'!Q4:Q327)</f>
        <v>0.70000000000000007</v>
      </c>
      <c r="Q4" s="570">
        <f ca="1">SUMIF('PLAN DE CARGAS'!$B$4:$B$377,"Director",'PLAN DE CARGAS'!R4:R327)</f>
        <v>0.70000000000000007</v>
      </c>
      <c r="R4" s="570">
        <f ca="1">SUMIF('PLAN DE CARGAS'!$B$4:$B$377,"Director",'PLAN DE CARGAS'!S4:S327)</f>
        <v>0.70000000000000007</v>
      </c>
      <c r="S4" s="570">
        <f ca="1">SUMIF('PLAN DE CARGAS'!$B$4:$B$377,"Director",'PLAN DE CARGAS'!T4:T327)</f>
        <v>0.70000000000000007</v>
      </c>
      <c r="T4" s="570">
        <f ca="1">SUMIF('PLAN DE CARGAS'!$B$4:$B$377,"Director",'PLAN DE CARGAS'!U4:U327)</f>
        <v>0.70000000000000007</v>
      </c>
      <c r="U4" s="570">
        <f ca="1">SUMIF('PLAN DE CARGAS'!$B$4:$B$377,"Director",'PLAN DE CARGAS'!V4:V327)</f>
        <v>0.70000000000000007</v>
      </c>
      <c r="V4" s="570">
        <f ca="1">SUMIF('PLAN DE CARGAS'!$B$4:$B$377,"Director",'PLAN DE CARGAS'!W4:W327)</f>
        <v>0.70000000000000007</v>
      </c>
      <c r="W4" s="570">
        <f ca="1">SUMIF('PLAN DE CARGAS'!$B$4:$B$377,"Director",'PLAN DE CARGAS'!X4:X327)</f>
        <v>0.70000000000000007</v>
      </c>
      <c r="X4" s="570">
        <f ca="1">SUMIF('PLAN DE CARGAS'!$B$4:$B$377,"Director",'PLAN DE CARGAS'!Y4:Y327)</f>
        <v>0.70000000000000007</v>
      </c>
      <c r="Y4" s="570">
        <f ca="1">SUMIF('PLAN DE CARGAS'!$B$4:$B$377,"Director",'PLAN DE CARGAS'!Z4:Z327)</f>
        <v>0.70000000000000007</v>
      </c>
      <c r="Z4" s="570">
        <f ca="1">SUMIF('PLAN DE CARGAS'!$B$4:$B$377,"Director",'PLAN DE CARGAS'!AA4:AA327)</f>
        <v>0.7</v>
      </c>
      <c r="AA4" s="570">
        <f ca="1">SUMIF('PLAN DE CARGAS'!$B$4:$B$377,"Director",'PLAN DE CARGAS'!AB4:AB327)</f>
        <v>0.7</v>
      </c>
      <c r="AB4" s="570">
        <f ca="1">SUMIF('PLAN DE CARGAS'!$B$4:$B$377,"Director",'PLAN DE CARGAS'!AC4:AC327)</f>
        <v>0.7</v>
      </c>
      <c r="AC4" s="570">
        <f ca="1">SUMIF('PLAN DE CARGAS'!$B$4:$B$377,"Director",'PLAN DE CARGAS'!AD4:AD327)</f>
        <v>0.7</v>
      </c>
      <c r="AD4" s="570">
        <f ca="1">SUMIF('PLAN DE CARGAS'!$B$4:$B$377,"Director",'PLAN DE CARGAS'!AE4:AE327)</f>
        <v>0.69000000000000006</v>
      </c>
      <c r="AE4" s="570">
        <f ca="1">SUMIF('PLAN DE CARGAS'!$B$4:$B$377,"Director",'PLAN DE CARGAS'!AF4:AF327)</f>
        <v>0.69000000000000006</v>
      </c>
      <c r="AF4" s="570">
        <f ca="1">SUMIF('PLAN DE CARGAS'!$B$4:$B$377,"Director",'PLAN DE CARGAS'!AG4:AG327)</f>
        <v>0.69000000000000006</v>
      </c>
      <c r="AG4" s="570">
        <f ca="1">SUMIF('PLAN DE CARGAS'!$B$4:$B$377,"Director",'PLAN DE CARGAS'!AH4:AH327)</f>
        <v>0.69000000000000006</v>
      </c>
      <c r="AH4" s="570">
        <f ca="1">SUMIF('PLAN DE CARGAS'!$B$4:$B$377,"Director",'PLAN DE CARGAS'!AI4:AI327)</f>
        <v>0.70000000000000007</v>
      </c>
      <c r="AI4" s="570">
        <f ca="1">SUMIF('PLAN DE CARGAS'!$B$4:$B$377,"Director",'PLAN DE CARGAS'!AJ4:AJ327)</f>
        <v>0.70000000000000007</v>
      </c>
      <c r="AJ4" s="570">
        <f ca="1">SUMIF('PLAN DE CARGAS'!$B$4:$B$377,"Director",'PLAN DE CARGAS'!AK4:AK327)</f>
        <v>0.70000000000000007</v>
      </c>
      <c r="AK4" s="570">
        <f ca="1">SUMIF('PLAN DE CARGAS'!$B$4:$B$377,"Director",'PLAN DE CARGAS'!AL4:AL327)</f>
        <v>0.70000000000000007</v>
      </c>
      <c r="AL4" s="570">
        <f ca="1">SUMIF('PLAN DE CARGAS'!$B$4:$B$377,"Director",'PLAN DE CARGAS'!AM4:AM327)</f>
        <v>0.70000000000000007</v>
      </c>
      <c r="AM4" s="570">
        <f ca="1">SUMIF('PLAN DE CARGAS'!$B$4:$B$377,"Director",'PLAN DE CARGAS'!AN4:AN327)</f>
        <v>0.70000000000000007</v>
      </c>
      <c r="AN4" s="570">
        <f ca="1">SUMIF('PLAN DE CARGAS'!$B$4:$B$377,"Director",'PLAN DE CARGAS'!AO4:AO327)</f>
        <v>0.70000000000000007</v>
      </c>
      <c r="AO4" s="570">
        <f ca="1">SUMIF('PLAN DE CARGAS'!$B$4:$B$377,"Director",'PLAN DE CARGAS'!AP4:AP327)</f>
        <v>0.70000000000000007</v>
      </c>
      <c r="AP4" s="570">
        <f ca="1">SUMIF('PLAN DE CARGAS'!$B$4:$B$377,"Director",'PLAN DE CARGAS'!AQ4:AQ327)</f>
        <v>0.70000000000000007</v>
      </c>
      <c r="AQ4" s="570">
        <f ca="1">SUMIF('PLAN DE CARGAS'!$B$4:$B$377,"Director",'PLAN DE CARGAS'!AR4:AR327)</f>
        <v>0.70000000000000007</v>
      </c>
      <c r="AR4" s="570">
        <f ca="1">SUMIF('PLAN DE CARGAS'!$B$4:$B$377,"Director",'PLAN DE CARGAS'!AS4:AS327)</f>
        <v>0.70000000000000007</v>
      </c>
      <c r="AS4" s="570">
        <f ca="1">SUMIF('PLAN DE CARGAS'!$B$4:$B$377,"Director",'PLAN DE CARGAS'!AT4:AT327)</f>
        <v>0.70000000000000007</v>
      </c>
      <c r="AT4" s="570">
        <f ca="1">SUMIF('PLAN DE CARGAS'!$B$4:$B$377,"Director",'PLAN DE CARGAS'!AU4:AU327)</f>
        <v>0.7</v>
      </c>
      <c r="AU4" s="570">
        <f ca="1">SUMIF('PLAN DE CARGAS'!$B$4:$B$377,"Director",'PLAN DE CARGAS'!AV4:AV327)</f>
        <v>0.7</v>
      </c>
      <c r="AV4" s="570">
        <f ca="1">SUMIF('PLAN DE CARGAS'!$B$4:$B$377,"Director",'PLAN DE CARGAS'!AW4:AW327)</f>
        <v>0.7</v>
      </c>
      <c r="AW4" s="570">
        <f ca="1">SUMIF('PLAN DE CARGAS'!$B$4:$B$377,"Director",'PLAN DE CARGAS'!AX4:AX327)</f>
        <v>0.7</v>
      </c>
      <c r="AX4" s="571">
        <f ca="1">ROUND(COUNTIF(B4:AW4,"&gt;0")/4,2)</f>
        <v>12</v>
      </c>
      <c r="AY4" s="572">
        <f ca="1">IF(COUNTIF(B4:AW4,"&gt;0")=0,0,ROUND(SUM(B4:AW4)/COUNTIF(B4:AW4,"&gt;0"),4))</f>
        <v>0.7</v>
      </c>
      <c r="AZ4" s="571">
        <f ca="1">ROUND(SUM(B4:AW4)/4,2)</f>
        <v>8.4</v>
      </c>
    </row>
    <row r="5" spans="1:52" ht="17.25" customHeight="1" x14ac:dyDescent="0.35">
      <c r="A5" s="569" t="str">
        <f>DISTRIBUCIÓN!A5</f>
        <v>Experto en modelamiento y calidad de agua</v>
      </c>
      <c r="B5" s="570">
        <f ca="1">SUMIF('PLAN DE CARGAS'!$B$4:$B$377,"Experto en modelamiento y calidad de agua",'PLAN DE CARGAS'!C4:C327)</f>
        <v>0.31</v>
      </c>
      <c r="C5" s="570">
        <f ca="1">SUMIF('PLAN DE CARGAS'!$B$4:$B$377,"Experto en modelamiento y calidad de agua",'PLAN DE CARGAS'!D4:D327)</f>
        <v>0.77</v>
      </c>
      <c r="D5" s="570">
        <f ca="1">SUMIF('PLAN DE CARGAS'!$B$4:$B$377,"Experto en modelamiento y calidad de agua",'PLAN DE CARGAS'!E4:E327)</f>
        <v>0.86</v>
      </c>
      <c r="E5" s="570">
        <f ca="1">SUMIF('PLAN DE CARGAS'!$B$4:$B$377,"Experto en modelamiento y calidad de agua",'PLAN DE CARGAS'!F4:F327)</f>
        <v>0.86</v>
      </c>
      <c r="F5" s="570">
        <f ca="1">SUMIF('PLAN DE CARGAS'!$B$4:$B$377,"Experto en modelamiento y calidad de agua",'PLAN DE CARGAS'!G4:G327)</f>
        <v>0.7</v>
      </c>
      <c r="G5" s="570">
        <f ca="1">SUMIF('PLAN DE CARGAS'!$B$4:$B$377,"Experto en modelamiento y calidad de agua",'PLAN DE CARGAS'!H4:H327)</f>
        <v>0.7</v>
      </c>
      <c r="H5" s="570">
        <f ca="1">SUMIF('PLAN DE CARGAS'!$B$4:$B$377,"Experto en modelamiento y calidad de agua",'PLAN DE CARGAS'!I4:I327)</f>
        <v>0.7</v>
      </c>
      <c r="I5" s="570">
        <f ca="1">SUMIF('PLAN DE CARGAS'!$B$4:$B$377,"Experto en modelamiento y calidad de agua",'PLAN DE CARGAS'!J4:J327)</f>
        <v>0.7</v>
      </c>
      <c r="J5" s="570">
        <f ca="1">SUMIF('PLAN DE CARGAS'!$B$4:$B$377,"Experto en modelamiento y calidad de agua",'PLAN DE CARGAS'!K4:K327)</f>
        <v>0.7</v>
      </c>
      <c r="K5" s="570">
        <f ca="1">SUMIF('PLAN DE CARGAS'!$B$4:$B$377,"Experto en modelamiento y calidad de agua",'PLAN DE CARGAS'!L4:L327)</f>
        <v>0.7</v>
      </c>
      <c r="L5" s="570">
        <f ca="1">SUMIF('PLAN DE CARGAS'!$B$4:$B$377,"Experto en modelamiento y calidad de agua",'PLAN DE CARGAS'!M4:M327)</f>
        <v>0.7</v>
      </c>
      <c r="M5" s="570">
        <f ca="1">SUMIF('PLAN DE CARGAS'!$B$4:$B$377,"Experto en modelamiento y calidad de agua",'PLAN DE CARGAS'!N4:N327)</f>
        <v>0.7</v>
      </c>
      <c r="N5" s="570">
        <f ca="1">SUMIF('PLAN DE CARGAS'!$B$4:$B$377,"Experto en modelamiento y calidad de agua",'PLAN DE CARGAS'!O4:O327)</f>
        <v>0.7</v>
      </c>
      <c r="O5" s="570">
        <f ca="1">SUMIF('PLAN DE CARGAS'!$B$4:$B$377,"Experto en modelamiento y calidad de agua",'PLAN DE CARGAS'!P4:P327)</f>
        <v>0.7</v>
      </c>
      <c r="P5" s="570">
        <f ca="1">SUMIF('PLAN DE CARGAS'!$B$4:$B$377,"Experto en modelamiento y calidad de agua",'PLAN DE CARGAS'!Q4:Q327)</f>
        <v>0.7</v>
      </c>
      <c r="Q5" s="570">
        <f ca="1">SUMIF('PLAN DE CARGAS'!$B$4:$B$377,"Experto en modelamiento y calidad de agua",'PLAN DE CARGAS'!R4:R327)</f>
        <v>0.7</v>
      </c>
      <c r="R5" s="570">
        <f ca="1">SUMIF('PLAN DE CARGAS'!$B$4:$B$377,"Experto en modelamiento y calidad de agua",'PLAN DE CARGAS'!S4:S327)</f>
        <v>0.7</v>
      </c>
      <c r="S5" s="570">
        <f ca="1">SUMIF('PLAN DE CARGAS'!$B$4:$B$377,"Experto en modelamiento y calidad de agua",'PLAN DE CARGAS'!T4:T327)</f>
        <v>0.7</v>
      </c>
      <c r="T5" s="570">
        <f ca="1">SUMIF('PLAN DE CARGAS'!$B$4:$B$377,"Experto en modelamiento y calidad de agua",'PLAN DE CARGAS'!U4:U327)</f>
        <v>0.7</v>
      </c>
      <c r="U5" s="570">
        <f ca="1">SUMIF('PLAN DE CARGAS'!$B$4:$B$377,"Experto en modelamiento y calidad de agua",'PLAN DE CARGAS'!V4:V327)</f>
        <v>0.7</v>
      </c>
      <c r="V5" s="570">
        <f ca="1">SUMIF('PLAN DE CARGAS'!$B$4:$B$377,"Experto en modelamiento y calidad de agua",'PLAN DE CARGAS'!W4:W327)</f>
        <v>0.70000000000000018</v>
      </c>
      <c r="W5" s="570">
        <f ca="1">SUMIF('PLAN DE CARGAS'!$B$4:$B$377,"Experto en modelamiento y calidad de agua",'PLAN DE CARGAS'!X4:X327)</f>
        <v>0.70000000000000018</v>
      </c>
      <c r="X5" s="570">
        <f ca="1">SUMIF('PLAN DE CARGAS'!$B$4:$B$377,"Experto en modelamiento y calidad de agua",'PLAN DE CARGAS'!Y4:Y327)</f>
        <v>0.70000000000000018</v>
      </c>
      <c r="Y5" s="570">
        <f ca="1">SUMIF('PLAN DE CARGAS'!$B$4:$B$377,"Experto en modelamiento y calidad de agua",'PLAN DE CARGAS'!Z4:Z327)</f>
        <v>0.70000000000000018</v>
      </c>
      <c r="Z5" s="570">
        <f ca="1">SUMIF('PLAN DE CARGAS'!$B$4:$B$377,"Experto en modelamiento y calidad de agua",'PLAN DE CARGAS'!AA4:AA327)</f>
        <v>0.71</v>
      </c>
      <c r="AA5" s="570">
        <f ca="1">SUMIF('PLAN DE CARGAS'!$B$4:$B$377,"Experto en modelamiento y calidad de agua",'PLAN DE CARGAS'!AB4:AB327)</f>
        <v>0.71</v>
      </c>
      <c r="AB5" s="570">
        <f ca="1">SUMIF('PLAN DE CARGAS'!$B$4:$B$377,"Experto en modelamiento y calidad de agua",'PLAN DE CARGAS'!AC4:AC327)</f>
        <v>0.71</v>
      </c>
      <c r="AC5" s="570">
        <f ca="1">SUMIF('PLAN DE CARGAS'!$B$4:$B$377,"Experto en modelamiento y calidad de agua",'PLAN DE CARGAS'!AD4:AD327)</f>
        <v>0.71</v>
      </c>
      <c r="AD5" s="570">
        <f ca="1">SUMIF('PLAN DE CARGAS'!$B$4:$B$377,"Experto en modelamiento y calidad de agua",'PLAN DE CARGAS'!AE4:AE327)</f>
        <v>0.69000000000000006</v>
      </c>
      <c r="AE5" s="570">
        <f ca="1">SUMIF('PLAN DE CARGAS'!$B$4:$B$377,"Experto en modelamiento y calidad de agua",'PLAN DE CARGAS'!AF4:AF327)</f>
        <v>0.69000000000000006</v>
      </c>
      <c r="AF5" s="570">
        <f ca="1">SUMIF('PLAN DE CARGAS'!$B$4:$B$377,"Experto en modelamiento y calidad de agua",'PLAN DE CARGAS'!AG4:AG327)</f>
        <v>0.69000000000000006</v>
      </c>
      <c r="AG5" s="570">
        <f ca="1">SUMIF('PLAN DE CARGAS'!$B$4:$B$377,"Experto en modelamiento y calidad de agua",'PLAN DE CARGAS'!AH4:AH327)</f>
        <v>0.69000000000000006</v>
      </c>
      <c r="AH5" s="570">
        <f ca="1">SUMIF('PLAN DE CARGAS'!$B$4:$B$377,"Experto en modelamiento y calidad de agua",'PLAN DE CARGAS'!AI4:AI327)</f>
        <v>0.70000000000000007</v>
      </c>
      <c r="AI5" s="570">
        <f ca="1">SUMIF('PLAN DE CARGAS'!$B$4:$B$377,"Experto en modelamiento y calidad de agua",'PLAN DE CARGAS'!AJ4:AJ327)</f>
        <v>0.70000000000000007</v>
      </c>
      <c r="AJ5" s="570">
        <f ca="1">SUMIF('PLAN DE CARGAS'!$B$4:$B$377,"Experto en modelamiento y calidad de agua",'PLAN DE CARGAS'!AK4:AK327)</f>
        <v>0.70000000000000007</v>
      </c>
      <c r="AK5" s="570">
        <f ca="1">SUMIF('PLAN DE CARGAS'!$B$4:$B$377,"Experto en modelamiento y calidad de agua",'PLAN DE CARGAS'!AL4:AL327)</f>
        <v>0.70000000000000007</v>
      </c>
      <c r="AL5" s="570">
        <f ca="1">SUMIF('PLAN DE CARGAS'!$B$4:$B$377,"Experto en modelamiento y calidad de agua",'PLAN DE CARGAS'!AM4:AM327)</f>
        <v>0.70000000000000007</v>
      </c>
      <c r="AM5" s="570">
        <f ca="1">SUMIF('PLAN DE CARGAS'!$B$4:$B$377,"Experto en modelamiento y calidad de agua",'PLAN DE CARGAS'!AN4:AN327)</f>
        <v>0.70000000000000007</v>
      </c>
      <c r="AN5" s="570">
        <f ca="1">SUMIF('PLAN DE CARGAS'!$B$4:$B$377,"Experto en modelamiento y calidad de agua",'PLAN DE CARGAS'!AO4:AO327)</f>
        <v>0.70000000000000007</v>
      </c>
      <c r="AO5" s="570">
        <f ca="1">SUMIF('PLAN DE CARGAS'!$B$4:$B$377,"Experto en modelamiento y calidad de agua",'PLAN DE CARGAS'!AP4:AP327)</f>
        <v>0.70000000000000007</v>
      </c>
      <c r="AP5" s="570">
        <f ca="1">SUMIF('PLAN DE CARGAS'!$B$4:$B$377,"Experto en modelamiento y calidad de agua",'PLAN DE CARGAS'!AQ4:AQ327)</f>
        <v>0.7</v>
      </c>
      <c r="AQ5" s="570">
        <f ca="1">SUMIF('PLAN DE CARGAS'!$B$4:$B$377,"Experto en modelamiento y calidad de agua",'PLAN DE CARGAS'!AR4:AR327)</f>
        <v>0.7</v>
      </c>
      <c r="AR5" s="570">
        <f ca="1">SUMIF('PLAN DE CARGAS'!$B$4:$B$377,"Experto en modelamiento y calidad de agua",'PLAN DE CARGAS'!AS4:AS327)</f>
        <v>0.7</v>
      </c>
      <c r="AS5" s="570">
        <f ca="1">SUMIF('PLAN DE CARGAS'!$B$4:$B$377,"Experto en modelamiento y calidad de agua",'PLAN DE CARGAS'!AT4:AT327)</f>
        <v>0.7</v>
      </c>
      <c r="AT5" s="570">
        <f ca="1">SUMIF('PLAN DE CARGAS'!$B$4:$B$377,"Experto en modelamiento y calidad de agua",'PLAN DE CARGAS'!AU4:AU327)</f>
        <v>0</v>
      </c>
      <c r="AU5" s="570">
        <f ca="1">SUMIF('PLAN DE CARGAS'!$B$4:$B$377,"Experto en modelamiento y calidad de agua",'PLAN DE CARGAS'!AV4:AV327)</f>
        <v>0</v>
      </c>
      <c r="AV5" s="570">
        <f ca="1">SUMIF('PLAN DE CARGAS'!$B$4:$B$377,"Experto en modelamiento y calidad de agua",'PLAN DE CARGAS'!AW4:AW327)</f>
        <v>0</v>
      </c>
      <c r="AW5" s="570">
        <f ca="1">SUMIF('PLAN DE CARGAS'!$B$4:$B$377,"Experto en modelamiento y calidad de agua",'PLAN DE CARGAS'!AX4:AX327)</f>
        <v>0</v>
      </c>
      <c r="AX5" s="571">
        <f t="shared" ref="AX5:AX10" ca="1" si="0">ROUND(COUNTIF(B5:AW5,"&gt;0")/4,2)</f>
        <v>11</v>
      </c>
      <c r="AY5" s="572">
        <f t="shared" ref="AY5:AY10" ca="1" si="1">IF(COUNTIF(B5:AW5,"&gt;0")=0,0,ROUND(SUM(B5:AW5)/COUNTIF(B5:AW5,"&gt;0"),4))</f>
        <v>0.7</v>
      </c>
      <c r="AZ5" s="571">
        <f t="shared" ref="AZ5:AZ10" ca="1" si="2">ROUND(SUM(B5:AW5)/4,2)</f>
        <v>7.7</v>
      </c>
    </row>
    <row r="6" spans="1:52" ht="17.25" customHeight="1" x14ac:dyDescent="0.35">
      <c r="A6" s="569" t="str">
        <f>DISTRIBUCIÓN!A6</f>
        <v>Experto en Hidrología</v>
      </c>
      <c r="B6" s="570">
        <f ca="1">SUMIF('PLAN DE CARGAS'!$B$4:$B$377,"Experto en Hidrología",'PLAN DE CARGAS'!C4:C327)</f>
        <v>0.26</v>
      </c>
      <c r="C6" s="570">
        <f ca="1">SUMIF('PLAN DE CARGAS'!$B$4:$B$377,"Experto en Hidrología",'PLAN DE CARGAS'!D4:D327)</f>
        <v>0.6</v>
      </c>
      <c r="D6" s="570">
        <f ca="1">SUMIF('PLAN DE CARGAS'!$B$4:$B$377,"Experto en Hidrología",'PLAN DE CARGAS'!E4:E327)</f>
        <v>0.85000000000000009</v>
      </c>
      <c r="E6" s="570">
        <f ca="1">SUMIF('PLAN DE CARGAS'!$B$4:$B$377,"Experto en Hidrología",'PLAN DE CARGAS'!F4:F327)</f>
        <v>0.65</v>
      </c>
      <c r="F6" s="570">
        <f ca="1">SUMIF('PLAN DE CARGAS'!$B$4:$B$377,"Experto en Hidrología",'PLAN DE CARGAS'!G4:G327)</f>
        <v>0.6</v>
      </c>
      <c r="G6" s="570">
        <f ca="1">SUMIF('PLAN DE CARGAS'!$B$4:$B$377,"Experto en Hidrología",'PLAN DE CARGAS'!H4:H327)</f>
        <v>0.6</v>
      </c>
      <c r="H6" s="570">
        <f ca="1">SUMIF('PLAN DE CARGAS'!$B$4:$B$377,"Experto en Hidrología",'PLAN DE CARGAS'!I4:I327)</f>
        <v>0.6</v>
      </c>
      <c r="I6" s="570">
        <f ca="1">SUMIF('PLAN DE CARGAS'!$B$4:$B$377,"Experto en Hidrología",'PLAN DE CARGAS'!J4:J327)</f>
        <v>0.6</v>
      </c>
      <c r="J6" s="570">
        <f ca="1">SUMIF('PLAN DE CARGAS'!$B$4:$B$377,"Experto en Hidrología",'PLAN DE CARGAS'!K4:K327)</f>
        <v>0.6</v>
      </c>
      <c r="K6" s="570">
        <f ca="1">SUMIF('PLAN DE CARGAS'!$B$4:$B$377,"Experto en Hidrología",'PLAN DE CARGAS'!L4:L327)</f>
        <v>0.6</v>
      </c>
      <c r="L6" s="570">
        <f ca="1">SUMIF('PLAN DE CARGAS'!$B$4:$B$377,"Experto en Hidrología",'PLAN DE CARGAS'!M4:M327)</f>
        <v>0.6</v>
      </c>
      <c r="M6" s="570">
        <f ca="1">SUMIF('PLAN DE CARGAS'!$B$4:$B$377,"Experto en Hidrología",'PLAN DE CARGAS'!N4:N327)</f>
        <v>0.6</v>
      </c>
      <c r="N6" s="570">
        <f ca="1">SUMIF('PLAN DE CARGAS'!$B$4:$B$377,"Experto en Hidrología",'PLAN DE CARGAS'!O4:O327)</f>
        <v>0.6</v>
      </c>
      <c r="O6" s="570">
        <f ca="1">SUMIF('PLAN DE CARGAS'!$B$4:$B$377,"Experto en Hidrología",'PLAN DE CARGAS'!P4:P327)</f>
        <v>0.6</v>
      </c>
      <c r="P6" s="570">
        <f ca="1">SUMIF('PLAN DE CARGAS'!$B$4:$B$377,"Experto en Hidrología",'PLAN DE CARGAS'!Q4:Q327)</f>
        <v>0.6</v>
      </c>
      <c r="Q6" s="570">
        <f ca="1">SUMIF('PLAN DE CARGAS'!$B$4:$B$377,"Experto en Hidrología",'PLAN DE CARGAS'!R4:R327)</f>
        <v>0.6</v>
      </c>
      <c r="R6" s="570">
        <f ca="1">SUMIF('PLAN DE CARGAS'!$B$4:$B$377,"Experto en Hidrología",'PLAN DE CARGAS'!S4:S327)</f>
        <v>0.6</v>
      </c>
      <c r="S6" s="570">
        <f ca="1">SUMIF('PLAN DE CARGAS'!$B$4:$B$377,"Experto en Hidrología",'PLAN DE CARGAS'!T4:T327)</f>
        <v>0.6</v>
      </c>
      <c r="T6" s="570">
        <f ca="1">SUMIF('PLAN DE CARGAS'!$B$4:$B$377,"Experto en Hidrología",'PLAN DE CARGAS'!U4:U327)</f>
        <v>0.6</v>
      </c>
      <c r="U6" s="570">
        <f ca="1">SUMIF('PLAN DE CARGAS'!$B$4:$B$377,"Experto en Hidrología",'PLAN DE CARGAS'!V4:V327)</f>
        <v>0.6</v>
      </c>
      <c r="V6" s="570">
        <f ca="1">SUMIF('PLAN DE CARGAS'!$B$4:$B$377,"Experto en Hidrología",'PLAN DE CARGAS'!W4:W327)</f>
        <v>0.6</v>
      </c>
      <c r="W6" s="570">
        <f ca="1">SUMIF('PLAN DE CARGAS'!$B$4:$B$377,"Experto en Hidrología",'PLAN DE CARGAS'!X4:X327)</f>
        <v>0.6</v>
      </c>
      <c r="X6" s="570">
        <f ca="1">SUMIF('PLAN DE CARGAS'!$B$4:$B$377,"Experto en Hidrología",'PLAN DE CARGAS'!Y4:Y327)</f>
        <v>0.6</v>
      </c>
      <c r="Y6" s="570">
        <f ca="1">SUMIF('PLAN DE CARGAS'!$B$4:$B$377,"Experto en Hidrología",'PLAN DE CARGAS'!Z4:Z327)</f>
        <v>0.6</v>
      </c>
      <c r="Z6" s="570">
        <f ca="1">SUMIF('PLAN DE CARGAS'!$B$4:$B$377,"Experto en Hidrología",'PLAN DE CARGAS'!AA4:AA327)</f>
        <v>0.6</v>
      </c>
      <c r="AA6" s="570">
        <f ca="1">SUMIF('PLAN DE CARGAS'!$B$4:$B$377,"Experto en Hidrología",'PLAN DE CARGAS'!AB4:AB327)</f>
        <v>0.6</v>
      </c>
      <c r="AB6" s="570">
        <f ca="1">SUMIF('PLAN DE CARGAS'!$B$4:$B$377,"Experto en Hidrología",'PLAN DE CARGAS'!AC4:AC327)</f>
        <v>0.6</v>
      </c>
      <c r="AC6" s="570">
        <f ca="1">SUMIF('PLAN DE CARGAS'!$B$4:$B$377,"Experto en Hidrología",'PLAN DE CARGAS'!AD4:AD327)</f>
        <v>0.6</v>
      </c>
      <c r="AD6" s="570">
        <f ca="1">SUMIF('PLAN DE CARGAS'!$B$4:$B$377,"Experto en Hidrología",'PLAN DE CARGAS'!AE4:AE327)</f>
        <v>0.6</v>
      </c>
      <c r="AE6" s="570">
        <f ca="1">SUMIF('PLAN DE CARGAS'!$B$4:$B$377,"Experto en Hidrología",'PLAN DE CARGAS'!AF4:AF327)</f>
        <v>0.6</v>
      </c>
      <c r="AF6" s="570">
        <f ca="1">SUMIF('PLAN DE CARGAS'!$B$4:$B$377,"Experto en Hidrología",'PLAN DE CARGAS'!AG4:AG327)</f>
        <v>0.6</v>
      </c>
      <c r="AG6" s="570">
        <f ca="1">SUMIF('PLAN DE CARGAS'!$B$4:$B$377,"Experto en Hidrología",'PLAN DE CARGAS'!AH4:AH327)</f>
        <v>0.6</v>
      </c>
      <c r="AH6" s="570">
        <f ca="1">SUMIF('PLAN DE CARGAS'!$B$4:$B$377,"Experto en Hidrología",'PLAN DE CARGAS'!AI4:AI327)</f>
        <v>0.61</v>
      </c>
      <c r="AI6" s="570">
        <f ca="1">SUMIF('PLAN DE CARGAS'!$B$4:$B$377,"Experto en Hidrología",'PLAN DE CARGAS'!AJ4:AJ327)</f>
        <v>0.61</v>
      </c>
      <c r="AJ6" s="570">
        <f ca="1">SUMIF('PLAN DE CARGAS'!$B$4:$B$377,"Experto en Hidrología",'PLAN DE CARGAS'!AK4:AK327)</f>
        <v>0.61</v>
      </c>
      <c r="AK6" s="570">
        <f ca="1">SUMIF('PLAN DE CARGAS'!$B$4:$B$377,"Experto en Hidrología",'PLAN DE CARGAS'!AL4:AL327)</f>
        <v>0.61</v>
      </c>
      <c r="AL6" s="570">
        <f ca="1">SUMIF('PLAN DE CARGAS'!$B$4:$B$377,"Experto en Hidrología",'PLAN DE CARGAS'!AM4:AM327)</f>
        <v>0</v>
      </c>
      <c r="AM6" s="570">
        <f ca="1">SUMIF('PLAN DE CARGAS'!$B$4:$B$377,"Experto en Hidrología",'PLAN DE CARGAS'!AN4:AN327)</f>
        <v>0</v>
      </c>
      <c r="AN6" s="570">
        <f ca="1">SUMIF('PLAN DE CARGAS'!$B$4:$B$377,"Experto en Hidrología",'PLAN DE CARGAS'!AO4:AO327)</f>
        <v>0</v>
      </c>
      <c r="AO6" s="570">
        <f ca="1">SUMIF('PLAN DE CARGAS'!$B$4:$B$377,"Experto en Hidrología",'PLAN DE CARGAS'!AP4:AP327)</f>
        <v>0</v>
      </c>
      <c r="AP6" s="570">
        <f ca="1">SUMIF('PLAN DE CARGAS'!$B$4:$B$377,"Experto en Hidrología",'PLAN DE CARGAS'!AQ4:AQ327)</f>
        <v>0</v>
      </c>
      <c r="AQ6" s="570">
        <f ca="1">SUMIF('PLAN DE CARGAS'!$B$4:$B$377,"Experto en Hidrología",'PLAN DE CARGAS'!AR4:AR327)</f>
        <v>0</v>
      </c>
      <c r="AR6" s="570">
        <f ca="1">SUMIF('PLAN DE CARGAS'!$B$4:$B$377,"Experto en Hidrología",'PLAN DE CARGAS'!AS4:AS327)</f>
        <v>0</v>
      </c>
      <c r="AS6" s="570">
        <f ca="1">SUMIF('PLAN DE CARGAS'!$B$4:$B$377,"Experto en Hidrología",'PLAN DE CARGAS'!AT4:AT327)</f>
        <v>0</v>
      </c>
      <c r="AT6" s="570">
        <f ca="1">SUMIF('PLAN DE CARGAS'!$B$4:$B$377,"Experto en Hidrología",'PLAN DE CARGAS'!AU4:AU327)</f>
        <v>0</v>
      </c>
      <c r="AU6" s="570">
        <f ca="1">SUMIF('PLAN DE CARGAS'!$B$4:$B$377,"Experto en Hidrología",'PLAN DE CARGAS'!AV4:AV327)</f>
        <v>0</v>
      </c>
      <c r="AV6" s="570">
        <f ca="1">SUMIF('PLAN DE CARGAS'!$B$4:$B$377,"Experto en Hidrología",'PLAN DE CARGAS'!AW4:AW327)</f>
        <v>0</v>
      </c>
      <c r="AW6" s="570">
        <f ca="1">SUMIF('PLAN DE CARGAS'!$B$4:$B$377,"Experto en Hidrología",'PLAN DE CARGAS'!AX4:AX327)</f>
        <v>0</v>
      </c>
      <c r="AX6" s="571">
        <f t="shared" ca="1" si="0"/>
        <v>9</v>
      </c>
      <c r="AY6" s="572">
        <f t="shared" ca="1" si="1"/>
        <v>0.6</v>
      </c>
      <c r="AZ6" s="571">
        <f t="shared" ca="1" si="2"/>
        <v>5.4</v>
      </c>
    </row>
    <row r="7" spans="1:52" ht="17.25" customHeight="1" x14ac:dyDescent="0.35">
      <c r="A7" s="569" t="str">
        <f>DISTRIBUCIÓN!A7</f>
        <v>Profesional Social</v>
      </c>
      <c r="B7" s="570">
        <f ca="1">SUMIF('PLAN DE CARGAS'!$B$4:$B$377,"Profesional Social",'PLAN DE CARGAS'!C4:C327)</f>
        <v>0.6</v>
      </c>
      <c r="C7" s="570">
        <f ca="1">SUMIF('PLAN DE CARGAS'!$B$4:$B$377,"Profesional Social",'PLAN DE CARGAS'!D4:D327)</f>
        <v>1.0000000000000002</v>
      </c>
      <c r="D7" s="570">
        <f ca="1">SUMIF('PLAN DE CARGAS'!$B$4:$B$377,"Profesional Social",'PLAN DE CARGAS'!E4:E327)</f>
        <v>1.0000000000000002</v>
      </c>
      <c r="E7" s="570">
        <f ca="1">SUMIF('PLAN DE CARGAS'!$B$4:$B$377,"Profesional Social",'PLAN DE CARGAS'!F4:F327)</f>
        <v>1.0000000000000002</v>
      </c>
      <c r="F7" s="570">
        <f ca="1">SUMIF('PLAN DE CARGAS'!$B$4:$B$377,"Profesional Social",'PLAN DE CARGAS'!G4:G327)</f>
        <v>0.89999999999999991</v>
      </c>
      <c r="G7" s="570">
        <f ca="1">SUMIF('PLAN DE CARGAS'!$B$4:$B$377,"Profesional Social",'PLAN DE CARGAS'!H4:H327)</f>
        <v>0.89999999999999991</v>
      </c>
      <c r="H7" s="570">
        <f ca="1">SUMIF('PLAN DE CARGAS'!$B$4:$B$377,"Profesional Social",'PLAN DE CARGAS'!I4:I327)</f>
        <v>0.89999999999999991</v>
      </c>
      <c r="I7" s="570">
        <f ca="1">SUMIF('PLAN DE CARGAS'!$B$4:$B$377,"Profesional Social",'PLAN DE CARGAS'!J4:J327)</f>
        <v>0.89999999999999991</v>
      </c>
      <c r="J7" s="570">
        <f ca="1">SUMIF('PLAN DE CARGAS'!$B$4:$B$377,"Profesional Social",'PLAN DE CARGAS'!K4:K327)</f>
        <v>0.89999999999999991</v>
      </c>
      <c r="K7" s="570">
        <f ca="1">SUMIF('PLAN DE CARGAS'!$B$4:$B$377,"Profesional Social",'PLAN DE CARGAS'!L4:L327)</f>
        <v>0.89999999999999991</v>
      </c>
      <c r="L7" s="570">
        <f ca="1">SUMIF('PLAN DE CARGAS'!$B$4:$B$377,"Profesional Social",'PLAN DE CARGAS'!M4:M327)</f>
        <v>0.89999999999999991</v>
      </c>
      <c r="M7" s="570">
        <f ca="1">SUMIF('PLAN DE CARGAS'!$B$4:$B$377,"Profesional Social",'PLAN DE CARGAS'!N4:N327)</f>
        <v>0.89999999999999991</v>
      </c>
      <c r="N7" s="570">
        <f ca="1">SUMIF('PLAN DE CARGAS'!$B$4:$B$377,"Profesional Social",'PLAN DE CARGAS'!O4:O327)</f>
        <v>0.89999999999999991</v>
      </c>
      <c r="O7" s="570">
        <f ca="1">SUMIF('PLAN DE CARGAS'!$B$4:$B$377,"Profesional Social",'PLAN DE CARGAS'!P4:P327)</f>
        <v>0.89999999999999991</v>
      </c>
      <c r="P7" s="570">
        <f ca="1">SUMIF('PLAN DE CARGAS'!$B$4:$B$377,"Profesional Social",'PLAN DE CARGAS'!Q4:Q327)</f>
        <v>0.89999999999999991</v>
      </c>
      <c r="Q7" s="570">
        <f ca="1">SUMIF('PLAN DE CARGAS'!$B$4:$B$377,"Profesional Social",'PLAN DE CARGAS'!R4:R327)</f>
        <v>0.89999999999999991</v>
      </c>
      <c r="R7" s="570">
        <f ca="1">SUMIF('PLAN DE CARGAS'!$B$4:$B$377,"Profesional Social",'PLAN DE CARGAS'!S4:S327)</f>
        <v>0.89999999999999991</v>
      </c>
      <c r="S7" s="570">
        <f ca="1">SUMIF('PLAN DE CARGAS'!$B$4:$B$377,"Profesional Social",'PLAN DE CARGAS'!T4:T327)</f>
        <v>0.89999999999999991</v>
      </c>
      <c r="T7" s="570">
        <f ca="1">SUMIF('PLAN DE CARGAS'!$B$4:$B$377,"Profesional Social",'PLAN DE CARGAS'!U4:U327)</f>
        <v>0.89999999999999991</v>
      </c>
      <c r="U7" s="570">
        <f ca="1">SUMIF('PLAN DE CARGAS'!$B$4:$B$377,"Profesional Social",'PLAN DE CARGAS'!V4:V327)</f>
        <v>0.89999999999999991</v>
      </c>
      <c r="V7" s="570">
        <f ca="1">SUMIF('PLAN DE CARGAS'!$B$4:$B$377,"Profesional Social",'PLAN DE CARGAS'!W4:W327)</f>
        <v>0</v>
      </c>
      <c r="W7" s="570">
        <f ca="1">SUMIF('PLAN DE CARGAS'!$B$4:$B$377,"Profesional Social",'PLAN DE CARGAS'!X4:X327)</f>
        <v>0</v>
      </c>
      <c r="X7" s="570">
        <f ca="1">SUMIF('PLAN DE CARGAS'!$B$4:$B$377,"Profesional Social",'PLAN DE CARGAS'!Y4:Y327)</f>
        <v>0</v>
      </c>
      <c r="Y7" s="570">
        <f ca="1">SUMIF('PLAN DE CARGAS'!$B$4:$B$377,"Profesional Social",'PLAN DE CARGAS'!Z4:Z327)</f>
        <v>0</v>
      </c>
      <c r="Z7" s="570">
        <f ca="1">SUMIF('PLAN DE CARGAS'!$B$4:$B$377,"Profesional Social",'PLAN DE CARGAS'!AA4:AA327)</f>
        <v>0</v>
      </c>
      <c r="AA7" s="570">
        <f ca="1">SUMIF('PLAN DE CARGAS'!$B$4:$B$377,"Profesional Social",'PLAN DE CARGAS'!AB4:AB327)</f>
        <v>0</v>
      </c>
      <c r="AB7" s="570">
        <f ca="1">SUMIF('PLAN DE CARGAS'!$B$4:$B$377,"Profesional Social",'PLAN DE CARGAS'!AC4:AC327)</f>
        <v>0</v>
      </c>
      <c r="AC7" s="570">
        <f ca="1">SUMIF('PLAN DE CARGAS'!$B$4:$B$377,"Profesional Social",'PLAN DE CARGAS'!AD4:AD327)</f>
        <v>0</v>
      </c>
      <c r="AD7" s="570">
        <f ca="1">SUMIF('PLAN DE CARGAS'!$B$4:$B$377,"Profesional Social",'PLAN DE CARGAS'!AE4:AE327)</f>
        <v>0</v>
      </c>
      <c r="AE7" s="570">
        <f ca="1">SUMIF('PLAN DE CARGAS'!$B$4:$B$377,"Profesional Social",'PLAN DE CARGAS'!AF4:AF327)</f>
        <v>0</v>
      </c>
      <c r="AF7" s="570">
        <f ca="1">SUMIF('PLAN DE CARGAS'!$B$4:$B$377,"Profesional Social",'PLAN DE CARGAS'!AG4:AG327)</f>
        <v>0</v>
      </c>
      <c r="AG7" s="570">
        <f ca="1">SUMIF('PLAN DE CARGAS'!$B$4:$B$377,"Profesional Social",'PLAN DE CARGAS'!AH4:AH327)</f>
        <v>0</v>
      </c>
      <c r="AH7" s="570">
        <f ca="1">SUMIF('PLAN DE CARGAS'!$B$4:$B$377,"Profesional Social",'PLAN DE CARGAS'!AI4:AI327)</f>
        <v>0</v>
      </c>
      <c r="AI7" s="570">
        <f ca="1">SUMIF('PLAN DE CARGAS'!$B$4:$B$377,"Profesional Social",'PLAN DE CARGAS'!AJ4:AJ327)</f>
        <v>0</v>
      </c>
      <c r="AJ7" s="570">
        <f ca="1">SUMIF('PLAN DE CARGAS'!$B$4:$B$377,"Profesional Social",'PLAN DE CARGAS'!AK4:AK327)</f>
        <v>0</v>
      </c>
      <c r="AK7" s="570">
        <f ca="1">SUMIF('PLAN DE CARGAS'!$B$4:$B$377,"Profesional Social",'PLAN DE CARGAS'!AL4:AL327)</f>
        <v>0</v>
      </c>
      <c r="AL7" s="570">
        <f ca="1">SUMIF('PLAN DE CARGAS'!$B$4:$B$377,"Profesional Social",'PLAN DE CARGAS'!AM4:AM327)</f>
        <v>0</v>
      </c>
      <c r="AM7" s="570">
        <f ca="1">SUMIF('PLAN DE CARGAS'!$B$4:$B$377,"Profesional Social",'PLAN DE CARGAS'!AN4:AN327)</f>
        <v>0</v>
      </c>
      <c r="AN7" s="570">
        <f ca="1">SUMIF('PLAN DE CARGAS'!$B$4:$B$377,"Profesional Social",'PLAN DE CARGAS'!AO4:AO327)</f>
        <v>0</v>
      </c>
      <c r="AO7" s="570">
        <f ca="1">SUMIF('PLAN DE CARGAS'!$B$4:$B$377,"Profesional Social",'PLAN DE CARGAS'!AP4:AP327)</f>
        <v>0</v>
      </c>
      <c r="AP7" s="570">
        <f ca="1">SUMIF('PLAN DE CARGAS'!$B$4:$B$377,"Profesional Social",'PLAN DE CARGAS'!AQ4:AQ327)</f>
        <v>0</v>
      </c>
      <c r="AQ7" s="570">
        <f ca="1">SUMIF('PLAN DE CARGAS'!$B$4:$B$377,"Profesional Social",'PLAN DE CARGAS'!AR4:AR327)</f>
        <v>0</v>
      </c>
      <c r="AR7" s="570">
        <f ca="1">SUMIF('PLAN DE CARGAS'!$B$4:$B$377,"Profesional Social",'PLAN DE CARGAS'!AS4:AS327)</f>
        <v>0</v>
      </c>
      <c r="AS7" s="570">
        <f ca="1">SUMIF('PLAN DE CARGAS'!$B$4:$B$377,"Profesional Social",'PLAN DE CARGAS'!AT4:AT327)</f>
        <v>0</v>
      </c>
      <c r="AT7" s="570">
        <f ca="1">SUMIF('PLAN DE CARGAS'!$B$4:$B$377,"Profesional Social",'PLAN DE CARGAS'!AU4:AU327)</f>
        <v>0</v>
      </c>
      <c r="AU7" s="570">
        <f ca="1">SUMIF('PLAN DE CARGAS'!$B$4:$B$377,"Profesional Social",'PLAN DE CARGAS'!AV4:AV327)</f>
        <v>0</v>
      </c>
      <c r="AV7" s="570">
        <f ca="1">SUMIF('PLAN DE CARGAS'!$B$4:$B$377,"Profesional Social",'PLAN DE CARGAS'!AW4:AW327)</f>
        <v>0</v>
      </c>
      <c r="AW7" s="570">
        <f ca="1">SUMIF('PLAN DE CARGAS'!$B$4:$B$377,"Profesional Social",'PLAN DE CARGAS'!AX4:AX327)</f>
        <v>0</v>
      </c>
      <c r="AX7" s="571">
        <f t="shared" ca="1" si="0"/>
        <v>5</v>
      </c>
      <c r="AY7" s="572">
        <f t="shared" ca="1" si="1"/>
        <v>0.9</v>
      </c>
      <c r="AZ7" s="571">
        <f t="shared" ca="1" si="2"/>
        <v>4.5</v>
      </c>
    </row>
    <row r="8" spans="1:52" ht="17.25" customHeight="1" x14ac:dyDescent="0.35">
      <c r="A8" s="569" t="str">
        <f>DISTRIBUCIÓN!A8</f>
        <v>Personal de Campo</v>
      </c>
      <c r="B8" s="570">
        <f>SUMIF('PLAN DE CARGAS'!$B$4:$B$377,"Personal de Campo",'PLAN DE CARGAS'!C4:C4327)</f>
        <v>0</v>
      </c>
      <c r="C8" s="570">
        <f>SUMIF('PLAN DE CARGAS'!$B$4:$B$377,"Personal de Campo",'PLAN DE CARGAS'!D4:D4327)</f>
        <v>0</v>
      </c>
      <c r="D8" s="570">
        <f>SUMIF('PLAN DE CARGAS'!$B$4:$B$377,"Personal de Campo",'PLAN DE CARGAS'!E4:E4327)</f>
        <v>0</v>
      </c>
      <c r="E8" s="570">
        <f>SUMIF('PLAN DE CARGAS'!$B$4:$B$377,"Personal de Campo",'PLAN DE CARGAS'!F4:F4327)</f>
        <v>0</v>
      </c>
      <c r="F8" s="570">
        <f>SUMIF('PLAN DE CARGAS'!$B$4:$B$377,"Personal de Campo",'PLAN DE CARGAS'!G4:G4327)</f>
        <v>1</v>
      </c>
      <c r="G8" s="570">
        <f>SUMIF('PLAN DE CARGAS'!$B$4:$B$377,"Personal de Campo",'PLAN DE CARGAS'!H4:H4327)</f>
        <v>1</v>
      </c>
      <c r="H8" s="570">
        <f>SUMIF('PLAN DE CARGAS'!$B$4:$B$377,"Personal de Campo",'PLAN DE CARGAS'!I4:I4327)</f>
        <v>1</v>
      </c>
      <c r="I8" s="570">
        <f>SUMIF('PLAN DE CARGAS'!$B$4:$B$377,"Personal de Campo",'PLAN DE CARGAS'!J4:J4327)</f>
        <v>1</v>
      </c>
      <c r="J8" s="570">
        <f>SUMIF('PLAN DE CARGAS'!$B$4:$B$377,"Personal de Campo",'PLAN DE CARGAS'!K4:K4327)</f>
        <v>1</v>
      </c>
      <c r="K8" s="570">
        <f>SUMIF('PLAN DE CARGAS'!$B$4:$B$377,"Personal de Campo",'PLAN DE CARGAS'!L4:L4327)</f>
        <v>1</v>
      </c>
      <c r="L8" s="570">
        <f>SUMIF('PLAN DE CARGAS'!$B$4:$B$377,"Personal de Campo",'PLAN DE CARGAS'!M4:M4327)</f>
        <v>1</v>
      </c>
      <c r="M8" s="570">
        <f>SUMIF('PLAN DE CARGAS'!$B$4:$B$377,"Personal de Campo",'PLAN DE CARGAS'!N4:N4327)</f>
        <v>1</v>
      </c>
      <c r="N8" s="570">
        <f>SUMIF('PLAN DE CARGAS'!$B$4:$B$377,"Personal de Campo",'PLAN DE CARGAS'!O4:O4327)</f>
        <v>1</v>
      </c>
      <c r="O8" s="570">
        <f>SUMIF('PLAN DE CARGAS'!$B$4:$B$377,"Personal de Campo",'PLAN DE CARGAS'!P4:P4327)</f>
        <v>1</v>
      </c>
      <c r="P8" s="570">
        <f>SUMIF('PLAN DE CARGAS'!$B$4:$B$377,"Personal de Campo",'PLAN DE CARGAS'!Q4:Q4327)</f>
        <v>1</v>
      </c>
      <c r="Q8" s="570">
        <f>SUMIF('PLAN DE CARGAS'!$B$4:$B$377,"Personal de Campo",'PLAN DE CARGAS'!R4:R4327)</f>
        <v>1</v>
      </c>
      <c r="R8" s="570">
        <f>SUMIF('PLAN DE CARGAS'!$B$4:$B$377,"Personal de Campo",'PLAN DE CARGAS'!S4:S4327)</f>
        <v>1</v>
      </c>
      <c r="S8" s="570">
        <f>SUMIF('PLAN DE CARGAS'!$B$4:$B$377,"Personal de Campo",'PLAN DE CARGAS'!T4:T4327)</f>
        <v>1</v>
      </c>
      <c r="T8" s="570">
        <f>SUMIF('PLAN DE CARGAS'!$B$4:$B$377,"Personal de Campo",'PLAN DE CARGAS'!U4:U4327)</f>
        <v>1</v>
      </c>
      <c r="U8" s="570">
        <f>SUMIF('PLAN DE CARGAS'!$B$4:$B$377,"Personal de Campo",'PLAN DE CARGAS'!V4:V4327)</f>
        <v>1</v>
      </c>
      <c r="V8" s="570">
        <f>SUMIF('PLAN DE CARGAS'!$B$4:$B$377,"Personal de Campo",'PLAN DE CARGAS'!W4:W4327)</f>
        <v>0</v>
      </c>
      <c r="W8" s="570">
        <f>SUMIF('PLAN DE CARGAS'!$B$4:$B$377,"Personal de Campo",'PLAN DE CARGAS'!X4:X4327)</f>
        <v>0</v>
      </c>
      <c r="X8" s="570">
        <f>SUMIF('PLAN DE CARGAS'!$B$4:$B$377,"Personal de Campo",'PLAN DE CARGAS'!Y4:Y4327)</f>
        <v>0</v>
      </c>
      <c r="Y8" s="570">
        <f>SUMIF('PLAN DE CARGAS'!$B$4:$B$377,"Personal de Campo",'PLAN DE CARGAS'!Z4:Z4327)</f>
        <v>0</v>
      </c>
      <c r="Z8" s="570">
        <f>SUMIF('PLAN DE CARGAS'!$B$4:$B$377,"Personal de Campo",'PLAN DE CARGAS'!AA4:AA4327)</f>
        <v>0</v>
      </c>
      <c r="AA8" s="570">
        <f>SUMIF('PLAN DE CARGAS'!$B$4:$B$377,"Personal de Campo",'PLAN DE CARGAS'!AB4:AB4327)</f>
        <v>0</v>
      </c>
      <c r="AB8" s="570">
        <f>SUMIF('PLAN DE CARGAS'!$B$4:$B$377,"Personal de Campo",'PLAN DE CARGAS'!AC4:AC4327)</f>
        <v>0</v>
      </c>
      <c r="AC8" s="570">
        <f>SUMIF('PLAN DE CARGAS'!$B$4:$B$377,"Personal de Campo",'PLAN DE CARGAS'!AD4:AD4327)</f>
        <v>0</v>
      </c>
      <c r="AD8" s="570">
        <f>SUMIF('PLAN DE CARGAS'!$B$4:$B$377,"Personal de Campo",'PLAN DE CARGAS'!AE4:AE4327)</f>
        <v>0</v>
      </c>
      <c r="AE8" s="570">
        <f>SUMIF('PLAN DE CARGAS'!$B$4:$B$377,"Personal de Campo",'PLAN DE CARGAS'!AF4:AF4327)</f>
        <v>0</v>
      </c>
      <c r="AF8" s="570">
        <f>SUMIF('PLAN DE CARGAS'!$B$4:$B$377,"Personal de Campo",'PLAN DE CARGAS'!AG4:AG4327)</f>
        <v>0</v>
      </c>
      <c r="AG8" s="570">
        <f>SUMIF('PLAN DE CARGAS'!$B$4:$B$377,"Personal de Campo",'PLAN DE CARGAS'!AH4:AH4327)</f>
        <v>0</v>
      </c>
      <c r="AH8" s="570">
        <f>SUMIF('PLAN DE CARGAS'!$B$4:$B$377,"Personal de Campo",'PLAN DE CARGAS'!AI4:AI4327)</f>
        <v>0</v>
      </c>
      <c r="AI8" s="570">
        <f>SUMIF('PLAN DE CARGAS'!$B$4:$B$377,"Personal de Campo",'PLAN DE CARGAS'!AJ4:AJ4327)</f>
        <v>0</v>
      </c>
      <c r="AJ8" s="570">
        <f>SUMIF('PLAN DE CARGAS'!$B$4:$B$377,"Personal de Campo",'PLAN DE CARGAS'!AK4:AK4327)</f>
        <v>0</v>
      </c>
      <c r="AK8" s="570">
        <f>SUMIF('PLAN DE CARGAS'!$B$4:$B$377,"Personal de Campo",'PLAN DE CARGAS'!AL4:AL4327)</f>
        <v>0</v>
      </c>
      <c r="AL8" s="570">
        <f>SUMIF('PLAN DE CARGAS'!$B$4:$B$377,"Personal de Campo",'PLAN DE CARGAS'!AM4:AM4327)</f>
        <v>0</v>
      </c>
      <c r="AM8" s="570">
        <f>SUMIF('PLAN DE CARGAS'!$B$4:$B$377,"Personal de Campo",'PLAN DE CARGAS'!AN4:AN4327)</f>
        <v>0</v>
      </c>
      <c r="AN8" s="570">
        <f>SUMIF('PLAN DE CARGAS'!$B$4:$B$377,"Personal de Campo",'PLAN DE CARGAS'!AO4:AO4327)</f>
        <v>0</v>
      </c>
      <c r="AO8" s="570">
        <f>SUMIF('PLAN DE CARGAS'!$B$4:$B$377,"Personal de Campo",'PLAN DE CARGAS'!AP4:AP4327)</f>
        <v>0</v>
      </c>
      <c r="AP8" s="570">
        <f>SUMIF('PLAN DE CARGAS'!$B$4:$B$377,"Personal de Campo",'PLAN DE CARGAS'!AQ4:AQ4327)</f>
        <v>0</v>
      </c>
      <c r="AQ8" s="570">
        <f>SUMIF('PLAN DE CARGAS'!$B$4:$B$377,"Personal de Campo",'PLAN DE CARGAS'!AR4:AR4327)</f>
        <v>0</v>
      </c>
      <c r="AR8" s="570">
        <f>SUMIF('PLAN DE CARGAS'!$B$4:$B$377,"Personal de Campo",'PLAN DE CARGAS'!AS4:AS4327)</f>
        <v>0</v>
      </c>
      <c r="AS8" s="570">
        <f>SUMIF('PLAN DE CARGAS'!$B$4:$B$377,"Personal de Campo",'PLAN DE CARGAS'!AT4:AT4327)</f>
        <v>0</v>
      </c>
      <c r="AT8" s="570">
        <f>SUMIF('PLAN DE CARGAS'!$B$4:$B$377,"Personal de Campo",'PLAN DE CARGAS'!AU4:AU4327)</f>
        <v>0</v>
      </c>
      <c r="AU8" s="570">
        <f>SUMIF('PLAN DE CARGAS'!$B$4:$B$377,"Personal de Campo",'PLAN DE CARGAS'!AV4:AV4327)</f>
        <v>0</v>
      </c>
      <c r="AV8" s="570">
        <f>SUMIF('PLAN DE CARGAS'!$B$4:$B$377,"Personal de Campo",'PLAN DE CARGAS'!AW4:AW4327)</f>
        <v>0</v>
      </c>
      <c r="AW8" s="570">
        <f>SUMIF('PLAN DE CARGAS'!$B$4:$B$377,"Personal de Campo",'PLAN DE CARGAS'!AX4:AX4327)</f>
        <v>0</v>
      </c>
      <c r="AX8" s="571">
        <f t="shared" si="0"/>
        <v>4</v>
      </c>
      <c r="AY8" s="572">
        <f t="shared" si="1"/>
        <v>1</v>
      </c>
      <c r="AZ8" s="571">
        <f t="shared" si="2"/>
        <v>4</v>
      </c>
    </row>
    <row r="9" spans="1:52" ht="17.25" customHeight="1" x14ac:dyDescent="0.35">
      <c r="A9" s="569" t="str">
        <f>DISTRIBUCIÓN!A9</f>
        <v>Profesional SIG</v>
      </c>
      <c r="B9" s="570">
        <f ca="1">SUMIF('PLAN DE CARGAS'!$B$4:$B$377,"Profesional SIG",'PLAN DE CARGAS'!C4:C327)</f>
        <v>0.3</v>
      </c>
      <c r="C9" s="570">
        <f ca="1">SUMIF('PLAN DE CARGAS'!$B$4:$B$377,"Profesional SIG",'PLAN DE CARGAS'!D4:D327)</f>
        <v>0.7</v>
      </c>
      <c r="D9" s="570">
        <f ca="1">SUMIF('PLAN DE CARGAS'!$B$4:$B$377,"Profesional SIG",'PLAN DE CARGAS'!E4:E327)</f>
        <v>0.75</v>
      </c>
      <c r="E9" s="570">
        <f ca="1">SUMIF('PLAN DE CARGAS'!$B$4:$B$377,"Profesional SIG",'PLAN DE CARGAS'!F4:F327)</f>
        <v>0.64999999999999991</v>
      </c>
      <c r="F9" s="570">
        <f ca="1">SUMIF('PLAN DE CARGAS'!$B$4:$B$377,"Profesional SIG",'PLAN DE CARGAS'!G4:G327)</f>
        <v>0.6</v>
      </c>
      <c r="G9" s="570">
        <f ca="1">SUMIF('PLAN DE CARGAS'!$B$4:$B$377,"Profesional SIG",'PLAN DE CARGAS'!H4:H327)</f>
        <v>0.6</v>
      </c>
      <c r="H9" s="570">
        <f ca="1">SUMIF('PLAN DE CARGAS'!$B$4:$B$377,"Profesional SIG",'PLAN DE CARGAS'!I4:I327)</f>
        <v>0.6</v>
      </c>
      <c r="I9" s="570">
        <f ca="1">SUMIF('PLAN DE CARGAS'!$B$4:$B$377,"Profesional SIG",'PLAN DE CARGAS'!J4:J327)</f>
        <v>0.6</v>
      </c>
      <c r="J9" s="570">
        <f ca="1">SUMIF('PLAN DE CARGAS'!$B$4:$B$377,"Profesional SIG",'PLAN DE CARGAS'!K4:K327)</f>
        <v>0</v>
      </c>
      <c r="K9" s="570">
        <f ca="1">SUMIF('PLAN DE CARGAS'!$B$4:$B$377,"Profesional SIG",'PLAN DE CARGAS'!L4:L327)</f>
        <v>0</v>
      </c>
      <c r="L9" s="570">
        <f ca="1">SUMIF('PLAN DE CARGAS'!$B$4:$B$377,"Profesional SIG",'PLAN DE CARGAS'!M4:M327)</f>
        <v>0</v>
      </c>
      <c r="M9" s="570">
        <f ca="1">SUMIF('PLAN DE CARGAS'!$B$4:$B$377,"Profesional SIG",'PLAN DE CARGAS'!N4:N327)</f>
        <v>0</v>
      </c>
      <c r="N9" s="570">
        <f ca="1">SUMIF('PLAN DE CARGAS'!$B$4:$B$377,"Profesional SIG",'PLAN DE CARGAS'!O4:O327)</f>
        <v>0</v>
      </c>
      <c r="O9" s="570">
        <f ca="1">SUMIF('PLAN DE CARGAS'!$B$4:$B$377,"Profesional SIG",'PLAN DE CARGAS'!P4:P327)</f>
        <v>0</v>
      </c>
      <c r="P9" s="570">
        <f ca="1">SUMIF('PLAN DE CARGAS'!$B$4:$B$377,"Profesional SIG",'PLAN DE CARGAS'!Q4:Q327)</f>
        <v>0</v>
      </c>
      <c r="Q9" s="570">
        <f ca="1">SUMIF('PLAN DE CARGAS'!$B$4:$B$377,"Profesional SIG",'PLAN DE CARGAS'!R4:R327)</f>
        <v>0</v>
      </c>
      <c r="R9" s="570">
        <f ca="1">SUMIF('PLAN DE CARGAS'!$B$4:$B$377,"Profesional SIG",'PLAN DE CARGAS'!S4:S327)</f>
        <v>0</v>
      </c>
      <c r="S9" s="570">
        <f ca="1">SUMIF('PLAN DE CARGAS'!$B$4:$B$377,"Profesional SIG",'PLAN DE CARGAS'!T4:T327)</f>
        <v>0</v>
      </c>
      <c r="T9" s="570">
        <f ca="1">SUMIF('PLAN DE CARGAS'!$B$4:$B$377,"Profesional SIG",'PLAN DE CARGAS'!U4:U327)</f>
        <v>0</v>
      </c>
      <c r="U9" s="570">
        <f ca="1">SUMIF('PLAN DE CARGAS'!$B$4:$B$377,"Profesional SIG",'PLAN DE CARGAS'!V4:V327)</f>
        <v>0</v>
      </c>
      <c r="V9" s="570">
        <f ca="1">SUMIF('PLAN DE CARGAS'!$B$4:$B$377,"Profesional SIG",'PLAN DE CARGAS'!W4:W327)</f>
        <v>0.6</v>
      </c>
      <c r="W9" s="570">
        <f ca="1">SUMIF('PLAN DE CARGAS'!$B$4:$B$377,"Profesional SIG",'PLAN DE CARGAS'!X4:X327)</f>
        <v>0.6</v>
      </c>
      <c r="X9" s="570">
        <f ca="1">SUMIF('PLAN DE CARGAS'!$B$4:$B$377,"Profesional SIG",'PLAN DE CARGAS'!Y4:Y327)</f>
        <v>0.6</v>
      </c>
      <c r="Y9" s="570">
        <f ca="1">SUMIF('PLAN DE CARGAS'!$B$4:$B$377,"Profesional SIG",'PLAN DE CARGAS'!Z4:Z327)</f>
        <v>0.6</v>
      </c>
      <c r="Z9" s="570">
        <f ca="1">SUMIF('PLAN DE CARGAS'!$B$4:$B$377,"Profesional SIG",'PLAN DE CARGAS'!AA4:AA327)</f>
        <v>0.60000000000000009</v>
      </c>
      <c r="AA9" s="570">
        <f ca="1">SUMIF('PLAN DE CARGAS'!$B$4:$B$377,"Profesional SIG",'PLAN DE CARGAS'!AB4:AB327)</f>
        <v>0.60000000000000009</v>
      </c>
      <c r="AB9" s="570">
        <f ca="1">SUMIF('PLAN DE CARGAS'!$B$4:$B$377,"Profesional SIG",'PLAN DE CARGAS'!AC4:AC327)</f>
        <v>0.60000000000000009</v>
      </c>
      <c r="AC9" s="570">
        <f ca="1">SUMIF('PLAN DE CARGAS'!$B$4:$B$377,"Profesional SIG",'PLAN DE CARGAS'!AD4:AD327)</f>
        <v>0.60000000000000009</v>
      </c>
      <c r="AD9" s="570">
        <f ca="1">SUMIF('PLAN DE CARGAS'!$B$4:$B$377,"Profesional SIG",'PLAN DE CARGAS'!AE4:AE327)</f>
        <v>0</v>
      </c>
      <c r="AE9" s="570">
        <f ca="1">SUMIF('PLAN DE CARGAS'!$B$4:$B$377,"Profesional SIG",'PLAN DE CARGAS'!AF4:AF327)</f>
        <v>0</v>
      </c>
      <c r="AF9" s="570">
        <f ca="1">SUMIF('PLAN DE CARGAS'!$B$4:$B$377,"Profesional SIG",'PLAN DE CARGAS'!AG4:AG327)</f>
        <v>0</v>
      </c>
      <c r="AG9" s="570">
        <f ca="1">SUMIF('PLAN DE CARGAS'!$B$4:$B$377,"Profesional SIG",'PLAN DE CARGAS'!AH4:AH327)</f>
        <v>0</v>
      </c>
      <c r="AH9" s="570">
        <f ca="1">SUMIF('PLAN DE CARGAS'!$B$4:$B$377,"Profesional SIG",'PLAN DE CARGAS'!AI4:AI327)</f>
        <v>0.6</v>
      </c>
      <c r="AI9" s="570">
        <f ca="1">SUMIF('PLAN DE CARGAS'!$B$4:$B$377,"Profesional SIG",'PLAN DE CARGAS'!AJ4:AJ327)</f>
        <v>0.6</v>
      </c>
      <c r="AJ9" s="570">
        <f ca="1">SUMIF('PLAN DE CARGAS'!$B$4:$B$377,"Profesional SIG",'PLAN DE CARGAS'!AK4:AK327)</f>
        <v>0.6</v>
      </c>
      <c r="AK9" s="570">
        <f ca="1">SUMIF('PLAN DE CARGAS'!$B$4:$B$377,"Profesional SIG",'PLAN DE CARGAS'!AL4:AL327)</f>
        <v>0.6</v>
      </c>
      <c r="AL9" s="570">
        <f ca="1">SUMIF('PLAN DE CARGAS'!$B$4:$B$377,"Profesional SIG",'PLAN DE CARGAS'!AM4:AM327)</f>
        <v>0</v>
      </c>
      <c r="AM9" s="570">
        <f ca="1">SUMIF('PLAN DE CARGAS'!$B$4:$B$377,"Profesional SIG",'PLAN DE CARGAS'!AN4:AN327)</f>
        <v>0</v>
      </c>
      <c r="AN9" s="570">
        <f ca="1">SUMIF('PLAN DE CARGAS'!$B$4:$B$377,"Profesional SIG",'PLAN DE CARGAS'!AO4:AO327)</f>
        <v>0</v>
      </c>
      <c r="AO9" s="570">
        <f ca="1">SUMIF('PLAN DE CARGAS'!$B$4:$B$377,"Profesional SIG",'PLAN DE CARGAS'!AP4:AP327)</f>
        <v>0</v>
      </c>
      <c r="AP9" s="570">
        <f ca="1">SUMIF('PLAN DE CARGAS'!$B$4:$B$377,"Profesional SIG",'PLAN DE CARGAS'!AQ4:AQ327)</f>
        <v>0.6</v>
      </c>
      <c r="AQ9" s="570">
        <f ca="1">SUMIF('PLAN DE CARGAS'!$B$4:$B$377,"Profesional SIG",'PLAN DE CARGAS'!AR4:AR327)</f>
        <v>0.6</v>
      </c>
      <c r="AR9" s="570">
        <f ca="1">SUMIF('PLAN DE CARGAS'!$B$4:$B$377,"Profesional SIG",'PLAN DE CARGAS'!AS4:AS327)</f>
        <v>0.6</v>
      </c>
      <c r="AS9" s="570">
        <f ca="1">SUMIF('PLAN DE CARGAS'!$B$4:$B$377,"Profesional SIG",'PLAN DE CARGAS'!AT4:AT327)</f>
        <v>0.6</v>
      </c>
      <c r="AT9" s="570">
        <f ca="1">SUMIF('PLAN DE CARGAS'!$B$4:$B$377,"Profesional SIG",'PLAN DE CARGAS'!AU4:AU327)</f>
        <v>0</v>
      </c>
      <c r="AU9" s="570">
        <f ca="1">SUMIF('PLAN DE CARGAS'!$B$4:$B$377,"Profesional SIG",'PLAN DE CARGAS'!AV4:AV327)</f>
        <v>0</v>
      </c>
      <c r="AV9" s="570">
        <f ca="1">SUMIF('PLAN DE CARGAS'!$B$4:$B$377,"Profesional SIG",'PLAN DE CARGAS'!AW4:AW327)</f>
        <v>0</v>
      </c>
      <c r="AW9" s="570">
        <f ca="1">SUMIF('PLAN DE CARGAS'!$B$4:$B$377,"Profesional SIG",'PLAN DE CARGAS'!AX4:AX327)</f>
        <v>0</v>
      </c>
      <c r="AX9" s="571">
        <f ca="1">ROUND(COUNTIF(B9:AW9,"&gt;0")/4,2)</f>
        <v>6</v>
      </c>
      <c r="AY9" s="572">
        <f t="shared" ca="1" si="1"/>
        <v>0.6</v>
      </c>
      <c r="AZ9" s="571">
        <f t="shared" ca="1" si="2"/>
        <v>3.6</v>
      </c>
    </row>
    <row r="10" spans="1:52" ht="17.25" customHeight="1" x14ac:dyDescent="0.35">
      <c r="A10" s="569" t="str">
        <f>DISTRIBUCIÓN!A10</f>
        <v>Auxiliar administrativo</v>
      </c>
      <c r="B10" s="570">
        <f ca="1">SUMIF('PLAN DE CARGAS'!$B$4:$B$377,"Auxiliar administrativo",'PLAN DE CARGAS'!C4:C327)</f>
        <v>0.44999999999999996</v>
      </c>
      <c r="C10" s="570">
        <f ca="1">SUMIF('PLAN DE CARGAS'!$B$4:$B$377,"Auxiliar administrativo",'PLAN DE CARGAS'!D4:D327)</f>
        <v>0.77</v>
      </c>
      <c r="D10" s="570">
        <f ca="1">SUMIF('PLAN DE CARGAS'!$B$4:$B$377,"Auxiliar administrativo",'PLAN DE CARGAS'!E4:E327)</f>
        <v>0.77</v>
      </c>
      <c r="E10" s="570">
        <f ca="1">SUMIF('PLAN DE CARGAS'!$B$4:$B$377,"Auxiliar administrativo",'PLAN DE CARGAS'!F4:F327)</f>
        <v>0.77</v>
      </c>
      <c r="F10" s="570">
        <f ca="1">SUMIF('PLAN DE CARGAS'!$B$4:$B$377,"Auxiliar administrativo",'PLAN DE CARGAS'!G4:G327)</f>
        <v>0.70000000000000007</v>
      </c>
      <c r="G10" s="570">
        <f ca="1">SUMIF('PLAN DE CARGAS'!$B$4:$B$377,"Auxiliar administrativo",'PLAN DE CARGAS'!H4:H327)</f>
        <v>0.70000000000000007</v>
      </c>
      <c r="H10" s="570">
        <f ca="1">SUMIF('PLAN DE CARGAS'!$B$4:$B$377,"Auxiliar administrativo",'PLAN DE CARGAS'!I4:I327)</f>
        <v>0.70000000000000007</v>
      </c>
      <c r="I10" s="570">
        <f ca="1">SUMIF('PLAN DE CARGAS'!$B$4:$B$377,"Auxiliar administrativo",'PLAN DE CARGAS'!J4:J327)</f>
        <v>0.70000000000000007</v>
      </c>
      <c r="J10" s="570">
        <f ca="1">SUMIF('PLAN DE CARGAS'!$B$4:$B$377,"Auxiliar administrativo",'PLAN DE CARGAS'!K4:K327)</f>
        <v>0.7</v>
      </c>
      <c r="K10" s="570">
        <f ca="1">SUMIF('PLAN DE CARGAS'!$B$4:$B$377,"Auxiliar administrativo",'PLAN DE CARGAS'!L4:L327)</f>
        <v>0.7</v>
      </c>
      <c r="L10" s="570">
        <f ca="1">SUMIF('PLAN DE CARGAS'!$B$4:$B$377,"Auxiliar administrativo",'PLAN DE CARGAS'!M4:M327)</f>
        <v>0.7</v>
      </c>
      <c r="M10" s="570">
        <f ca="1">SUMIF('PLAN DE CARGAS'!$B$4:$B$377,"Auxiliar administrativo",'PLAN DE CARGAS'!N4:N327)</f>
        <v>0.7</v>
      </c>
      <c r="N10" s="570">
        <f ca="1">SUMIF('PLAN DE CARGAS'!$B$4:$B$377,"Auxiliar administrativo",'PLAN DE CARGAS'!O4:O327)</f>
        <v>0.7</v>
      </c>
      <c r="O10" s="570">
        <f ca="1">SUMIF('PLAN DE CARGAS'!$B$4:$B$377,"Auxiliar administrativo",'PLAN DE CARGAS'!P4:P327)</f>
        <v>0.7</v>
      </c>
      <c r="P10" s="570">
        <f ca="1">SUMIF('PLAN DE CARGAS'!$B$4:$B$377,"Auxiliar administrativo",'PLAN DE CARGAS'!Q4:Q327)</f>
        <v>0.7</v>
      </c>
      <c r="Q10" s="570">
        <f ca="1">SUMIF('PLAN DE CARGAS'!$B$4:$B$377,"Auxiliar administrativo",'PLAN DE CARGAS'!R4:R327)</f>
        <v>0.7</v>
      </c>
      <c r="R10" s="570">
        <f ca="1">SUMIF('PLAN DE CARGAS'!$B$4:$B$377,"Auxiliar administrativo",'PLAN DE CARGAS'!S4:S327)</f>
        <v>0.7</v>
      </c>
      <c r="S10" s="570">
        <f ca="1">SUMIF('PLAN DE CARGAS'!$B$4:$B$377,"Auxiliar administrativo",'PLAN DE CARGAS'!T4:T327)</f>
        <v>0.7</v>
      </c>
      <c r="T10" s="570">
        <f ca="1">SUMIF('PLAN DE CARGAS'!$B$4:$B$377,"Auxiliar administrativo",'PLAN DE CARGAS'!U4:U327)</f>
        <v>0.7</v>
      </c>
      <c r="U10" s="570">
        <f ca="1">SUMIF('PLAN DE CARGAS'!$B$4:$B$377,"Auxiliar administrativo",'PLAN DE CARGAS'!V4:V327)</f>
        <v>0.7</v>
      </c>
      <c r="V10" s="570">
        <f ca="1">SUMIF('PLAN DE CARGAS'!$B$4:$B$377,"Auxiliar administrativo",'PLAN DE CARGAS'!W4:W327)</f>
        <v>0.70000000000000007</v>
      </c>
      <c r="W10" s="570">
        <f ca="1">SUMIF('PLAN DE CARGAS'!$B$4:$B$377,"Auxiliar administrativo",'PLAN DE CARGAS'!X4:X327)</f>
        <v>0.70000000000000007</v>
      </c>
      <c r="X10" s="570">
        <f ca="1">SUMIF('PLAN DE CARGAS'!$B$4:$B$377,"Auxiliar administrativo",'PLAN DE CARGAS'!Y4:Y327)</f>
        <v>0.70000000000000007</v>
      </c>
      <c r="Y10" s="570">
        <f ca="1">SUMIF('PLAN DE CARGAS'!$B$4:$B$377,"Auxiliar administrativo",'PLAN DE CARGAS'!Z4:Z327)</f>
        <v>0.70000000000000007</v>
      </c>
      <c r="Z10" s="570">
        <f ca="1">SUMIF('PLAN DE CARGAS'!$B$4:$B$377,"Auxiliar administrativo",'PLAN DE CARGAS'!AA4:AA327)</f>
        <v>0.7</v>
      </c>
      <c r="AA10" s="570">
        <f ca="1">SUMIF('PLAN DE CARGAS'!$B$4:$B$377,"Auxiliar administrativo",'PLAN DE CARGAS'!AB4:AB327)</f>
        <v>0.7</v>
      </c>
      <c r="AB10" s="570">
        <f ca="1">SUMIF('PLAN DE CARGAS'!$B$4:$B$377,"Auxiliar administrativo",'PLAN DE CARGAS'!AC4:AC327)</f>
        <v>0.7</v>
      </c>
      <c r="AC10" s="570">
        <f ca="1">SUMIF('PLAN DE CARGAS'!$B$4:$B$377,"Auxiliar administrativo",'PLAN DE CARGAS'!AD4:AD327)</f>
        <v>0.7</v>
      </c>
      <c r="AD10" s="570">
        <f ca="1">SUMIF('PLAN DE CARGAS'!$B$4:$B$377,"Auxiliar administrativo",'PLAN DE CARGAS'!AE4:AE327)</f>
        <v>0.7</v>
      </c>
      <c r="AE10" s="570">
        <f ca="1">SUMIF('PLAN DE CARGAS'!$B$4:$B$377,"Auxiliar administrativo",'PLAN DE CARGAS'!AF4:AF327)</f>
        <v>0.7</v>
      </c>
      <c r="AF10" s="570">
        <f ca="1">SUMIF('PLAN DE CARGAS'!$B$4:$B$377,"Auxiliar administrativo",'PLAN DE CARGAS'!AG4:AG327)</f>
        <v>0.7</v>
      </c>
      <c r="AG10" s="570">
        <f ca="1">SUMIF('PLAN DE CARGAS'!$B$4:$B$377,"Auxiliar administrativo",'PLAN DE CARGAS'!AH4:AH327)</f>
        <v>0.7</v>
      </c>
      <c r="AH10" s="570">
        <f ca="1">SUMIF('PLAN DE CARGAS'!$B$4:$B$377,"Auxiliar administrativo",'PLAN DE CARGAS'!AI4:AI327)</f>
        <v>0.71</v>
      </c>
      <c r="AI10" s="570">
        <f ca="1">SUMIF('PLAN DE CARGAS'!$B$4:$B$377,"Auxiliar administrativo",'PLAN DE CARGAS'!AJ4:AJ327)</f>
        <v>0.71</v>
      </c>
      <c r="AJ10" s="570">
        <f ca="1">SUMIF('PLAN DE CARGAS'!$B$4:$B$377,"Auxiliar administrativo",'PLAN DE CARGAS'!AK4:AK327)</f>
        <v>0.71</v>
      </c>
      <c r="AK10" s="570">
        <f ca="1">SUMIF('PLAN DE CARGAS'!$B$4:$B$377,"Auxiliar administrativo",'PLAN DE CARGAS'!AL4:AL327)</f>
        <v>0.71</v>
      </c>
      <c r="AL10" s="570">
        <f ca="1">SUMIF('PLAN DE CARGAS'!$B$4:$B$377,"Auxiliar administrativo",'PLAN DE CARGAS'!AM4:AM327)</f>
        <v>0.70000000000000007</v>
      </c>
      <c r="AM10" s="570">
        <f ca="1">SUMIF('PLAN DE CARGAS'!$B$4:$B$377,"Auxiliar administrativo",'PLAN DE CARGAS'!AN4:AN327)</f>
        <v>0.70000000000000007</v>
      </c>
      <c r="AN10" s="570">
        <f ca="1">SUMIF('PLAN DE CARGAS'!$B$4:$B$377,"Auxiliar administrativo",'PLAN DE CARGAS'!AO4:AO327)</f>
        <v>0.70000000000000007</v>
      </c>
      <c r="AO10" s="570">
        <f ca="1">SUMIF('PLAN DE CARGAS'!$B$4:$B$377,"Auxiliar administrativo",'PLAN DE CARGAS'!AP4:AP327)</f>
        <v>0.70000000000000007</v>
      </c>
      <c r="AP10" s="570">
        <f ca="1">SUMIF('PLAN DE CARGAS'!$B$4:$B$377,"Auxiliar administrativo",'PLAN DE CARGAS'!AQ4:AQ327)</f>
        <v>0.7</v>
      </c>
      <c r="AQ10" s="570">
        <f ca="1">SUMIF('PLAN DE CARGAS'!$B$4:$B$377,"Auxiliar administrativo",'PLAN DE CARGAS'!AR4:AR327)</f>
        <v>0.7</v>
      </c>
      <c r="AR10" s="570">
        <f ca="1">SUMIF('PLAN DE CARGAS'!$B$4:$B$377,"Auxiliar administrativo",'PLAN DE CARGAS'!AS4:AS327)</f>
        <v>0.7</v>
      </c>
      <c r="AS10" s="570">
        <f ca="1">SUMIF('PLAN DE CARGAS'!$B$4:$B$377,"Auxiliar administrativo",'PLAN DE CARGAS'!AT4:AT327)</f>
        <v>0.7</v>
      </c>
      <c r="AT10" s="570">
        <f ca="1">SUMIF('PLAN DE CARGAS'!$B$4:$B$377,"Auxiliar administrativo",'PLAN DE CARGAS'!AU4:AU327)</f>
        <v>0.7</v>
      </c>
      <c r="AU10" s="570">
        <f ca="1">SUMIF('PLAN DE CARGAS'!$B$4:$B$377,"Auxiliar administrativo",'PLAN DE CARGAS'!AV4:AV327)</f>
        <v>0.7</v>
      </c>
      <c r="AV10" s="570">
        <f ca="1">SUMIF('PLAN DE CARGAS'!$B$4:$B$377,"Auxiliar administrativo",'PLAN DE CARGAS'!AW4:AW327)</f>
        <v>0.7</v>
      </c>
      <c r="AW10" s="570">
        <f ca="1">SUMIF('PLAN DE CARGAS'!$B$4:$B$377,"Auxiliar administrativo",'PLAN DE CARGAS'!AX4:AX327)</f>
        <v>0.7</v>
      </c>
      <c r="AX10" s="571">
        <f t="shared" ca="1" si="0"/>
        <v>12</v>
      </c>
      <c r="AY10" s="572">
        <f t="shared" ca="1" si="1"/>
        <v>0.7</v>
      </c>
      <c r="AZ10" s="571">
        <f t="shared" ca="1" si="2"/>
        <v>8.4</v>
      </c>
    </row>
    <row r="11" spans="1:52" x14ac:dyDescent="0.35">
      <c r="A11" s="573"/>
      <c r="B11" s="573"/>
      <c r="C11" s="573"/>
      <c r="D11" s="573"/>
      <c r="E11" s="573"/>
      <c r="F11" s="573"/>
      <c r="G11" s="573"/>
      <c r="H11" s="573"/>
      <c r="I11" s="573"/>
      <c r="J11" s="573"/>
      <c r="K11" s="573"/>
      <c r="L11" s="573"/>
      <c r="M11" s="573"/>
      <c r="N11" s="573"/>
      <c r="O11" s="573"/>
      <c r="P11" s="573"/>
      <c r="Q11" s="573"/>
      <c r="R11" s="573"/>
      <c r="S11" s="573"/>
      <c r="T11" s="573"/>
      <c r="U11" s="573"/>
      <c r="V11" s="573"/>
      <c r="W11" s="573"/>
      <c r="X11" s="573"/>
      <c r="Y11" s="573"/>
      <c r="Z11" s="573"/>
      <c r="AA11" s="573"/>
      <c r="AB11" s="573"/>
      <c r="AC11" s="573"/>
      <c r="AD11" s="573"/>
      <c r="AE11" s="573"/>
      <c r="AF11" s="573"/>
      <c r="AG11" s="573"/>
    </row>
    <row r="12" spans="1:52" x14ac:dyDescent="0.35">
      <c r="A12" s="715" t="s">
        <v>304</v>
      </c>
      <c r="B12" s="715"/>
      <c r="C12" s="715"/>
      <c r="D12" s="715"/>
      <c r="E12" s="715"/>
      <c r="F12" s="715"/>
      <c r="G12" s="715"/>
      <c r="H12" s="715"/>
      <c r="I12" s="715"/>
      <c r="J12" s="715"/>
      <c r="K12" s="715"/>
      <c r="L12" s="715"/>
      <c r="M12" s="715"/>
      <c r="N12" s="715"/>
      <c r="O12" s="715"/>
      <c r="P12" s="715"/>
      <c r="Q12" s="573"/>
      <c r="R12" s="573"/>
      <c r="S12" s="573"/>
      <c r="T12" s="573"/>
      <c r="U12" s="573"/>
      <c r="V12" s="573"/>
      <c r="W12" s="573"/>
      <c r="X12" s="573"/>
      <c r="Y12" s="573"/>
      <c r="Z12" s="573"/>
      <c r="AA12" s="573"/>
      <c r="AB12" s="573"/>
      <c r="AC12" s="573"/>
      <c r="AD12" s="573"/>
      <c r="AE12" s="573"/>
      <c r="AF12" s="573"/>
      <c r="AG12" s="573"/>
    </row>
    <row r="13" spans="1:52" x14ac:dyDescent="0.35">
      <c r="A13" s="717" t="s">
        <v>292</v>
      </c>
      <c r="B13" s="726" t="s">
        <v>305</v>
      </c>
      <c r="C13" s="722" t="s">
        <v>611</v>
      </c>
      <c r="D13" s="722"/>
      <c r="E13" s="722"/>
      <c r="F13" s="722"/>
      <c r="G13" s="722"/>
      <c r="H13" s="722"/>
      <c r="I13" s="722"/>
      <c r="J13" s="722"/>
      <c r="K13" s="722"/>
      <c r="L13" s="722"/>
      <c r="M13" s="722"/>
      <c r="N13" s="722"/>
      <c r="O13" s="716" t="s">
        <v>306</v>
      </c>
      <c r="P13" s="716"/>
      <c r="Q13" s="573"/>
      <c r="R13" s="573"/>
      <c r="S13" s="573"/>
      <c r="T13" s="573"/>
      <c r="U13" s="573"/>
      <c r="V13" s="573"/>
      <c r="W13" s="573"/>
      <c r="X13" s="573"/>
      <c r="Y13" s="573"/>
      <c r="Z13" s="573"/>
      <c r="AA13" s="573"/>
      <c r="AB13" s="573"/>
      <c r="AC13" s="573"/>
      <c r="AD13" s="573"/>
      <c r="AE13" s="573"/>
      <c r="AF13" s="573"/>
      <c r="AG13" s="573"/>
    </row>
    <row r="14" spans="1:52" x14ac:dyDescent="0.35">
      <c r="A14" s="717"/>
      <c r="B14" s="726"/>
      <c r="C14" s="574" t="s">
        <v>46</v>
      </c>
      <c r="D14" s="574" t="s">
        <v>47</v>
      </c>
      <c r="E14" s="574" t="s">
        <v>48</v>
      </c>
      <c r="F14" s="574" t="s">
        <v>49</v>
      </c>
      <c r="G14" s="574" t="s">
        <v>50</v>
      </c>
      <c r="H14" s="574" t="s">
        <v>51</v>
      </c>
      <c r="I14" s="574" t="s">
        <v>52</v>
      </c>
      <c r="J14" s="574" t="s">
        <v>166</v>
      </c>
      <c r="K14" s="574" t="s">
        <v>167</v>
      </c>
      <c r="L14" s="574" t="s">
        <v>168</v>
      </c>
      <c r="M14" s="574" t="s">
        <v>169</v>
      </c>
      <c r="N14" s="574" t="s">
        <v>170</v>
      </c>
      <c r="O14" s="716"/>
      <c r="P14" s="716"/>
      <c r="Q14" s="573"/>
      <c r="R14" s="575"/>
      <c r="S14" s="575"/>
      <c r="T14" s="575"/>
      <c r="U14" s="575"/>
      <c r="V14" s="575"/>
      <c r="W14" s="575"/>
      <c r="X14" s="575"/>
      <c r="Y14" s="575"/>
      <c r="Z14" s="575"/>
      <c r="AA14" s="573"/>
      <c r="AB14" s="573"/>
      <c r="AC14" s="573"/>
      <c r="AD14" s="573"/>
      <c r="AE14" s="573"/>
      <c r="AF14" s="573"/>
      <c r="AG14" s="573"/>
    </row>
    <row r="15" spans="1:52" x14ac:dyDescent="0.35">
      <c r="A15" s="576" t="str">
        <f t="shared" ref="A15:A21" si="3">A4</f>
        <v>Director</v>
      </c>
      <c r="B15" s="577">
        <f ca="1">ROUND(AZ4,2)</f>
        <v>8.4</v>
      </c>
      <c r="C15" s="578">
        <f ca="1">AVERAGE(B4:E4)</f>
        <v>0.71</v>
      </c>
      <c r="D15" s="578">
        <f ca="1">AVERAGE(F4:I4)</f>
        <v>0.70000000000000007</v>
      </c>
      <c r="E15" s="578">
        <f ca="1">AVERAGE(J4:M4)</f>
        <v>0.70000000000000007</v>
      </c>
      <c r="F15" s="578">
        <f ca="1">AVERAGE(N4:Q4)</f>
        <v>0.70000000000000007</v>
      </c>
      <c r="G15" s="578">
        <f ca="1">AVERAGE(R4:U4)</f>
        <v>0.70000000000000007</v>
      </c>
      <c r="H15" s="578">
        <f ca="1">AVERAGE(V4:Y4)</f>
        <v>0.70000000000000007</v>
      </c>
      <c r="I15" s="578">
        <f ca="1">AVERAGE(Z4:AC4)</f>
        <v>0.7</v>
      </c>
      <c r="J15" s="578">
        <f ca="1">AVERAGE(AD4:AG4)</f>
        <v>0.69000000000000006</v>
      </c>
      <c r="K15" s="578">
        <f ca="1">AVERAGE(AH4:AK4)</f>
        <v>0.70000000000000007</v>
      </c>
      <c r="L15" s="578">
        <f ca="1">AVERAGE(AL4:AO4)</f>
        <v>0.70000000000000007</v>
      </c>
      <c r="M15" s="578">
        <f ca="1">AVERAGE(AP4:AS4)</f>
        <v>0.70000000000000007</v>
      </c>
      <c r="N15" s="578">
        <f ca="1">AVERAGE(AT4:AW4)</f>
        <v>0.7</v>
      </c>
      <c r="O15" s="713">
        <f ca="1">AVERAGEIF(C15:N15,"&gt;0")</f>
        <v>0.70000000000000018</v>
      </c>
      <c r="P15" s="714"/>
      <c r="Q15" s="573">
        <v>70</v>
      </c>
      <c r="R15" s="573"/>
      <c r="S15" s="573"/>
      <c r="T15" s="573"/>
      <c r="U15" s="573"/>
      <c r="V15" s="573"/>
      <c r="W15" s="573"/>
      <c r="X15" s="573"/>
      <c r="Y15" s="573"/>
      <c r="Z15" s="573"/>
      <c r="AA15" s="573"/>
      <c r="AB15" s="573"/>
      <c r="AC15" s="573"/>
      <c r="AD15" s="573"/>
      <c r="AE15" s="573"/>
      <c r="AF15" s="573"/>
      <c r="AG15" s="573"/>
    </row>
    <row r="16" spans="1:52" x14ac:dyDescent="0.35">
      <c r="A16" s="579" t="str">
        <f t="shared" si="3"/>
        <v>Experto en modelamiento y calidad de agua</v>
      </c>
      <c r="B16" s="577">
        <f t="shared" ref="B16:B21" ca="1" si="4">ROUND(AZ5,2)</f>
        <v>7.7</v>
      </c>
      <c r="C16" s="570">
        <f ca="1">AVERAGE(B5:E5)</f>
        <v>0.7</v>
      </c>
      <c r="D16" s="570">
        <f t="shared" ref="D16:D21" ca="1" si="5">AVERAGE(F5:I5)</f>
        <v>0.7</v>
      </c>
      <c r="E16" s="570">
        <f t="shared" ref="E16:E21" ca="1" si="6">AVERAGE(J5:M5)</f>
        <v>0.7</v>
      </c>
      <c r="F16" s="570">
        <f t="shared" ref="F16:F21" ca="1" si="7">AVERAGE(N5:Q5)</f>
        <v>0.7</v>
      </c>
      <c r="G16" s="570">
        <f t="shared" ref="G16:G21" ca="1" si="8">AVERAGE(R5:U5)</f>
        <v>0.7</v>
      </c>
      <c r="H16" s="570">
        <f t="shared" ref="H16:H21" ca="1" si="9">AVERAGE(V5:Y5)</f>
        <v>0.70000000000000018</v>
      </c>
      <c r="I16" s="570">
        <f t="shared" ref="I16:I21" ca="1" si="10">AVERAGE(Z5:AC5)</f>
        <v>0.71</v>
      </c>
      <c r="J16" s="570">
        <f t="shared" ref="J16:J21" ca="1" si="11">AVERAGE(AD5:AG5)</f>
        <v>0.69000000000000006</v>
      </c>
      <c r="K16" s="570">
        <f t="shared" ref="K16:K21" ca="1" si="12">AVERAGE(AH5:AK5)</f>
        <v>0.70000000000000007</v>
      </c>
      <c r="L16" s="570">
        <f t="shared" ref="L16:L21" ca="1" si="13">AVERAGE(AL5:AO5)</f>
        <v>0.70000000000000007</v>
      </c>
      <c r="M16" s="570">
        <f t="shared" ref="M16:M21" ca="1" si="14">AVERAGE(AP5:AS5)</f>
        <v>0.7</v>
      </c>
      <c r="N16" s="570">
        <f t="shared" ref="N16:N21" ca="1" si="15">AVERAGE(AT5:AW5)</f>
        <v>0</v>
      </c>
      <c r="O16" s="713">
        <f t="shared" ref="O16:O21" ca="1" si="16">AVERAGEIF(C16:N16,"&gt;0")</f>
        <v>0.70000000000000007</v>
      </c>
      <c r="P16" s="714"/>
      <c r="Q16" s="573">
        <v>70</v>
      </c>
      <c r="R16" s="573"/>
      <c r="S16" s="573"/>
      <c r="T16" s="573"/>
      <c r="U16" s="573"/>
      <c r="V16" s="573"/>
      <c r="W16" s="573"/>
      <c r="X16" s="573"/>
      <c r="Y16" s="573"/>
      <c r="Z16" s="573"/>
      <c r="AA16" s="573"/>
      <c r="AB16" s="573"/>
      <c r="AC16" s="573"/>
      <c r="AD16" s="573"/>
      <c r="AE16" s="573"/>
      <c r="AF16" s="573"/>
      <c r="AG16" s="573"/>
    </row>
    <row r="17" spans="1:33" x14ac:dyDescent="0.35">
      <c r="A17" s="579" t="str">
        <f t="shared" si="3"/>
        <v>Experto en Hidrología</v>
      </c>
      <c r="B17" s="577">
        <f t="shared" ca="1" si="4"/>
        <v>5.4</v>
      </c>
      <c r="C17" s="570">
        <f t="shared" ref="C17:C21" ca="1" si="17">AVERAGE(B6:E6)</f>
        <v>0.59</v>
      </c>
      <c r="D17" s="570">
        <f t="shared" ca="1" si="5"/>
        <v>0.6</v>
      </c>
      <c r="E17" s="570">
        <f t="shared" ca="1" si="6"/>
        <v>0.6</v>
      </c>
      <c r="F17" s="570">
        <f t="shared" ca="1" si="7"/>
        <v>0.6</v>
      </c>
      <c r="G17" s="570">
        <f t="shared" ca="1" si="8"/>
        <v>0.6</v>
      </c>
      <c r="H17" s="570">
        <f t="shared" ca="1" si="9"/>
        <v>0.6</v>
      </c>
      <c r="I17" s="570">
        <f t="shared" ca="1" si="10"/>
        <v>0.6</v>
      </c>
      <c r="J17" s="570">
        <f t="shared" ca="1" si="11"/>
        <v>0.6</v>
      </c>
      <c r="K17" s="570">
        <f t="shared" ca="1" si="12"/>
        <v>0.61</v>
      </c>
      <c r="L17" s="570">
        <f t="shared" ca="1" si="13"/>
        <v>0</v>
      </c>
      <c r="M17" s="570">
        <f t="shared" ca="1" si="14"/>
        <v>0</v>
      </c>
      <c r="N17" s="570">
        <f t="shared" ca="1" si="15"/>
        <v>0</v>
      </c>
      <c r="O17" s="713">
        <f t="shared" ca="1" si="16"/>
        <v>0.60000000000000009</v>
      </c>
      <c r="P17" s="714"/>
      <c r="Q17" s="573">
        <v>60</v>
      </c>
      <c r="R17" s="573"/>
      <c r="S17" s="573"/>
      <c r="T17" s="573"/>
      <c r="U17" s="573"/>
      <c r="V17" s="573"/>
      <c r="W17" s="573"/>
      <c r="X17" s="573"/>
      <c r="Y17" s="573"/>
      <c r="Z17" s="573"/>
      <c r="AA17" s="573"/>
      <c r="AB17" s="573"/>
      <c r="AC17" s="573"/>
      <c r="AD17" s="573"/>
      <c r="AE17" s="573"/>
      <c r="AF17" s="573"/>
      <c r="AG17" s="573"/>
    </row>
    <row r="18" spans="1:33" x14ac:dyDescent="0.35">
      <c r="A18" s="579" t="str">
        <f t="shared" si="3"/>
        <v>Profesional Social</v>
      </c>
      <c r="B18" s="577">
        <f t="shared" ca="1" si="4"/>
        <v>4.5</v>
      </c>
      <c r="C18" s="570">
        <f t="shared" ca="1" si="17"/>
        <v>0.90000000000000013</v>
      </c>
      <c r="D18" s="570">
        <f t="shared" ca="1" si="5"/>
        <v>0.89999999999999991</v>
      </c>
      <c r="E18" s="570">
        <f t="shared" ca="1" si="6"/>
        <v>0.89999999999999991</v>
      </c>
      <c r="F18" s="570">
        <f t="shared" ca="1" si="7"/>
        <v>0.89999999999999991</v>
      </c>
      <c r="G18" s="570">
        <f t="shared" ca="1" si="8"/>
        <v>0.89999999999999991</v>
      </c>
      <c r="H18" s="570">
        <f t="shared" ca="1" si="9"/>
        <v>0</v>
      </c>
      <c r="I18" s="570">
        <f t="shared" ca="1" si="10"/>
        <v>0</v>
      </c>
      <c r="J18" s="570">
        <f t="shared" ca="1" si="11"/>
        <v>0</v>
      </c>
      <c r="K18" s="570">
        <f t="shared" ca="1" si="12"/>
        <v>0</v>
      </c>
      <c r="L18" s="570">
        <f t="shared" ca="1" si="13"/>
        <v>0</v>
      </c>
      <c r="M18" s="570">
        <f t="shared" ca="1" si="14"/>
        <v>0</v>
      </c>
      <c r="N18" s="570">
        <f t="shared" ca="1" si="15"/>
        <v>0</v>
      </c>
      <c r="O18" s="713">
        <f t="shared" ca="1" si="16"/>
        <v>0.9</v>
      </c>
      <c r="P18" s="714"/>
      <c r="Q18" s="573">
        <v>90</v>
      </c>
      <c r="R18" s="573"/>
      <c r="S18" s="573"/>
      <c r="T18" s="573"/>
      <c r="U18" s="573"/>
      <c r="V18" s="573"/>
      <c r="W18" s="573"/>
      <c r="X18" s="573"/>
      <c r="Y18" s="573"/>
      <c r="Z18" s="573"/>
      <c r="AA18" s="573"/>
      <c r="AB18" s="573"/>
      <c r="AC18" s="573"/>
      <c r="AD18" s="573"/>
      <c r="AE18" s="573"/>
      <c r="AF18" s="573"/>
      <c r="AG18" s="573"/>
    </row>
    <row r="19" spans="1:33" x14ac:dyDescent="0.35">
      <c r="A19" s="579" t="str">
        <f t="shared" si="3"/>
        <v>Personal de Campo</v>
      </c>
      <c r="B19" s="577">
        <f t="shared" si="4"/>
        <v>4</v>
      </c>
      <c r="C19" s="570">
        <f t="shared" si="17"/>
        <v>0</v>
      </c>
      <c r="D19" s="570">
        <f t="shared" si="5"/>
        <v>1</v>
      </c>
      <c r="E19" s="570">
        <f t="shared" si="6"/>
        <v>1</v>
      </c>
      <c r="F19" s="570">
        <f t="shared" si="7"/>
        <v>1</v>
      </c>
      <c r="G19" s="570">
        <f t="shared" si="8"/>
        <v>1</v>
      </c>
      <c r="H19" s="570">
        <f t="shared" si="9"/>
        <v>0</v>
      </c>
      <c r="I19" s="570">
        <f t="shared" si="10"/>
        <v>0</v>
      </c>
      <c r="J19" s="570">
        <f t="shared" si="11"/>
        <v>0</v>
      </c>
      <c r="K19" s="570">
        <f t="shared" si="12"/>
        <v>0</v>
      </c>
      <c r="L19" s="570">
        <f t="shared" si="13"/>
        <v>0</v>
      </c>
      <c r="M19" s="570">
        <f t="shared" si="14"/>
        <v>0</v>
      </c>
      <c r="N19" s="570">
        <f t="shared" si="15"/>
        <v>0</v>
      </c>
      <c r="O19" s="713">
        <f t="shared" si="16"/>
        <v>1</v>
      </c>
      <c r="P19" s="714"/>
      <c r="Q19" s="573">
        <v>100</v>
      </c>
      <c r="R19" s="573"/>
      <c r="S19" s="573"/>
      <c r="T19" s="573"/>
      <c r="U19" s="573"/>
      <c r="V19" s="573"/>
      <c r="W19" s="573"/>
      <c r="X19" s="573"/>
      <c r="Y19" s="573"/>
      <c r="Z19" s="573"/>
      <c r="AA19" s="573"/>
      <c r="AB19" s="573"/>
      <c r="AC19" s="573"/>
      <c r="AD19" s="573"/>
      <c r="AE19" s="573"/>
      <c r="AF19" s="573"/>
      <c r="AG19" s="573"/>
    </row>
    <row r="20" spans="1:33" x14ac:dyDescent="0.35">
      <c r="A20" s="579" t="str">
        <f t="shared" si="3"/>
        <v>Profesional SIG</v>
      </c>
      <c r="B20" s="577">
        <f t="shared" ca="1" si="4"/>
        <v>3.6</v>
      </c>
      <c r="C20" s="570">
        <f t="shared" ca="1" si="17"/>
        <v>0.6</v>
      </c>
      <c r="D20" s="570">
        <f t="shared" ca="1" si="5"/>
        <v>0.6</v>
      </c>
      <c r="E20" s="570">
        <f t="shared" ca="1" si="6"/>
        <v>0</v>
      </c>
      <c r="F20" s="570">
        <f t="shared" ca="1" si="7"/>
        <v>0</v>
      </c>
      <c r="G20" s="570">
        <f t="shared" ca="1" si="8"/>
        <v>0</v>
      </c>
      <c r="H20" s="570">
        <f t="shared" ca="1" si="9"/>
        <v>0.6</v>
      </c>
      <c r="I20" s="570">
        <f t="shared" ca="1" si="10"/>
        <v>0.60000000000000009</v>
      </c>
      <c r="J20" s="570">
        <f t="shared" ca="1" si="11"/>
        <v>0</v>
      </c>
      <c r="K20" s="570">
        <f ca="1">AVERAGE(AH9:AK9)</f>
        <v>0.6</v>
      </c>
      <c r="L20" s="570">
        <f t="shared" ca="1" si="13"/>
        <v>0</v>
      </c>
      <c r="M20" s="570">
        <f t="shared" ca="1" si="14"/>
        <v>0.6</v>
      </c>
      <c r="N20" s="570">
        <f t="shared" ca="1" si="15"/>
        <v>0</v>
      </c>
      <c r="O20" s="713">
        <f t="shared" ca="1" si="16"/>
        <v>0.6</v>
      </c>
      <c r="P20" s="714"/>
      <c r="Q20" s="573">
        <v>60</v>
      </c>
      <c r="R20" s="573"/>
      <c r="S20" s="573"/>
      <c r="T20" s="573"/>
      <c r="U20" s="573"/>
      <c r="V20" s="573"/>
      <c r="W20" s="573"/>
      <c r="X20" s="573"/>
      <c r="Y20" s="573"/>
      <c r="Z20" s="573"/>
      <c r="AA20" s="573"/>
      <c r="AB20" s="573"/>
      <c r="AC20" s="573"/>
      <c r="AD20" s="573"/>
      <c r="AE20" s="573"/>
      <c r="AF20" s="573"/>
      <c r="AG20" s="573"/>
    </row>
    <row r="21" spans="1:33" x14ac:dyDescent="0.35">
      <c r="A21" s="579" t="str">
        <f t="shared" si="3"/>
        <v>Auxiliar administrativo</v>
      </c>
      <c r="B21" s="577">
        <f t="shared" ca="1" si="4"/>
        <v>8.4</v>
      </c>
      <c r="C21" s="570">
        <f t="shared" ca="1" si="17"/>
        <v>0.69</v>
      </c>
      <c r="D21" s="570">
        <f t="shared" ca="1" si="5"/>
        <v>0.70000000000000007</v>
      </c>
      <c r="E21" s="570">
        <f t="shared" ca="1" si="6"/>
        <v>0.7</v>
      </c>
      <c r="F21" s="570">
        <f t="shared" ca="1" si="7"/>
        <v>0.7</v>
      </c>
      <c r="G21" s="570">
        <f t="shared" ca="1" si="8"/>
        <v>0.7</v>
      </c>
      <c r="H21" s="570">
        <f t="shared" ca="1" si="9"/>
        <v>0.70000000000000007</v>
      </c>
      <c r="I21" s="570">
        <f t="shared" ca="1" si="10"/>
        <v>0.7</v>
      </c>
      <c r="J21" s="570">
        <f t="shared" ca="1" si="11"/>
        <v>0.7</v>
      </c>
      <c r="K21" s="570">
        <f t="shared" ca="1" si="12"/>
        <v>0.71</v>
      </c>
      <c r="L21" s="570">
        <f t="shared" ca="1" si="13"/>
        <v>0.70000000000000007</v>
      </c>
      <c r="M21" s="570">
        <f t="shared" ca="1" si="14"/>
        <v>0.7</v>
      </c>
      <c r="N21" s="570">
        <f t="shared" ca="1" si="15"/>
        <v>0.7</v>
      </c>
      <c r="O21" s="713">
        <f t="shared" ca="1" si="16"/>
        <v>0.70000000000000007</v>
      </c>
      <c r="P21" s="714"/>
      <c r="Q21" s="573">
        <v>70</v>
      </c>
      <c r="R21" s="573"/>
      <c r="S21" s="573"/>
      <c r="T21" s="573"/>
      <c r="U21" s="573"/>
      <c r="V21" s="573"/>
      <c r="W21" s="573"/>
      <c r="X21" s="573"/>
      <c r="Y21" s="573"/>
      <c r="Z21" s="573"/>
      <c r="AA21" s="573"/>
      <c r="AB21" s="573"/>
      <c r="AC21" s="573"/>
      <c r="AD21" s="573"/>
      <c r="AE21" s="573"/>
      <c r="AF21" s="573"/>
      <c r="AG21" s="573"/>
    </row>
    <row r="22" spans="1:33" x14ac:dyDescent="0.35">
      <c r="Q22" s="573"/>
    </row>
  </sheetData>
  <mergeCells count="29">
    <mergeCell ref="AZ2:AZ3"/>
    <mergeCell ref="A1:AZ1"/>
    <mergeCell ref="C13:N13"/>
    <mergeCell ref="AH2:AK2"/>
    <mergeCell ref="AL2:AO2"/>
    <mergeCell ref="AP2:AS2"/>
    <mergeCell ref="AT2:AW2"/>
    <mergeCell ref="AX2:AX3"/>
    <mergeCell ref="AY2:AY3"/>
    <mergeCell ref="A13:A14"/>
    <mergeCell ref="B13:B14"/>
    <mergeCell ref="A2:A3"/>
    <mergeCell ref="B2:E2"/>
    <mergeCell ref="F2:I2"/>
    <mergeCell ref="J2:M2"/>
    <mergeCell ref="N2:Q2"/>
    <mergeCell ref="R2:U2"/>
    <mergeCell ref="V2:Y2"/>
    <mergeCell ref="Z2:AC2"/>
    <mergeCell ref="AD2:AG2"/>
    <mergeCell ref="O19:P19"/>
    <mergeCell ref="O20:P20"/>
    <mergeCell ref="O21:P21"/>
    <mergeCell ref="A12:P12"/>
    <mergeCell ref="O13:P14"/>
    <mergeCell ref="O15:P15"/>
    <mergeCell ref="O16:P16"/>
    <mergeCell ref="O17:P17"/>
    <mergeCell ref="O18:P18"/>
  </mergeCells>
  <phoneticPr fontId="5" type="noConversion"/>
  <conditionalFormatting sqref="B4:AW10">
    <cfRule type="cellIs" dxfId="122" priority="7" operator="greaterThan">
      <formula>1</formula>
    </cfRule>
    <cfRule type="cellIs" dxfId="121" priority="8" operator="greaterThan">
      <formula>0</formula>
    </cfRule>
  </conditionalFormatting>
  <conditionalFormatting sqref="C15:N21">
    <cfRule type="cellIs" dxfId="120" priority="3" operator="greaterThan">
      <formula>1</formula>
    </cfRule>
    <cfRule type="cellIs" dxfId="119" priority="4" operator="greaterThan">
      <formula>0</formula>
    </cfRule>
  </conditionalFormatting>
  <hyperlinks>
    <hyperlink ref="A2:A3" location="'TABLERO CONTROL'!A1" display="PROFESIONAL" xr:uid="{4E0F7DAC-6896-44C3-82FA-05ADC75251C8}"/>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911C3-7449-4C1F-A364-C0968340DEA8}">
  <sheetPr codeName="Hoja3"/>
  <dimension ref="A1:GE74"/>
  <sheetViews>
    <sheetView showGridLines="0" zoomScaleNormal="100" workbookViewId="0">
      <selection activeCell="K19" sqref="K19"/>
    </sheetView>
  </sheetViews>
  <sheetFormatPr defaultColWidth="11.3984375" defaultRowHeight="13.5" x14ac:dyDescent="0.35"/>
  <cols>
    <col min="1" max="1" width="59.3984375" style="1" customWidth="1"/>
    <col min="2" max="2" width="15.1328125" style="1" customWidth="1"/>
    <col min="3" max="3" width="13.86328125" style="1" customWidth="1"/>
    <col min="4" max="4" width="14.59765625" style="1" customWidth="1"/>
    <col min="5" max="5" width="19.73046875" style="1" customWidth="1"/>
    <col min="6" max="7" width="15" style="1" customWidth="1"/>
    <col min="8" max="16" width="4" style="108" bestFit="1" customWidth="1"/>
    <col min="17" max="52" width="4" style="108" customWidth="1"/>
    <col min="53" max="106" width="4" style="1" customWidth="1"/>
    <col min="107" max="157" width="4.265625" style="1" customWidth="1"/>
    <col min="158" max="187" width="4.73046875" style="1" customWidth="1"/>
    <col min="188" max="16384" width="11.3984375" style="1"/>
  </cols>
  <sheetData>
    <row r="1" spans="1:187" x14ac:dyDescent="0.35">
      <c r="H1" s="733" t="s">
        <v>53</v>
      </c>
      <c r="I1" s="733"/>
      <c r="J1" s="733"/>
      <c r="K1" s="733"/>
      <c r="L1" s="733"/>
      <c r="M1" s="733"/>
      <c r="N1" s="733"/>
      <c r="O1" s="733"/>
      <c r="P1" s="733"/>
      <c r="Q1" s="733"/>
      <c r="R1" s="733"/>
      <c r="S1" s="733"/>
      <c r="T1" s="733"/>
      <c r="U1" s="733"/>
      <c r="V1" s="733"/>
      <c r="W1" s="733"/>
      <c r="X1" s="733"/>
      <c r="Y1" s="733"/>
      <c r="Z1" s="733"/>
      <c r="AA1" s="733"/>
      <c r="AB1" s="733"/>
      <c r="AC1" s="733"/>
      <c r="AD1" s="733"/>
      <c r="AE1" s="733"/>
      <c r="AF1" s="733"/>
      <c r="AG1" s="733"/>
      <c r="AH1" s="733"/>
      <c r="AI1" s="733"/>
      <c r="AJ1" s="733"/>
      <c r="AK1" s="733"/>
    </row>
    <row r="2" spans="1:187" ht="13.9" thickBot="1" x14ac:dyDescent="0.4">
      <c r="H2" s="114">
        <v>1</v>
      </c>
      <c r="I2" s="114">
        <v>2</v>
      </c>
      <c r="J2" s="114">
        <v>3</v>
      </c>
      <c r="K2" s="114">
        <v>4</v>
      </c>
      <c r="L2" s="114">
        <v>5</v>
      </c>
      <c r="M2" s="114">
        <v>6</v>
      </c>
      <c r="N2" s="114">
        <v>7</v>
      </c>
      <c r="O2" s="114">
        <v>8</v>
      </c>
      <c r="P2" s="114">
        <v>9</v>
      </c>
      <c r="Q2" s="114">
        <v>10</v>
      </c>
      <c r="R2" s="114">
        <v>11</v>
      </c>
      <c r="S2" s="114">
        <v>12</v>
      </c>
      <c r="T2" s="114">
        <v>13</v>
      </c>
      <c r="U2" s="114">
        <v>14</v>
      </c>
      <c r="V2" s="114">
        <v>15</v>
      </c>
      <c r="W2" s="114">
        <v>16</v>
      </c>
      <c r="X2" s="114">
        <v>17</v>
      </c>
      <c r="Y2" s="114">
        <v>18</v>
      </c>
      <c r="Z2" s="114">
        <v>19</v>
      </c>
      <c r="AA2" s="114">
        <v>20</v>
      </c>
      <c r="AB2" s="114">
        <v>21</v>
      </c>
      <c r="AC2" s="114">
        <v>22</v>
      </c>
      <c r="AD2" s="114">
        <v>23</v>
      </c>
      <c r="AE2" s="114">
        <v>24</v>
      </c>
      <c r="AF2" s="114">
        <v>25</v>
      </c>
      <c r="AG2" s="114">
        <v>26</v>
      </c>
      <c r="AH2" s="114">
        <v>27</v>
      </c>
      <c r="AI2" s="114">
        <v>28</v>
      </c>
      <c r="AJ2" s="114">
        <v>29</v>
      </c>
      <c r="AK2" s="114">
        <v>30</v>
      </c>
      <c r="AL2" s="1"/>
      <c r="AM2" s="1"/>
      <c r="AN2" s="1"/>
      <c r="AO2" s="1"/>
      <c r="AP2" s="1"/>
      <c r="AQ2" s="1"/>
      <c r="AR2" s="1"/>
      <c r="AS2" s="1"/>
      <c r="AT2" s="1"/>
      <c r="AU2" s="1"/>
      <c r="AV2" s="1"/>
      <c r="AW2" s="1"/>
      <c r="AX2" s="1"/>
      <c r="AY2" s="1"/>
      <c r="AZ2" s="1"/>
    </row>
    <row r="3" spans="1:187" x14ac:dyDescent="0.35">
      <c r="A3" s="403" t="s">
        <v>88</v>
      </c>
      <c r="B3" s="160"/>
      <c r="C3" s="160"/>
      <c r="D3" s="160"/>
      <c r="E3" s="160"/>
      <c r="F3" s="160"/>
      <c r="G3" s="160"/>
      <c r="H3" s="149"/>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3"/>
      <c r="AL3" s="1"/>
      <c r="AM3" s="1"/>
      <c r="AN3" s="1"/>
      <c r="AO3" s="1"/>
      <c r="AP3" s="1"/>
      <c r="AQ3" s="1"/>
      <c r="AR3" s="1"/>
      <c r="AS3" s="1"/>
      <c r="AT3" s="1"/>
      <c r="AU3" s="1"/>
      <c r="AV3" s="1"/>
      <c r="AW3" s="1"/>
      <c r="AX3" s="1"/>
      <c r="AY3" s="1"/>
      <c r="AZ3" s="1"/>
    </row>
    <row r="4" spans="1:187" s="105" customFormat="1" ht="12.75" x14ac:dyDescent="0.35">
      <c r="A4" s="103" t="str">
        <f>DISTRIBUCIÓN!A46</f>
        <v>FASE 1. Declaratoria y Acciones Previas</v>
      </c>
      <c r="B4" s="104" t="s">
        <v>86</v>
      </c>
      <c r="C4" s="104" t="s">
        <v>87</v>
      </c>
      <c r="D4" s="104" t="s">
        <v>588</v>
      </c>
      <c r="E4" s="104" t="s">
        <v>95</v>
      </c>
      <c r="F4" s="104" t="s">
        <v>91</v>
      </c>
      <c r="G4" s="104"/>
      <c r="H4" s="150"/>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5"/>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row>
    <row r="5" spans="1:187" s="105" customFormat="1" ht="33.75" customHeight="1" x14ac:dyDescent="0.35">
      <c r="A5" s="311" t="s">
        <v>217</v>
      </c>
      <c r="B5" s="107">
        <v>2</v>
      </c>
      <c r="C5" s="107">
        <f>SUM(H5:AK5)</f>
        <v>6</v>
      </c>
      <c r="D5" s="107">
        <v>1</v>
      </c>
      <c r="E5" s="107">
        <f>D5*C5</f>
        <v>6</v>
      </c>
      <c r="F5" s="107">
        <f>B5*C5</f>
        <v>12</v>
      </c>
      <c r="G5" s="107"/>
      <c r="H5" s="150"/>
      <c r="I5" s="156">
        <v>1</v>
      </c>
      <c r="J5" s="156">
        <v>1</v>
      </c>
      <c r="K5" s="156">
        <v>1</v>
      </c>
      <c r="L5" s="156">
        <v>1</v>
      </c>
      <c r="M5" s="156">
        <v>1</v>
      </c>
      <c r="N5" s="156">
        <v>1</v>
      </c>
      <c r="O5" s="154"/>
      <c r="P5" s="154"/>
      <c r="Q5" s="154"/>
      <c r="R5" s="154"/>
      <c r="S5" s="154"/>
      <c r="T5" s="154"/>
      <c r="U5" s="154"/>
      <c r="V5" s="154"/>
      <c r="W5" s="154"/>
      <c r="X5" s="154"/>
      <c r="Y5" s="154"/>
      <c r="Z5" s="154"/>
      <c r="AA5" s="154"/>
      <c r="AB5" s="154"/>
      <c r="AC5" s="154"/>
      <c r="AD5" s="154"/>
      <c r="AE5" s="154"/>
      <c r="AF5" s="154"/>
      <c r="AG5" s="154"/>
      <c r="AH5" s="154"/>
      <c r="AI5" s="154"/>
      <c r="AJ5" s="154"/>
      <c r="AK5" s="155"/>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row>
    <row r="6" spans="1:187" s="105" customFormat="1" ht="42.75" customHeight="1" x14ac:dyDescent="0.35">
      <c r="A6" s="311" t="s">
        <v>218</v>
      </c>
      <c r="B6" s="107">
        <v>2</v>
      </c>
      <c r="C6" s="107">
        <f>SUM(H6:AK6)</f>
        <v>8</v>
      </c>
      <c r="D6" s="107">
        <v>1</v>
      </c>
      <c r="E6" s="107">
        <f t="shared" ref="E6" si="0">D6*C6</f>
        <v>8</v>
      </c>
      <c r="F6" s="107">
        <f t="shared" ref="F6" si="1">B6*C6</f>
        <v>16</v>
      </c>
      <c r="G6" s="107"/>
      <c r="H6" s="150"/>
      <c r="I6" s="154"/>
      <c r="J6" s="154"/>
      <c r="K6" s="154"/>
      <c r="L6" s="154"/>
      <c r="M6" s="154"/>
      <c r="N6" s="154"/>
      <c r="O6" s="154"/>
      <c r="P6" s="154"/>
      <c r="Q6" s="154"/>
      <c r="R6" s="154"/>
      <c r="S6" s="154"/>
      <c r="T6" s="154"/>
      <c r="U6" s="154"/>
      <c r="V6" s="154"/>
      <c r="W6" s="156">
        <v>1</v>
      </c>
      <c r="X6" s="156">
        <v>1</v>
      </c>
      <c r="Y6" s="156">
        <v>1</v>
      </c>
      <c r="Z6" s="156">
        <v>1</v>
      </c>
      <c r="AA6" s="156">
        <v>1</v>
      </c>
      <c r="AB6" s="156">
        <v>1</v>
      </c>
      <c r="AC6" s="156">
        <v>1</v>
      </c>
      <c r="AD6" s="156">
        <v>1</v>
      </c>
      <c r="AE6" s="154"/>
      <c r="AF6" s="154"/>
      <c r="AG6" s="154"/>
      <c r="AH6" s="154"/>
      <c r="AI6" s="154"/>
      <c r="AJ6" s="154"/>
      <c r="AK6" s="155"/>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row>
    <row r="7" spans="1:187" s="105" customFormat="1" ht="17.25" customHeight="1" x14ac:dyDescent="0.35">
      <c r="A7" s="106"/>
      <c r="B7" s="107"/>
      <c r="C7" s="107"/>
      <c r="D7" s="107"/>
      <c r="E7" s="107"/>
      <c r="F7" s="107"/>
      <c r="G7" s="107"/>
      <c r="H7" s="150"/>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5"/>
      <c r="AL7" s="108"/>
      <c r="AM7" s="108"/>
      <c r="AN7" s="108"/>
      <c r="AO7" s="108"/>
      <c r="AP7" s="108"/>
      <c r="AQ7" s="108"/>
      <c r="AR7" s="108"/>
      <c r="AS7" s="108"/>
      <c r="AT7" s="108"/>
      <c r="AU7" s="108"/>
      <c r="AV7" s="108"/>
      <c r="AW7" s="108"/>
      <c r="AX7" s="108"/>
      <c r="AY7" s="108"/>
      <c r="AZ7" s="108"/>
      <c r="BA7" s="1"/>
      <c r="BB7" s="1"/>
      <c r="BC7" s="1"/>
      <c r="BD7" s="1"/>
      <c r="BE7" s="1"/>
      <c r="BF7" s="1"/>
      <c r="BG7" s="1"/>
      <c r="BH7" s="1"/>
      <c r="BI7" s="1"/>
      <c r="BJ7" s="1"/>
      <c r="BK7" s="1"/>
      <c r="BL7" s="1"/>
      <c r="BM7" s="1"/>
      <c r="BN7" s="1"/>
      <c r="BO7" s="1"/>
    </row>
    <row r="8" spans="1:187" s="105" customFormat="1" x14ac:dyDescent="0.35">
      <c r="A8" s="119" t="s">
        <v>31</v>
      </c>
      <c r="B8" s="117"/>
      <c r="C8" s="118">
        <f>SUM(C5:C7)</f>
        <v>14</v>
      </c>
      <c r="D8" s="118"/>
      <c r="E8" s="118">
        <f>SUM(E5:E7)</f>
        <v>14</v>
      </c>
      <c r="F8" s="118">
        <f>SUM(F5:F7)</f>
        <v>28</v>
      </c>
      <c r="G8" s="118"/>
      <c r="H8" s="150"/>
      <c r="I8" s="154"/>
      <c r="J8" s="154"/>
      <c r="K8" s="154"/>
      <c r="L8" s="154"/>
      <c r="M8" s="154"/>
      <c r="N8" s="154"/>
      <c r="O8" s="154"/>
      <c r="P8" s="154"/>
      <c r="Q8" s="154"/>
      <c r="R8" s="154"/>
      <c r="S8" s="154"/>
      <c r="T8" s="154"/>
      <c r="U8" s="154"/>
      <c r="V8" s="154"/>
      <c r="W8" s="154"/>
      <c r="X8" s="154"/>
      <c r="Y8" s="154"/>
      <c r="Z8" s="154"/>
      <c r="AA8" s="154"/>
      <c r="AB8" s="154"/>
      <c r="AC8" s="154"/>
      <c r="AD8" s="154"/>
      <c r="AE8" s="154"/>
      <c r="AF8" s="154"/>
      <c r="AG8" s="154"/>
      <c r="AH8" s="154"/>
      <c r="AI8" s="154"/>
      <c r="AJ8" s="154"/>
      <c r="AK8" s="155"/>
      <c r="AL8" s="108"/>
      <c r="AM8" s="108"/>
      <c r="AN8" s="108"/>
      <c r="AO8" s="108"/>
      <c r="AP8" s="108"/>
      <c r="AQ8" s="108"/>
      <c r="AR8" s="108"/>
      <c r="AS8" s="108"/>
      <c r="AT8" s="108"/>
      <c r="AU8" s="108"/>
      <c r="AV8" s="108"/>
      <c r="AW8" s="108"/>
      <c r="AX8" s="108"/>
      <c r="AY8" s="108"/>
      <c r="AZ8" s="108"/>
      <c r="BA8" s="1"/>
      <c r="BB8" s="1"/>
      <c r="BC8" s="1"/>
      <c r="BD8" s="1"/>
      <c r="BE8" s="1"/>
      <c r="BF8" s="1"/>
      <c r="BG8" s="1"/>
      <c r="BH8" s="1"/>
      <c r="BI8" s="1"/>
      <c r="BJ8" s="1"/>
      <c r="BK8" s="1"/>
      <c r="BL8" s="1"/>
      <c r="BM8" s="1"/>
      <c r="BN8" s="1"/>
      <c r="BO8" s="1"/>
    </row>
    <row r="9" spans="1:187" ht="13.9" thickBot="1" x14ac:dyDescent="0.4">
      <c r="A9" s="110" t="s">
        <v>74</v>
      </c>
      <c r="B9" s="111"/>
      <c r="C9" s="111">
        <f>C8</f>
        <v>14</v>
      </c>
      <c r="D9" s="111"/>
      <c r="E9" s="111">
        <f>E8</f>
        <v>14</v>
      </c>
      <c r="F9" s="111">
        <f>F8</f>
        <v>28</v>
      </c>
      <c r="G9" s="111"/>
      <c r="H9" s="151"/>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8"/>
    </row>
    <row r="10" spans="1:187" x14ac:dyDescent="0.35">
      <c r="A10" s="123"/>
      <c r="B10" s="124"/>
      <c r="C10" s="124"/>
      <c r="D10" s="124"/>
      <c r="E10" s="124"/>
      <c r="F10" s="124"/>
      <c r="G10" s="124"/>
      <c r="H10" s="729" t="s">
        <v>554</v>
      </c>
      <c r="I10" s="729"/>
      <c r="J10" s="729"/>
      <c r="K10" s="729"/>
      <c r="L10" s="729"/>
      <c r="M10" s="729"/>
      <c r="N10" s="729">
        <f>SUM(H5:AK5)+SUM(H6:AK6)*D6+SUM(H7:AK7)*D7</f>
        <v>14</v>
      </c>
      <c r="O10" s="729"/>
      <c r="P10" s="729"/>
      <c r="Q10" s="729"/>
      <c r="R10" s="728" t="s">
        <v>107</v>
      </c>
      <c r="S10" s="728"/>
      <c r="T10" s="728"/>
      <c r="U10" s="728"/>
      <c r="V10" s="728"/>
      <c r="W10" s="729">
        <f>SUM(H5:AK5)*B5+SUM(H6:AK6)*B6+SUM(H7:AK7)*B7</f>
        <v>28</v>
      </c>
      <c r="X10" s="729"/>
      <c r="Y10" s="729"/>
      <c r="Z10" s="729"/>
    </row>
    <row r="11" spans="1:187" x14ac:dyDescent="0.35">
      <c r="B11" s="65" t="s">
        <v>73</v>
      </c>
      <c r="C11" s="65" t="s">
        <v>99</v>
      </c>
      <c r="D11" s="65" t="s">
        <v>46</v>
      </c>
      <c r="E11" s="65"/>
      <c r="F11" s="65" t="s">
        <v>138</v>
      </c>
      <c r="G11" s="65"/>
    </row>
    <row r="12" spans="1:187" ht="15.75" customHeight="1" x14ac:dyDescent="0.35">
      <c r="A12" s="204" t="s">
        <v>98</v>
      </c>
      <c r="B12" s="92">
        <f>'2.1 - Transporte'!I20</f>
        <v>568888.95555555564</v>
      </c>
      <c r="C12" s="1">
        <f>N10+AR10</f>
        <v>14</v>
      </c>
      <c r="D12" s="92">
        <f>N10*B12</f>
        <v>7964445.3777777795</v>
      </c>
      <c r="E12" s="92"/>
      <c r="F12" s="92">
        <f>SUM(D12:E12)</f>
        <v>7964445.3777777795</v>
      </c>
      <c r="G12" s="92"/>
      <c r="J12" s="159"/>
    </row>
    <row r="13" spans="1:187" x14ac:dyDescent="0.35">
      <c r="A13" s="204" t="s">
        <v>96</v>
      </c>
      <c r="B13" s="92">
        <v>160000</v>
      </c>
      <c r="C13" s="1">
        <f>W10</f>
        <v>28</v>
      </c>
      <c r="D13" s="92">
        <f>W10*B13</f>
        <v>4480000</v>
      </c>
      <c r="E13" s="92"/>
      <c r="F13" s="92">
        <f>SUM(D13:E13)</f>
        <v>4480000</v>
      </c>
      <c r="G13" s="92"/>
    </row>
    <row r="14" spans="1:187" x14ac:dyDescent="0.35">
      <c r="A14" s="204"/>
      <c r="B14" s="92"/>
      <c r="D14" s="92"/>
      <c r="F14" s="92"/>
      <c r="G14" s="92"/>
      <c r="H14" s="730" t="s">
        <v>54</v>
      </c>
      <c r="I14" s="730"/>
      <c r="J14" s="730"/>
      <c r="K14" s="730"/>
      <c r="L14" s="730"/>
      <c r="M14" s="730"/>
      <c r="N14" s="730"/>
      <c r="O14" s="730"/>
      <c r="P14" s="730"/>
      <c r="Q14" s="730"/>
      <c r="R14" s="730"/>
      <c r="S14" s="730"/>
      <c r="T14" s="730"/>
      <c r="U14" s="730"/>
      <c r="V14" s="730"/>
      <c r="W14" s="730"/>
      <c r="X14" s="730"/>
      <c r="Y14" s="730"/>
      <c r="Z14" s="730"/>
      <c r="AA14" s="730"/>
      <c r="AB14" s="730"/>
      <c r="AC14" s="730"/>
      <c r="AD14" s="730"/>
      <c r="AE14" s="730"/>
      <c r="AF14" s="730"/>
      <c r="AG14" s="730"/>
      <c r="AH14" s="730"/>
      <c r="AI14" s="730"/>
      <c r="AJ14" s="730"/>
      <c r="AK14" s="730"/>
      <c r="AL14" s="730" t="s">
        <v>55</v>
      </c>
      <c r="AM14" s="730"/>
      <c r="AN14" s="730"/>
      <c r="AO14" s="730"/>
      <c r="AP14" s="730"/>
      <c r="AQ14" s="730"/>
      <c r="AR14" s="730"/>
      <c r="AS14" s="730"/>
      <c r="AT14" s="730"/>
      <c r="AU14" s="730"/>
      <c r="AV14" s="730"/>
      <c r="AW14" s="730"/>
      <c r="AX14" s="730"/>
      <c r="AY14" s="730"/>
      <c r="AZ14" s="730"/>
      <c r="BA14" s="730"/>
      <c r="BB14" s="730"/>
      <c r="BC14" s="730"/>
      <c r="BD14" s="730"/>
      <c r="BE14" s="730"/>
      <c r="BF14" s="730"/>
      <c r="BG14" s="730"/>
      <c r="BH14" s="730"/>
      <c r="BI14" s="730"/>
      <c r="BJ14" s="730"/>
      <c r="BK14" s="730"/>
      <c r="BL14" s="730"/>
      <c r="BM14" s="730"/>
      <c r="BN14" s="730"/>
      <c r="BO14" s="730"/>
      <c r="BP14" s="730" t="s">
        <v>56</v>
      </c>
      <c r="BQ14" s="730"/>
      <c r="BR14" s="730"/>
      <c r="BS14" s="730"/>
      <c r="BT14" s="730"/>
      <c r="BU14" s="730"/>
      <c r="BV14" s="730"/>
      <c r="BW14" s="730"/>
      <c r="BX14" s="730"/>
      <c r="BY14" s="730"/>
      <c r="BZ14" s="730"/>
      <c r="CA14" s="730"/>
      <c r="CB14" s="730"/>
      <c r="CC14" s="730"/>
      <c r="CD14" s="730"/>
      <c r="CE14" s="730"/>
      <c r="CF14" s="730"/>
      <c r="CG14" s="730"/>
      <c r="CH14" s="730"/>
      <c r="CI14" s="730"/>
      <c r="CJ14" s="730"/>
      <c r="CK14" s="730"/>
      <c r="CL14" s="730"/>
      <c r="CM14" s="730"/>
      <c r="CN14" s="730"/>
      <c r="CO14" s="730"/>
      <c r="CP14" s="730"/>
      <c r="CQ14" s="730"/>
      <c r="CR14" s="730"/>
      <c r="CS14" s="730"/>
      <c r="CT14" s="730" t="s">
        <v>57</v>
      </c>
      <c r="CU14" s="730"/>
      <c r="CV14" s="730"/>
      <c r="CW14" s="730"/>
      <c r="CX14" s="730"/>
      <c r="CY14" s="730"/>
      <c r="CZ14" s="730"/>
      <c r="DA14" s="730"/>
      <c r="DB14" s="730"/>
      <c r="DC14" s="730"/>
      <c r="DD14" s="730"/>
      <c r="DE14" s="730"/>
      <c r="DF14" s="730"/>
      <c r="DG14" s="730"/>
      <c r="DH14" s="730"/>
      <c r="DI14" s="730"/>
      <c r="DJ14" s="730"/>
      <c r="DK14" s="730"/>
      <c r="DL14" s="730"/>
      <c r="DM14" s="730"/>
      <c r="DN14" s="730"/>
      <c r="DO14" s="730"/>
      <c r="DP14" s="730"/>
      <c r="DQ14" s="730"/>
      <c r="DR14" s="730"/>
      <c r="DS14" s="730"/>
      <c r="DT14" s="730"/>
      <c r="DU14" s="730"/>
      <c r="DV14" s="730"/>
      <c r="DW14" s="730"/>
      <c r="DX14" s="730" t="s">
        <v>58</v>
      </c>
      <c r="DY14" s="730"/>
      <c r="DZ14" s="730"/>
      <c r="EA14" s="730"/>
      <c r="EB14" s="730"/>
      <c r="EC14" s="730"/>
      <c r="ED14" s="730"/>
      <c r="EE14" s="730"/>
      <c r="EF14" s="730"/>
      <c r="EG14" s="730"/>
      <c r="EH14" s="730"/>
      <c r="EI14" s="730"/>
      <c r="EJ14" s="730"/>
      <c r="EK14" s="730"/>
      <c r="EL14" s="730"/>
      <c r="EM14" s="730"/>
      <c r="EN14" s="730"/>
      <c r="EO14" s="730"/>
      <c r="EP14" s="730"/>
      <c r="EQ14" s="730"/>
      <c r="ER14" s="730"/>
      <c r="ES14" s="730"/>
      <c r="ET14" s="730"/>
      <c r="EU14" s="730"/>
      <c r="EV14" s="730"/>
      <c r="EW14" s="730"/>
      <c r="EX14" s="730"/>
      <c r="EY14" s="730"/>
      <c r="EZ14" s="730"/>
      <c r="FA14" s="730"/>
      <c r="FB14" s="730" t="s">
        <v>117</v>
      </c>
      <c r="FC14" s="730"/>
      <c r="FD14" s="730"/>
      <c r="FE14" s="730"/>
      <c r="FF14" s="730"/>
      <c r="FG14" s="730"/>
      <c r="FH14" s="730"/>
      <c r="FI14" s="730"/>
      <c r="FJ14" s="730"/>
      <c r="FK14" s="730"/>
      <c r="FL14" s="730"/>
      <c r="FM14" s="730"/>
      <c r="FN14" s="730"/>
      <c r="FO14" s="730"/>
      <c r="FP14" s="730"/>
      <c r="FQ14" s="730"/>
      <c r="FR14" s="730"/>
      <c r="FS14" s="730"/>
      <c r="FT14" s="730"/>
      <c r="FU14" s="730"/>
      <c r="FV14" s="730"/>
      <c r="FW14" s="730"/>
      <c r="FX14" s="730"/>
      <c r="FY14" s="730"/>
      <c r="FZ14" s="730"/>
      <c r="GA14" s="730"/>
      <c r="GB14" s="730"/>
      <c r="GC14" s="730"/>
      <c r="GD14" s="730"/>
      <c r="GE14" s="730"/>
    </row>
    <row r="15" spans="1:187" ht="13.9" thickBot="1" x14ac:dyDescent="0.4">
      <c r="D15" s="92"/>
      <c r="H15" s="114">
        <v>31</v>
      </c>
      <c r="I15" s="114">
        <v>32</v>
      </c>
      <c r="J15" s="114">
        <v>33</v>
      </c>
      <c r="K15" s="114">
        <v>34</v>
      </c>
      <c r="L15" s="114">
        <v>35</v>
      </c>
      <c r="M15" s="114">
        <v>36</v>
      </c>
      <c r="N15" s="114">
        <v>37</v>
      </c>
      <c r="O15" s="114">
        <v>38</v>
      </c>
      <c r="P15" s="114">
        <v>39</v>
      </c>
      <c r="Q15" s="114">
        <v>40</v>
      </c>
      <c r="R15" s="114">
        <v>41</v>
      </c>
      <c r="S15" s="114">
        <v>42</v>
      </c>
      <c r="T15" s="114">
        <v>43</v>
      </c>
      <c r="U15" s="114">
        <v>44</v>
      </c>
      <c r="V15" s="114">
        <v>45</v>
      </c>
      <c r="W15" s="114">
        <v>46</v>
      </c>
      <c r="X15" s="114">
        <v>47</v>
      </c>
      <c r="Y15" s="114">
        <v>48</v>
      </c>
      <c r="Z15" s="114">
        <v>49</v>
      </c>
      <c r="AA15" s="114">
        <v>50</v>
      </c>
      <c r="AB15" s="114">
        <v>51</v>
      </c>
      <c r="AC15" s="114">
        <v>52</v>
      </c>
      <c r="AD15" s="114">
        <v>53</v>
      </c>
      <c r="AE15" s="114">
        <v>54</v>
      </c>
      <c r="AF15" s="114">
        <v>55</v>
      </c>
      <c r="AG15" s="114">
        <v>56</v>
      </c>
      <c r="AH15" s="114">
        <v>57</v>
      </c>
      <c r="AI15" s="114">
        <v>58</v>
      </c>
      <c r="AJ15" s="114">
        <v>59</v>
      </c>
      <c r="AK15" s="114">
        <v>60</v>
      </c>
      <c r="AL15" s="114">
        <v>61</v>
      </c>
      <c r="AM15" s="114">
        <v>62</v>
      </c>
      <c r="AN15" s="114">
        <v>63</v>
      </c>
      <c r="AO15" s="114">
        <v>64</v>
      </c>
      <c r="AP15" s="114">
        <v>65</v>
      </c>
      <c r="AQ15" s="114">
        <v>66</v>
      </c>
      <c r="AR15" s="114">
        <v>67</v>
      </c>
      <c r="AS15" s="114">
        <v>68</v>
      </c>
      <c r="AT15" s="114">
        <v>69</v>
      </c>
      <c r="AU15" s="114">
        <v>70</v>
      </c>
      <c r="AV15" s="114">
        <v>71</v>
      </c>
      <c r="AW15" s="114">
        <v>72</v>
      </c>
      <c r="AX15" s="114">
        <v>73</v>
      </c>
      <c r="AY15" s="114">
        <v>74</v>
      </c>
      <c r="AZ15" s="114">
        <v>75</v>
      </c>
      <c r="BA15" s="114">
        <v>76</v>
      </c>
      <c r="BB15" s="114">
        <v>77</v>
      </c>
      <c r="BC15" s="114">
        <v>78</v>
      </c>
      <c r="BD15" s="114">
        <v>79</v>
      </c>
      <c r="BE15" s="114">
        <v>80</v>
      </c>
      <c r="BF15" s="114">
        <v>81</v>
      </c>
      <c r="BG15" s="114">
        <v>82</v>
      </c>
      <c r="BH15" s="114">
        <v>83</v>
      </c>
      <c r="BI15" s="114">
        <v>84</v>
      </c>
      <c r="BJ15" s="114">
        <v>85</v>
      </c>
      <c r="BK15" s="114">
        <v>86</v>
      </c>
      <c r="BL15" s="114">
        <v>87</v>
      </c>
      <c r="BM15" s="114">
        <v>88</v>
      </c>
      <c r="BN15" s="114">
        <v>89</v>
      </c>
      <c r="BO15" s="114">
        <v>90</v>
      </c>
      <c r="BP15" s="114">
        <v>91</v>
      </c>
      <c r="BQ15" s="114">
        <v>92</v>
      </c>
      <c r="BR15" s="114">
        <v>93</v>
      </c>
      <c r="BS15" s="114">
        <v>94</v>
      </c>
      <c r="BT15" s="114">
        <v>95</v>
      </c>
      <c r="BU15" s="114">
        <v>96</v>
      </c>
      <c r="BV15" s="114">
        <v>97</v>
      </c>
      <c r="BW15" s="114">
        <v>98</v>
      </c>
      <c r="BX15" s="114">
        <v>99</v>
      </c>
      <c r="BY15" s="114">
        <v>100</v>
      </c>
      <c r="BZ15" s="114">
        <v>101</v>
      </c>
      <c r="CA15" s="114">
        <v>102</v>
      </c>
      <c r="CB15" s="114">
        <v>103</v>
      </c>
      <c r="CC15" s="114">
        <v>104</v>
      </c>
      <c r="CD15" s="114">
        <v>105</v>
      </c>
      <c r="CE15" s="114">
        <v>106</v>
      </c>
      <c r="CF15" s="114">
        <v>107</v>
      </c>
      <c r="CG15" s="114">
        <v>108</v>
      </c>
      <c r="CH15" s="114">
        <v>109</v>
      </c>
      <c r="CI15" s="114">
        <v>110</v>
      </c>
      <c r="CJ15" s="114">
        <v>111</v>
      </c>
      <c r="CK15" s="114">
        <v>112</v>
      </c>
      <c r="CL15" s="114">
        <v>113</v>
      </c>
      <c r="CM15" s="114">
        <v>114</v>
      </c>
      <c r="CN15" s="114">
        <v>115</v>
      </c>
      <c r="CO15" s="114">
        <v>116</v>
      </c>
      <c r="CP15" s="114">
        <v>117</v>
      </c>
      <c r="CQ15" s="114">
        <v>118</v>
      </c>
      <c r="CR15" s="114">
        <v>119</v>
      </c>
      <c r="CS15" s="114">
        <v>120</v>
      </c>
      <c r="CT15" s="114">
        <v>121</v>
      </c>
      <c r="CU15" s="114">
        <v>122</v>
      </c>
      <c r="CV15" s="114">
        <v>123</v>
      </c>
      <c r="CW15" s="114">
        <v>124</v>
      </c>
      <c r="CX15" s="114">
        <v>125</v>
      </c>
      <c r="CY15" s="114">
        <v>126</v>
      </c>
      <c r="CZ15" s="114">
        <v>127</v>
      </c>
      <c r="DA15" s="114">
        <v>128</v>
      </c>
      <c r="DB15" s="114">
        <v>129</v>
      </c>
      <c r="DC15" s="114">
        <v>130</v>
      </c>
      <c r="DD15" s="114">
        <v>131</v>
      </c>
      <c r="DE15" s="114">
        <v>132</v>
      </c>
      <c r="DF15" s="114">
        <v>133</v>
      </c>
      <c r="DG15" s="114">
        <v>134</v>
      </c>
      <c r="DH15" s="114">
        <v>135</v>
      </c>
      <c r="DI15" s="114">
        <v>136</v>
      </c>
      <c r="DJ15" s="114">
        <v>137</v>
      </c>
      <c r="DK15" s="114">
        <v>138</v>
      </c>
      <c r="DL15" s="114">
        <v>139</v>
      </c>
      <c r="DM15" s="114">
        <v>140</v>
      </c>
      <c r="DN15" s="114">
        <v>141</v>
      </c>
      <c r="DO15" s="114">
        <v>142</v>
      </c>
      <c r="DP15" s="114">
        <v>143</v>
      </c>
      <c r="DQ15" s="114">
        <v>144</v>
      </c>
      <c r="DR15" s="114">
        <v>145</v>
      </c>
      <c r="DS15" s="114">
        <v>146</v>
      </c>
      <c r="DT15" s="114">
        <v>147</v>
      </c>
      <c r="DU15" s="114">
        <v>148</v>
      </c>
      <c r="DV15" s="114">
        <v>149</v>
      </c>
      <c r="DW15" s="114">
        <v>150</v>
      </c>
      <c r="DX15" s="114">
        <v>151</v>
      </c>
      <c r="DY15" s="114">
        <v>152</v>
      </c>
      <c r="DZ15" s="114">
        <v>153</v>
      </c>
      <c r="EA15" s="114">
        <v>154</v>
      </c>
      <c r="EB15" s="114">
        <v>155</v>
      </c>
      <c r="EC15" s="114">
        <v>156</v>
      </c>
      <c r="ED15" s="114">
        <v>157</v>
      </c>
      <c r="EE15" s="114">
        <v>158</v>
      </c>
      <c r="EF15" s="114">
        <v>159</v>
      </c>
      <c r="EG15" s="114">
        <v>160</v>
      </c>
      <c r="EH15" s="114">
        <v>161</v>
      </c>
      <c r="EI15" s="114">
        <v>162</v>
      </c>
      <c r="EJ15" s="114">
        <v>163</v>
      </c>
      <c r="EK15" s="114">
        <v>164</v>
      </c>
      <c r="EL15" s="114">
        <v>165</v>
      </c>
      <c r="EM15" s="114">
        <v>166</v>
      </c>
      <c r="EN15" s="114">
        <v>167</v>
      </c>
      <c r="EO15" s="114">
        <v>168</v>
      </c>
      <c r="EP15" s="114">
        <v>169</v>
      </c>
      <c r="EQ15" s="114">
        <v>170</v>
      </c>
      <c r="ER15" s="114">
        <v>171</v>
      </c>
      <c r="ES15" s="114">
        <v>172</v>
      </c>
      <c r="ET15" s="114">
        <v>173</v>
      </c>
      <c r="EU15" s="114">
        <v>174</v>
      </c>
      <c r="EV15" s="114">
        <v>175</v>
      </c>
      <c r="EW15" s="114">
        <v>176</v>
      </c>
      <c r="EX15" s="114">
        <v>177</v>
      </c>
      <c r="EY15" s="114">
        <v>178</v>
      </c>
      <c r="EZ15" s="114">
        <v>179</v>
      </c>
      <c r="FA15" s="114">
        <v>180</v>
      </c>
      <c r="FB15" s="114">
        <v>181</v>
      </c>
      <c r="FC15" s="114">
        <v>182</v>
      </c>
      <c r="FD15" s="114">
        <v>183</v>
      </c>
      <c r="FE15" s="114">
        <v>184</v>
      </c>
      <c r="FF15" s="114">
        <v>185</v>
      </c>
      <c r="FG15" s="114">
        <v>186</v>
      </c>
      <c r="FH15" s="114">
        <v>187</v>
      </c>
      <c r="FI15" s="114">
        <v>188</v>
      </c>
      <c r="FJ15" s="114">
        <v>189</v>
      </c>
      <c r="FK15" s="114">
        <v>190</v>
      </c>
      <c r="FL15" s="114">
        <v>191</v>
      </c>
      <c r="FM15" s="114">
        <v>192</v>
      </c>
      <c r="FN15" s="114">
        <v>193</v>
      </c>
      <c r="FO15" s="114">
        <v>194</v>
      </c>
      <c r="FP15" s="114">
        <v>195</v>
      </c>
      <c r="FQ15" s="114">
        <v>196</v>
      </c>
      <c r="FR15" s="114">
        <v>197</v>
      </c>
      <c r="FS15" s="114">
        <v>198</v>
      </c>
      <c r="FT15" s="114">
        <v>199</v>
      </c>
      <c r="FU15" s="114">
        <v>200</v>
      </c>
      <c r="FV15" s="114">
        <v>201</v>
      </c>
      <c r="FW15" s="114">
        <v>202</v>
      </c>
      <c r="FX15" s="114">
        <v>203</v>
      </c>
      <c r="FY15" s="114">
        <v>204</v>
      </c>
      <c r="FZ15" s="114">
        <v>205</v>
      </c>
      <c r="GA15" s="114">
        <v>206</v>
      </c>
      <c r="GB15" s="114">
        <v>207</v>
      </c>
      <c r="GC15" s="114">
        <v>208</v>
      </c>
      <c r="GD15" s="114">
        <v>209</v>
      </c>
      <c r="GE15" s="114">
        <v>210</v>
      </c>
    </row>
    <row r="16" spans="1:187" x14ac:dyDescent="0.35">
      <c r="A16" s="325" t="s">
        <v>89</v>
      </c>
      <c r="B16" s="205"/>
      <c r="C16" s="205"/>
      <c r="D16" s="205"/>
      <c r="E16" s="205"/>
      <c r="F16" s="205"/>
      <c r="G16" s="205"/>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2"/>
      <c r="AL16" s="101"/>
      <c r="AM16" s="101"/>
      <c r="AN16" s="101"/>
      <c r="AO16" s="101"/>
      <c r="AP16" s="101"/>
      <c r="AQ16" s="101"/>
      <c r="AR16" s="101"/>
      <c r="AS16" s="101"/>
      <c r="AT16" s="101"/>
      <c r="AU16" s="101"/>
      <c r="AV16" s="101"/>
      <c r="AW16" s="101"/>
      <c r="AX16" s="101"/>
      <c r="AY16" s="101"/>
      <c r="AZ16" s="101"/>
      <c r="BA16" s="101"/>
      <c r="BB16" s="101"/>
      <c r="BC16" s="101"/>
      <c r="BD16" s="101"/>
      <c r="BE16" s="101"/>
      <c r="BF16" s="101"/>
      <c r="BG16" s="101"/>
      <c r="BH16" s="101"/>
      <c r="BI16" s="101"/>
      <c r="BJ16" s="101"/>
      <c r="BK16" s="101"/>
      <c r="BL16" s="101"/>
      <c r="BM16" s="101"/>
      <c r="BN16" s="101"/>
      <c r="BO16" s="102"/>
      <c r="BP16" s="101"/>
      <c r="BQ16" s="101"/>
      <c r="BR16" s="101"/>
      <c r="BS16" s="101"/>
      <c r="BT16" s="101"/>
      <c r="BU16" s="101"/>
      <c r="BV16" s="101"/>
      <c r="BW16" s="101"/>
      <c r="BX16" s="101"/>
      <c r="BY16" s="101"/>
      <c r="BZ16" s="101"/>
      <c r="CA16" s="101"/>
      <c r="CB16" s="101"/>
      <c r="CC16" s="101"/>
      <c r="CD16" s="101"/>
      <c r="CE16" s="101"/>
      <c r="CF16" s="101"/>
      <c r="CG16" s="101"/>
      <c r="CH16" s="101"/>
      <c r="CI16" s="101"/>
      <c r="CJ16" s="101"/>
      <c r="CK16" s="101"/>
      <c r="CL16" s="101"/>
      <c r="CM16" s="101"/>
      <c r="CN16" s="101"/>
      <c r="CO16" s="101"/>
      <c r="CP16" s="101"/>
      <c r="CQ16" s="101"/>
      <c r="CR16" s="101"/>
      <c r="CS16" s="102"/>
      <c r="CT16" s="101"/>
      <c r="CU16" s="101"/>
      <c r="CV16" s="101"/>
      <c r="CW16" s="101"/>
      <c r="CX16" s="101"/>
      <c r="CY16" s="101"/>
      <c r="CZ16" s="101"/>
      <c r="DA16" s="101"/>
      <c r="DB16" s="101"/>
      <c r="DC16" s="101"/>
      <c r="DD16" s="101"/>
      <c r="DE16" s="101"/>
      <c r="DF16" s="101"/>
      <c r="DG16" s="101"/>
      <c r="DH16" s="101"/>
      <c r="DI16" s="101"/>
      <c r="DJ16" s="101"/>
      <c r="DK16" s="101"/>
      <c r="DL16" s="101"/>
      <c r="DM16" s="101"/>
      <c r="DN16" s="101"/>
      <c r="DO16" s="101"/>
      <c r="DP16" s="101"/>
      <c r="DQ16" s="101"/>
      <c r="DR16" s="101"/>
      <c r="DS16" s="101"/>
      <c r="DT16" s="101"/>
      <c r="DU16" s="101"/>
      <c r="DV16" s="101"/>
      <c r="DW16" s="102"/>
      <c r="DX16" s="101"/>
      <c r="DY16" s="101"/>
      <c r="DZ16" s="101"/>
      <c r="EA16" s="101"/>
      <c r="EB16" s="101"/>
      <c r="EC16" s="101"/>
      <c r="ED16" s="101"/>
      <c r="EE16" s="101"/>
      <c r="EF16" s="101"/>
      <c r="EG16" s="101"/>
      <c r="EH16" s="101"/>
      <c r="EI16" s="101"/>
      <c r="EJ16" s="101"/>
      <c r="EK16" s="101"/>
      <c r="EL16" s="101"/>
      <c r="EM16" s="101"/>
      <c r="EN16" s="101"/>
      <c r="EO16" s="101"/>
      <c r="EP16" s="101"/>
      <c r="EQ16" s="101"/>
      <c r="ER16" s="101"/>
      <c r="ES16" s="101"/>
      <c r="ET16" s="101"/>
      <c r="EU16" s="101"/>
      <c r="EV16" s="101"/>
      <c r="EW16" s="101"/>
      <c r="EX16" s="101"/>
      <c r="EY16" s="101"/>
      <c r="EZ16" s="101"/>
      <c r="FA16" s="102"/>
      <c r="FB16" s="101"/>
      <c r="FC16" s="101"/>
      <c r="FD16" s="101"/>
      <c r="FE16" s="101"/>
      <c r="FF16" s="101"/>
      <c r="FG16" s="101"/>
      <c r="FH16" s="101"/>
      <c r="FI16" s="101"/>
      <c r="FJ16" s="101"/>
      <c r="FK16" s="101"/>
      <c r="FL16" s="101"/>
      <c r="FM16" s="101"/>
      <c r="FN16" s="101"/>
      <c r="FO16" s="101"/>
      <c r="FP16" s="101"/>
      <c r="FQ16" s="101"/>
      <c r="FR16" s="101"/>
      <c r="FS16" s="101"/>
      <c r="FT16" s="101"/>
      <c r="FU16" s="101"/>
      <c r="FV16" s="101"/>
      <c r="FW16" s="101"/>
      <c r="FX16" s="101"/>
      <c r="FY16" s="101"/>
      <c r="FZ16" s="101"/>
      <c r="GA16" s="101"/>
      <c r="GB16" s="101"/>
      <c r="GC16" s="101"/>
      <c r="GD16" s="101"/>
      <c r="GE16" s="102"/>
    </row>
    <row r="17" spans="1:187" ht="22.5" customHeight="1" x14ac:dyDescent="0.35">
      <c r="A17" s="103" t="str">
        <f>DISTRIBUCIÓN!A59</f>
        <v>FASE 2. Diagnóstico</v>
      </c>
      <c r="B17" s="104" t="s">
        <v>86</v>
      </c>
      <c r="C17" s="104" t="s">
        <v>87</v>
      </c>
      <c r="D17" s="104" t="s">
        <v>588</v>
      </c>
      <c r="E17" s="104" t="s">
        <v>95</v>
      </c>
      <c r="F17" s="104" t="s">
        <v>91</v>
      </c>
      <c r="G17" s="104"/>
      <c r="AK17" s="109"/>
      <c r="BA17" s="108"/>
      <c r="BB17" s="108"/>
      <c r="BC17" s="108"/>
      <c r="BD17" s="108"/>
      <c r="BE17" s="108"/>
      <c r="BF17" s="108"/>
      <c r="BG17" s="108"/>
      <c r="BH17" s="108"/>
      <c r="BI17" s="108"/>
      <c r="BJ17" s="108"/>
      <c r="BK17" s="108"/>
      <c r="BL17" s="108"/>
      <c r="BM17" s="108"/>
      <c r="BN17" s="108"/>
      <c r="BO17" s="109"/>
      <c r="BP17" s="108"/>
      <c r="BQ17" s="108"/>
      <c r="BR17" s="108"/>
      <c r="BS17" s="108"/>
      <c r="BT17" s="108"/>
      <c r="BU17" s="108"/>
      <c r="BV17" s="108"/>
      <c r="BW17" s="108"/>
      <c r="BX17" s="108"/>
      <c r="BY17" s="108"/>
      <c r="BZ17" s="108"/>
      <c r="CA17" s="108"/>
      <c r="CB17" s="108"/>
      <c r="CC17" s="108"/>
      <c r="CD17" s="108"/>
      <c r="CE17" s="108"/>
      <c r="CF17" s="108"/>
      <c r="CG17" s="108"/>
      <c r="CH17" s="108"/>
      <c r="CI17" s="108"/>
      <c r="CJ17" s="108"/>
      <c r="CK17" s="108"/>
      <c r="CL17" s="108"/>
      <c r="CM17" s="108"/>
      <c r="CN17" s="108"/>
      <c r="CO17" s="108"/>
      <c r="CP17" s="108"/>
      <c r="CQ17" s="108"/>
      <c r="CR17" s="108"/>
      <c r="CS17" s="109"/>
      <c r="CT17" s="108"/>
      <c r="CU17" s="108"/>
      <c r="CV17" s="108"/>
      <c r="CW17" s="108"/>
      <c r="CX17" s="108"/>
      <c r="CY17" s="108"/>
      <c r="CZ17" s="108"/>
      <c r="DA17" s="108"/>
      <c r="DB17" s="108"/>
      <c r="DC17" s="108"/>
      <c r="DD17" s="108"/>
      <c r="DE17" s="108"/>
      <c r="DF17" s="108"/>
      <c r="DG17" s="108"/>
      <c r="DH17" s="108"/>
      <c r="DI17" s="108"/>
      <c r="DJ17" s="108"/>
      <c r="DK17" s="108"/>
      <c r="DL17" s="108"/>
      <c r="DM17" s="108"/>
      <c r="DN17" s="108"/>
      <c r="DO17" s="108"/>
      <c r="DP17" s="108"/>
      <c r="DQ17" s="108"/>
      <c r="DR17" s="108"/>
      <c r="DS17" s="108"/>
      <c r="DT17" s="108"/>
      <c r="DU17" s="108"/>
      <c r="DV17" s="108"/>
      <c r="DW17" s="109"/>
      <c r="DX17" s="108"/>
      <c r="DY17" s="108"/>
      <c r="DZ17" s="108"/>
      <c r="EA17" s="108"/>
      <c r="EB17" s="108"/>
      <c r="EC17" s="108"/>
      <c r="ED17" s="108"/>
      <c r="EE17" s="108"/>
      <c r="EF17" s="108"/>
      <c r="EG17" s="108"/>
      <c r="EH17" s="108"/>
      <c r="EI17" s="108"/>
      <c r="EJ17" s="108"/>
      <c r="EK17" s="108"/>
      <c r="EL17" s="108"/>
      <c r="EM17" s="108"/>
      <c r="EN17" s="108"/>
      <c r="EO17" s="108"/>
      <c r="EP17" s="108"/>
      <c r="EQ17" s="108"/>
      <c r="ER17" s="108"/>
      <c r="ES17" s="108"/>
      <c r="ET17" s="108"/>
      <c r="EU17" s="108"/>
      <c r="EV17" s="108"/>
      <c r="EW17" s="108"/>
      <c r="EX17" s="108"/>
      <c r="EY17" s="108"/>
      <c r="EZ17" s="108"/>
      <c r="FA17" s="109"/>
      <c r="FB17" s="108"/>
      <c r="FC17" s="108"/>
      <c r="FD17" s="108"/>
      <c r="FE17" s="108"/>
      <c r="FF17" s="108"/>
      <c r="FG17" s="108"/>
      <c r="FH17" s="108"/>
      <c r="FI17" s="108"/>
      <c r="FJ17" s="108"/>
      <c r="FK17" s="108"/>
      <c r="FL17" s="108"/>
      <c r="FM17" s="108"/>
      <c r="FN17" s="108"/>
      <c r="FO17" s="108"/>
      <c r="FP17" s="108"/>
      <c r="FQ17" s="108"/>
      <c r="FR17" s="108"/>
      <c r="FS17" s="108"/>
      <c r="FT17" s="108"/>
      <c r="FU17" s="108"/>
      <c r="FV17" s="108"/>
      <c r="FW17" s="108"/>
      <c r="FX17" s="108"/>
      <c r="FY17" s="108"/>
      <c r="FZ17" s="108"/>
      <c r="GA17" s="108"/>
      <c r="GB17" s="108"/>
      <c r="GC17" s="108"/>
      <c r="GD17" s="108"/>
      <c r="GE17" s="109"/>
    </row>
    <row r="18" spans="1:187" x14ac:dyDescent="0.35">
      <c r="A18" s="292" t="s">
        <v>172</v>
      </c>
      <c r="B18" s="291"/>
      <c r="C18" s="291"/>
      <c r="D18" s="291"/>
      <c r="E18" s="291"/>
      <c r="F18" s="291"/>
      <c r="G18" s="291"/>
      <c r="AK18" s="109"/>
      <c r="BA18" s="108"/>
      <c r="BB18" s="108"/>
      <c r="BC18" s="108"/>
      <c r="BD18" s="108"/>
      <c r="BE18" s="108"/>
      <c r="BF18" s="108"/>
      <c r="BG18" s="108"/>
      <c r="BH18" s="108"/>
      <c r="BI18" s="108"/>
      <c r="BJ18" s="108"/>
      <c r="BK18" s="108"/>
      <c r="BL18" s="108"/>
      <c r="BM18" s="108"/>
      <c r="BN18" s="108"/>
      <c r="BO18" s="109"/>
      <c r="BP18" s="108"/>
      <c r="BQ18" s="108"/>
      <c r="BR18" s="108"/>
      <c r="BS18" s="108"/>
      <c r="BT18" s="108"/>
      <c r="BU18" s="108"/>
      <c r="BV18" s="108"/>
      <c r="BW18" s="108"/>
      <c r="BX18" s="108"/>
      <c r="BY18" s="108"/>
      <c r="BZ18" s="108"/>
      <c r="CA18" s="108"/>
      <c r="CB18" s="108"/>
      <c r="CC18" s="108"/>
      <c r="CD18" s="108"/>
      <c r="CE18" s="108"/>
      <c r="CF18" s="108"/>
      <c r="CG18" s="108"/>
      <c r="CH18" s="108"/>
      <c r="CI18" s="108"/>
      <c r="CJ18" s="108"/>
      <c r="CK18" s="108"/>
      <c r="CL18" s="108"/>
      <c r="CM18" s="108"/>
      <c r="CN18" s="108"/>
      <c r="CO18" s="108"/>
      <c r="CP18" s="108"/>
      <c r="CQ18" s="108"/>
      <c r="CR18" s="108"/>
      <c r="CS18" s="109"/>
      <c r="CT18" s="108"/>
      <c r="CU18" s="108"/>
      <c r="CV18" s="108"/>
      <c r="CW18" s="108"/>
      <c r="CX18" s="108"/>
      <c r="CY18" s="108"/>
      <c r="CZ18" s="108"/>
      <c r="DA18" s="108"/>
      <c r="DB18" s="108"/>
      <c r="DC18" s="108"/>
      <c r="DD18" s="108"/>
      <c r="DE18" s="108"/>
      <c r="DF18" s="108"/>
      <c r="DG18" s="108"/>
      <c r="DH18" s="108"/>
      <c r="DI18" s="108"/>
      <c r="DJ18" s="108"/>
      <c r="DK18" s="108"/>
      <c r="DL18" s="108"/>
      <c r="DM18" s="108"/>
      <c r="DN18" s="108"/>
      <c r="DO18" s="108"/>
      <c r="DP18" s="108"/>
      <c r="DQ18" s="108"/>
      <c r="DR18" s="108"/>
      <c r="DS18" s="108"/>
      <c r="DT18" s="108"/>
      <c r="DU18" s="108"/>
      <c r="DV18" s="108"/>
      <c r="DW18" s="109"/>
      <c r="DX18" s="108"/>
      <c r="DY18" s="108"/>
      <c r="DZ18" s="108"/>
      <c r="EA18" s="108"/>
      <c r="EB18" s="108"/>
      <c r="EC18" s="108"/>
      <c r="ED18" s="108"/>
      <c r="EE18" s="108"/>
      <c r="EF18" s="108"/>
      <c r="EG18" s="108"/>
      <c r="EH18" s="108"/>
      <c r="EI18" s="108"/>
      <c r="EJ18" s="108"/>
      <c r="EK18" s="108"/>
      <c r="EL18" s="108"/>
      <c r="EM18" s="108"/>
      <c r="EN18" s="108"/>
      <c r="EO18" s="108"/>
      <c r="EP18" s="108"/>
      <c r="EQ18" s="108"/>
      <c r="ER18" s="108"/>
      <c r="ES18" s="108"/>
      <c r="ET18" s="108"/>
      <c r="EU18" s="108"/>
      <c r="EV18" s="108"/>
      <c r="EW18" s="108"/>
      <c r="EX18" s="108"/>
      <c r="EY18" s="108"/>
      <c r="EZ18" s="108"/>
      <c r="FA18" s="109"/>
      <c r="FB18" s="108"/>
      <c r="FC18" s="108"/>
      <c r="FD18" s="108"/>
      <c r="FE18" s="108"/>
      <c r="FF18" s="108"/>
      <c r="FG18" s="108"/>
      <c r="FH18" s="108"/>
      <c r="FI18" s="108"/>
      <c r="FJ18" s="108"/>
      <c r="FK18" s="108"/>
      <c r="FL18" s="108"/>
      <c r="FM18" s="108"/>
      <c r="FN18" s="108"/>
      <c r="FO18" s="108"/>
      <c r="FP18" s="108"/>
      <c r="FQ18" s="108"/>
      <c r="FR18" s="108"/>
      <c r="FS18" s="108"/>
      <c r="FT18" s="108"/>
      <c r="FU18" s="108"/>
      <c r="FV18" s="108"/>
      <c r="FW18" s="108"/>
      <c r="FX18" s="108"/>
      <c r="FY18" s="108"/>
      <c r="FZ18" s="108"/>
      <c r="GA18" s="108"/>
      <c r="GB18" s="108"/>
      <c r="GC18" s="108"/>
      <c r="GD18" s="108"/>
      <c r="GE18" s="109"/>
    </row>
    <row r="19" spans="1:187" ht="40.5" customHeight="1" x14ac:dyDescent="0.35">
      <c r="A19" s="297" t="s">
        <v>175</v>
      </c>
      <c r="B19" s="206">
        <v>1</v>
      </c>
      <c r="C19" s="206">
        <f t="shared" ref="C19:C24" si="2">SUM(H19:GE19)</f>
        <v>18</v>
      </c>
      <c r="D19" s="107">
        <v>1</v>
      </c>
      <c r="E19" s="107">
        <f>D19*C19</f>
        <v>18</v>
      </c>
      <c r="F19" s="107">
        <f>C19*B19</f>
        <v>18</v>
      </c>
      <c r="G19" s="107"/>
      <c r="O19" s="1">
        <v>1</v>
      </c>
      <c r="P19" s="1">
        <v>1</v>
      </c>
      <c r="Q19" s="1">
        <v>1</v>
      </c>
      <c r="R19" s="1">
        <v>1</v>
      </c>
      <c r="S19" s="1">
        <v>1</v>
      </c>
      <c r="T19" s="1">
        <v>1</v>
      </c>
      <c r="U19" s="1"/>
      <c r="V19" s="156">
        <v>1</v>
      </c>
      <c r="W19" s="156">
        <v>1</v>
      </c>
      <c r="X19" s="156">
        <v>1</v>
      </c>
      <c r="Y19" s="156">
        <v>1</v>
      </c>
      <c r="Z19" s="156">
        <v>1</v>
      </c>
      <c r="AA19" s="108">
        <v>1</v>
      </c>
      <c r="AC19" s="156">
        <v>1</v>
      </c>
      <c r="AD19" s="156">
        <v>1</v>
      </c>
      <c r="AE19" s="156">
        <v>1</v>
      </c>
      <c r="AF19" s="156">
        <v>1</v>
      </c>
      <c r="AG19" s="156">
        <v>1</v>
      </c>
      <c r="AH19" s="108">
        <v>1</v>
      </c>
      <c r="AK19" s="109"/>
      <c r="BA19" s="108"/>
      <c r="BB19" s="108"/>
      <c r="BC19" s="108"/>
      <c r="BD19" s="108"/>
      <c r="BE19" s="108"/>
      <c r="BF19" s="108"/>
      <c r="BG19" s="108"/>
      <c r="BH19" s="108"/>
      <c r="BI19" s="108"/>
      <c r="BJ19" s="108"/>
      <c r="BK19" s="108"/>
      <c r="BL19" s="108"/>
      <c r="BM19" s="108"/>
      <c r="BN19" s="108"/>
      <c r="BO19" s="109"/>
      <c r="BP19" s="108"/>
      <c r="BQ19" s="108"/>
      <c r="BR19" s="108"/>
      <c r="BS19" s="108"/>
      <c r="BT19" s="108"/>
      <c r="BU19" s="108"/>
      <c r="BV19" s="108"/>
      <c r="BW19" s="108"/>
      <c r="BX19" s="108"/>
      <c r="BY19" s="108"/>
      <c r="BZ19" s="108"/>
      <c r="CA19" s="108"/>
      <c r="CB19" s="108"/>
      <c r="CC19" s="108"/>
      <c r="CD19" s="108"/>
      <c r="CE19" s="108"/>
      <c r="CF19" s="108"/>
      <c r="CG19" s="108"/>
      <c r="CH19" s="108"/>
      <c r="CI19" s="108"/>
      <c r="CJ19" s="108"/>
      <c r="CK19" s="108"/>
      <c r="CL19" s="108"/>
      <c r="CM19" s="108"/>
      <c r="CN19" s="108"/>
      <c r="CO19" s="108"/>
      <c r="CP19" s="108"/>
      <c r="CQ19" s="108"/>
      <c r="CR19" s="108"/>
      <c r="CS19" s="109"/>
      <c r="CT19" s="108"/>
      <c r="CU19" s="108"/>
      <c r="CV19" s="108"/>
      <c r="CW19" s="108"/>
      <c r="CX19" s="108"/>
      <c r="CY19" s="108"/>
      <c r="CZ19" s="108"/>
      <c r="DA19" s="108"/>
      <c r="DB19" s="108"/>
      <c r="DC19" s="108"/>
      <c r="DD19" s="108"/>
      <c r="DE19" s="108"/>
      <c r="DF19" s="108"/>
      <c r="DG19" s="108"/>
      <c r="DH19" s="108"/>
      <c r="DI19" s="108"/>
      <c r="DJ19" s="108"/>
      <c r="DK19" s="108"/>
      <c r="DL19" s="108"/>
      <c r="DM19" s="108"/>
      <c r="DN19" s="108"/>
      <c r="DO19" s="108"/>
      <c r="DP19" s="108"/>
      <c r="DQ19" s="108"/>
      <c r="DR19" s="108"/>
      <c r="DS19" s="108"/>
      <c r="DT19" s="108"/>
      <c r="DU19" s="108"/>
      <c r="DV19" s="108"/>
      <c r="DW19" s="109"/>
      <c r="DX19" s="108"/>
      <c r="DY19" s="108"/>
      <c r="DZ19" s="108"/>
      <c r="EA19" s="108"/>
      <c r="EB19" s="108"/>
      <c r="EC19" s="108"/>
      <c r="ED19" s="108"/>
      <c r="EE19" s="108"/>
      <c r="EF19" s="108"/>
      <c r="EG19" s="108"/>
      <c r="EH19" s="108"/>
      <c r="EI19" s="108"/>
      <c r="EJ19" s="108"/>
      <c r="EK19" s="108"/>
      <c r="EL19" s="108"/>
      <c r="EM19" s="108"/>
      <c r="EN19" s="108"/>
      <c r="EO19" s="108"/>
      <c r="EP19" s="108"/>
      <c r="EQ19" s="108"/>
      <c r="ER19" s="108"/>
      <c r="ES19" s="108"/>
      <c r="ET19" s="108"/>
      <c r="EU19" s="108"/>
      <c r="EV19" s="108"/>
      <c r="EW19" s="108"/>
      <c r="EX19" s="108"/>
      <c r="EY19" s="108"/>
      <c r="EZ19" s="108"/>
      <c r="FA19" s="109"/>
      <c r="FB19" s="108"/>
      <c r="FC19" s="108"/>
      <c r="FD19" s="108"/>
      <c r="FE19" s="108"/>
      <c r="FF19" s="108"/>
      <c r="FG19" s="108"/>
      <c r="FH19" s="108"/>
      <c r="FI19" s="108"/>
      <c r="FJ19" s="108"/>
      <c r="FK19" s="108"/>
      <c r="FL19" s="108"/>
      <c r="FM19" s="108"/>
      <c r="FN19" s="108"/>
      <c r="FO19" s="108"/>
      <c r="FP19" s="108"/>
      <c r="FQ19" s="108"/>
      <c r="FR19" s="108"/>
      <c r="FS19" s="108"/>
      <c r="FT19" s="108"/>
      <c r="FU19" s="108"/>
      <c r="FV19" s="108"/>
      <c r="FW19" s="108"/>
      <c r="FX19" s="108"/>
      <c r="FY19" s="108"/>
      <c r="FZ19" s="108"/>
      <c r="GA19" s="108"/>
      <c r="GB19" s="108"/>
      <c r="GC19" s="108"/>
      <c r="GD19" s="108"/>
      <c r="GE19" s="109"/>
    </row>
    <row r="20" spans="1:187" ht="42" customHeight="1" x14ac:dyDescent="0.35">
      <c r="A20" s="297" t="s">
        <v>226</v>
      </c>
      <c r="B20" s="206">
        <v>2</v>
      </c>
      <c r="C20" s="206">
        <f t="shared" si="2"/>
        <v>6</v>
      </c>
      <c r="D20" s="107">
        <v>1</v>
      </c>
      <c r="E20" s="107">
        <f t="shared" ref="E20:E27" si="3">D20*C20</f>
        <v>6</v>
      </c>
      <c r="F20" s="107">
        <f>C20*B20</f>
        <v>12</v>
      </c>
      <c r="G20" s="107"/>
      <c r="H20" s="1">
        <v>1</v>
      </c>
      <c r="I20" s="1">
        <v>1</v>
      </c>
      <c r="J20" s="1">
        <v>1</v>
      </c>
      <c r="K20" s="1">
        <v>1</v>
      </c>
      <c r="L20" s="1">
        <v>1</v>
      </c>
      <c r="M20" s="1">
        <v>1</v>
      </c>
      <c r="O20" s="1"/>
      <c r="P20" s="1"/>
      <c r="Q20" s="1"/>
      <c r="R20" s="1"/>
      <c r="S20" s="1"/>
      <c r="T20" s="1"/>
      <c r="U20" s="1"/>
      <c r="AK20" s="109"/>
      <c r="BA20" s="108"/>
      <c r="BB20" s="108"/>
      <c r="BC20" s="108"/>
      <c r="BD20" s="108"/>
      <c r="BE20" s="108"/>
      <c r="BF20" s="108"/>
      <c r="BG20" s="108"/>
      <c r="BH20" s="108"/>
      <c r="BI20" s="108"/>
      <c r="BJ20" s="108"/>
      <c r="BK20" s="108"/>
      <c r="BL20" s="108"/>
      <c r="BM20" s="108"/>
      <c r="BN20" s="108"/>
      <c r="BO20" s="109"/>
      <c r="BP20" s="108"/>
      <c r="BQ20" s="108"/>
      <c r="BR20" s="108"/>
      <c r="BS20" s="108"/>
      <c r="BT20" s="108"/>
      <c r="BU20" s="108"/>
      <c r="BV20" s="108"/>
      <c r="BW20" s="108"/>
      <c r="BX20" s="108"/>
      <c r="BY20" s="108"/>
      <c r="BZ20" s="108"/>
      <c r="CA20" s="108"/>
      <c r="CB20" s="108"/>
      <c r="CC20" s="108"/>
      <c r="CD20" s="108"/>
      <c r="CE20" s="108"/>
      <c r="CF20" s="108"/>
      <c r="CG20" s="108"/>
      <c r="CH20" s="108"/>
      <c r="CI20" s="108"/>
      <c r="CJ20" s="108"/>
      <c r="CK20" s="108"/>
      <c r="CL20" s="108"/>
      <c r="CM20" s="108"/>
      <c r="CN20" s="108"/>
      <c r="CO20" s="108"/>
      <c r="CP20" s="108"/>
      <c r="CQ20" s="108"/>
      <c r="CR20" s="108"/>
      <c r="CS20" s="109"/>
      <c r="CT20" s="108"/>
      <c r="CU20" s="108"/>
      <c r="CV20" s="108"/>
      <c r="CW20" s="108"/>
      <c r="CX20" s="108"/>
      <c r="CY20" s="108"/>
      <c r="CZ20" s="108"/>
      <c r="DA20" s="108"/>
      <c r="DB20" s="108"/>
      <c r="DC20" s="108"/>
      <c r="DD20" s="108"/>
      <c r="DE20" s="108"/>
      <c r="DF20" s="108"/>
      <c r="DG20" s="108"/>
      <c r="DH20" s="108"/>
      <c r="DI20" s="108"/>
      <c r="DJ20" s="108"/>
      <c r="DK20" s="108"/>
      <c r="DL20" s="108"/>
      <c r="DM20" s="108"/>
      <c r="DN20" s="108"/>
      <c r="DO20" s="108"/>
      <c r="DP20" s="108"/>
      <c r="DQ20" s="108"/>
      <c r="DR20" s="108"/>
      <c r="DS20" s="108"/>
      <c r="DT20" s="108"/>
      <c r="DU20" s="108"/>
      <c r="DV20" s="108"/>
      <c r="DW20" s="109"/>
      <c r="DX20" s="108"/>
      <c r="DY20" s="108"/>
      <c r="DZ20" s="108"/>
      <c r="EA20" s="108"/>
      <c r="EB20" s="108"/>
      <c r="EC20" s="108"/>
      <c r="ED20" s="108"/>
      <c r="EE20" s="108"/>
      <c r="EF20" s="108"/>
      <c r="EG20" s="108"/>
      <c r="EH20" s="108"/>
      <c r="EI20" s="108"/>
      <c r="EJ20" s="108"/>
      <c r="EK20" s="108"/>
      <c r="EL20" s="108"/>
      <c r="EM20" s="108"/>
      <c r="EN20" s="108"/>
      <c r="EO20" s="108"/>
      <c r="EP20" s="108"/>
      <c r="EQ20" s="108"/>
      <c r="ER20" s="108"/>
      <c r="ES20" s="108"/>
      <c r="ET20" s="108"/>
      <c r="EU20" s="108"/>
      <c r="EV20" s="108"/>
      <c r="EW20" s="108"/>
      <c r="EX20" s="108"/>
      <c r="EY20" s="108"/>
      <c r="EZ20" s="108"/>
      <c r="FA20" s="109"/>
      <c r="FB20" s="108"/>
      <c r="FC20" s="108"/>
      <c r="FD20" s="108"/>
      <c r="FE20" s="108"/>
      <c r="FF20" s="108"/>
      <c r="FG20" s="108"/>
      <c r="FH20" s="108"/>
      <c r="FI20" s="108"/>
      <c r="FJ20" s="108"/>
      <c r="FK20" s="108"/>
      <c r="FL20" s="108"/>
      <c r="FM20" s="108"/>
      <c r="FN20" s="108"/>
      <c r="FO20" s="108"/>
      <c r="FP20" s="108"/>
      <c r="FQ20" s="108"/>
      <c r="FR20" s="108"/>
      <c r="FS20" s="108"/>
      <c r="FT20" s="108"/>
      <c r="FU20" s="108"/>
      <c r="FV20" s="108"/>
      <c r="FW20" s="108"/>
      <c r="FX20" s="108"/>
      <c r="FY20" s="108"/>
      <c r="FZ20" s="108"/>
      <c r="GA20" s="108"/>
      <c r="GB20" s="108"/>
      <c r="GC20" s="108"/>
      <c r="GD20" s="108"/>
      <c r="GE20" s="109"/>
    </row>
    <row r="21" spans="1:187" x14ac:dyDescent="0.35">
      <c r="A21" s="292" t="s">
        <v>128</v>
      </c>
      <c r="B21" s="206"/>
      <c r="C21" s="206"/>
      <c r="D21" s="107"/>
      <c r="E21" s="107"/>
      <c r="F21" s="107"/>
      <c r="G21" s="107"/>
      <c r="O21" s="1"/>
      <c r="P21" s="1"/>
      <c r="Q21" s="1"/>
      <c r="R21" s="1"/>
      <c r="S21" s="1"/>
      <c r="T21" s="1"/>
      <c r="U21" s="1"/>
      <c r="AK21" s="109"/>
      <c r="BA21" s="108"/>
      <c r="BB21" s="108"/>
      <c r="BC21" s="108"/>
      <c r="BD21" s="108"/>
      <c r="BE21" s="108"/>
      <c r="BF21" s="108"/>
      <c r="BG21" s="108"/>
      <c r="BH21" s="108"/>
      <c r="BI21" s="108"/>
      <c r="BJ21" s="108"/>
      <c r="BK21" s="108"/>
      <c r="BL21" s="108"/>
      <c r="BM21" s="108"/>
      <c r="BN21" s="108"/>
      <c r="BO21" s="109"/>
      <c r="BP21" s="108"/>
      <c r="BQ21" s="108"/>
      <c r="BR21" s="108"/>
      <c r="BS21" s="108"/>
      <c r="BT21" s="108"/>
      <c r="BU21" s="108"/>
      <c r="BV21" s="108"/>
      <c r="BW21" s="108"/>
      <c r="BX21" s="108"/>
      <c r="BY21" s="108"/>
      <c r="BZ21" s="108"/>
      <c r="CA21" s="108"/>
      <c r="CB21" s="108"/>
      <c r="CC21" s="108"/>
      <c r="CD21" s="108"/>
      <c r="CE21" s="108"/>
      <c r="CF21" s="108"/>
      <c r="CG21" s="108"/>
      <c r="CH21" s="108"/>
      <c r="CI21" s="108"/>
      <c r="CJ21" s="108"/>
      <c r="CK21" s="108"/>
      <c r="CL21" s="108"/>
      <c r="CM21" s="108"/>
      <c r="CN21" s="108"/>
      <c r="CO21" s="108"/>
      <c r="CP21" s="108"/>
      <c r="CQ21" s="108"/>
      <c r="CR21" s="108"/>
      <c r="CS21" s="109"/>
      <c r="CT21" s="108"/>
      <c r="CU21" s="108"/>
      <c r="CV21" s="108"/>
      <c r="CW21" s="108"/>
      <c r="CX21" s="108"/>
      <c r="CY21" s="108"/>
      <c r="CZ21" s="108"/>
      <c r="DA21" s="108"/>
      <c r="DB21" s="108"/>
      <c r="DC21" s="108"/>
      <c r="DD21" s="108"/>
      <c r="DE21" s="108"/>
      <c r="DF21" s="108"/>
      <c r="DG21" s="108"/>
      <c r="DH21" s="108"/>
      <c r="DI21" s="108"/>
      <c r="DJ21" s="108"/>
      <c r="DK21" s="108"/>
      <c r="DL21" s="108"/>
      <c r="DM21" s="108"/>
      <c r="DN21" s="108"/>
      <c r="DO21" s="108"/>
      <c r="DP21" s="108"/>
      <c r="DQ21" s="108"/>
      <c r="DR21" s="108"/>
      <c r="DS21" s="108"/>
      <c r="DT21" s="108"/>
      <c r="DU21" s="108"/>
      <c r="DV21" s="108"/>
      <c r="DW21" s="109"/>
      <c r="DX21" s="108"/>
      <c r="DY21" s="108"/>
      <c r="DZ21" s="108"/>
      <c r="EA21" s="108"/>
      <c r="EB21" s="108"/>
      <c r="EC21" s="108"/>
      <c r="ED21" s="108"/>
      <c r="EE21" s="108"/>
      <c r="EF21" s="108"/>
      <c r="EG21" s="108"/>
      <c r="EH21" s="108"/>
      <c r="EI21" s="108"/>
      <c r="EJ21" s="108"/>
      <c r="EK21" s="108"/>
      <c r="EL21" s="108"/>
      <c r="EM21" s="108"/>
      <c r="EN21" s="108"/>
      <c r="EO21" s="108"/>
      <c r="EP21" s="108"/>
      <c r="EQ21" s="108"/>
      <c r="ER21" s="108"/>
      <c r="ES21" s="108"/>
      <c r="ET21" s="108"/>
      <c r="EU21" s="108"/>
      <c r="EV21" s="108"/>
      <c r="EW21" s="108"/>
      <c r="EX21" s="108"/>
      <c r="EY21" s="108"/>
      <c r="EZ21" s="108"/>
      <c r="FA21" s="109"/>
      <c r="FB21" s="108"/>
      <c r="FC21" s="108"/>
      <c r="FD21" s="108"/>
      <c r="FE21" s="108"/>
      <c r="FF21" s="108"/>
      <c r="FG21" s="108"/>
      <c r="FH21" s="108"/>
      <c r="FI21" s="108"/>
      <c r="FJ21" s="108"/>
      <c r="FK21" s="108"/>
      <c r="FL21" s="108"/>
      <c r="FM21" s="108"/>
      <c r="FN21" s="108"/>
      <c r="FO21" s="108"/>
      <c r="FP21" s="108"/>
      <c r="FQ21" s="108"/>
      <c r="FR21" s="108"/>
      <c r="FS21" s="108"/>
      <c r="FT21" s="108"/>
      <c r="FU21" s="108"/>
      <c r="FV21" s="108"/>
      <c r="FW21" s="108"/>
      <c r="FX21" s="108"/>
      <c r="FY21" s="108"/>
      <c r="FZ21" s="108"/>
      <c r="GA21" s="108"/>
      <c r="GB21" s="108"/>
      <c r="GC21" s="108"/>
      <c r="GD21" s="108"/>
      <c r="GE21" s="109"/>
    </row>
    <row r="22" spans="1:187" ht="33" customHeight="1" x14ac:dyDescent="0.35">
      <c r="A22" s="297" t="s">
        <v>515</v>
      </c>
      <c r="B22" s="206">
        <v>6</v>
      </c>
      <c r="C22" s="206">
        <f t="shared" si="2"/>
        <v>10</v>
      </c>
      <c r="D22" s="107">
        <v>0</v>
      </c>
      <c r="E22" s="107">
        <f t="shared" si="3"/>
        <v>0</v>
      </c>
      <c r="F22" s="107">
        <f t="shared" ref="F22:F27" si="4">C22*B22</f>
        <v>60</v>
      </c>
      <c r="G22" s="107"/>
      <c r="H22" s="293">
        <v>1</v>
      </c>
      <c r="I22" s="156">
        <v>1</v>
      </c>
      <c r="J22" s="156">
        <v>1</v>
      </c>
      <c r="K22" s="293">
        <v>1</v>
      </c>
      <c r="L22" s="293">
        <v>1</v>
      </c>
      <c r="M22" s="293"/>
      <c r="N22" s="293"/>
      <c r="O22" s="293">
        <v>1</v>
      </c>
      <c r="P22" s="293">
        <v>1</v>
      </c>
      <c r="Q22" s="293">
        <v>1</v>
      </c>
      <c r="R22" s="293">
        <v>1</v>
      </c>
      <c r="S22" s="293">
        <v>1</v>
      </c>
      <c r="T22" s="293"/>
      <c r="U22" s="293"/>
      <c r="V22" s="293"/>
      <c r="W22" s="293"/>
      <c r="X22" s="293"/>
      <c r="Y22" s="293"/>
      <c r="Z22" s="293"/>
      <c r="AA22" s="293"/>
      <c r="AB22" s="293"/>
      <c r="AC22" s="293"/>
      <c r="AD22" s="293"/>
      <c r="AE22" s="293"/>
      <c r="AF22" s="293"/>
      <c r="AG22" s="293"/>
      <c r="AH22" s="293"/>
      <c r="AI22" s="293"/>
      <c r="AJ22" s="293"/>
      <c r="AK22" s="294"/>
      <c r="AL22" s="293"/>
      <c r="AM22" s="293"/>
      <c r="AN22" s="293"/>
      <c r="AO22" s="293"/>
      <c r="AP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4"/>
      <c r="BP22" s="293"/>
      <c r="BQ22" s="293"/>
      <c r="BR22" s="293"/>
      <c r="BS22" s="293"/>
      <c r="BT22" s="293"/>
      <c r="BU22" s="293"/>
      <c r="BV22" s="293"/>
      <c r="BW22" s="293"/>
      <c r="BX22" s="293"/>
      <c r="BY22" s="293"/>
      <c r="BZ22" s="293"/>
      <c r="CA22" s="293"/>
      <c r="CB22" s="293"/>
      <c r="CC22" s="293"/>
      <c r="CD22" s="293"/>
      <c r="CE22" s="293"/>
      <c r="CF22" s="293"/>
      <c r="CG22" s="293"/>
      <c r="CH22" s="293"/>
      <c r="CI22" s="293"/>
      <c r="CJ22" s="293"/>
      <c r="CK22" s="293"/>
      <c r="CL22" s="293"/>
      <c r="CM22" s="293"/>
      <c r="CN22" s="293"/>
      <c r="CO22" s="293"/>
      <c r="CP22" s="293"/>
      <c r="CQ22" s="108"/>
      <c r="CR22" s="108"/>
      <c r="CS22" s="109"/>
      <c r="CT22" s="108"/>
      <c r="CU22" s="108"/>
      <c r="CV22" s="108"/>
      <c r="CW22" s="108"/>
      <c r="CX22" s="108"/>
      <c r="CY22" s="108"/>
      <c r="CZ22" s="108"/>
      <c r="DA22" s="108"/>
      <c r="DB22" s="108"/>
      <c r="DC22" s="108"/>
      <c r="DD22" s="108"/>
      <c r="DE22" s="108"/>
      <c r="DF22" s="108"/>
      <c r="DG22" s="108"/>
      <c r="DH22" s="108"/>
      <c r="DI22" s="108"/>
      <c r="DJ22" s="108"/>
      <c r="DK22" s="108"/>
      <c r="DL22" s="108"/>
      <c r="DM22" s="108"/>
      <c r="DN22" s="108"/>
      <c r="DO22" s="108"/>
      <c r="DP22" s="108"/>
      <c r="DQ22" s="108"/>
      <c r="DR22" s="108"/>
      <c r="DS22" s="293"/>
      <c r="DT22" s="293"/>
      <c r="DU22" s="108"/>
      <c r="DV22" s="108"/>
      <c r="DW22" s="109"/>
      <c r="DX22" s="108"/>
      <c r="DY22" s="108"/>
      <c r="DZ22" s="108"/>
      <c r="EA22" s="108"/>
      <c r="EB22" s="108"/>
      <c r="EC22" s="108"/>
      <c r="ED22" s="108"/>
      <c r="EE22" s="108"/>
      <c r="EF22" s="108"/>
      <c r="EG22" s="108"/>
      <c r="EH22" s="108"/>
      <c r="EI22" s="108"/>
      <c r="EJ22" s="108"/>
      <c r="EK22" s="108"/>
      <c r="EL22" s="108"/>
      <c r="EM22" s="108"/>
      <c r="EN22" s="108"/>
      <c r="EO22" s="108"/>
      <c r="EP22" s="108"/>
      <c r="EQ22" s="108"/>
      <c r="ER22" s="108"/>
      <c r="ES22" s="108"/>
      <c r="ET22" s="108"/>
      <c r="EU22" s="108"/>
      <c r="EV22" s="108"/>
      <c r="EW22" s="293"/>
      <c r="EX22" s="293"/>
      <c r="EY22" s="108"/>
      <c r="EZ22" s="108"/>
      <c r="FA22" s="109"/>
      <c r="FB22" s="108"/>
      <c r="FC22" s="108"/>
      <c r="FD22" s="108"/>
      <c r="FE22" s="108"/>
      <c r="FF22" s="108"/>
      <c r="FG22" s="108"/>
      <c r="FH22" s="108"/>
      <c r="FI22" s="108"/>
      <c r="FJ22" s="108"/>
      <c r="FK22" s="108"/>
      <c r="FL22" s="108"/>
      <c r="FM22" s="108"/>
      <c r="FN22" s="108"/>
      <c r="FO22" s="108"/>
      <c r="FP22" s="108"/>
      <c r="FQ22" s="108"/>
      <c r="FR22" s="108"/>
      <c r="FS22" s="108"/>
      <c r="FT22" s="108"/>
      <c r="FU22" s="108"/>
      <c r="FV22" s="108"/>
      <c r="FW22" s="108"/>
      <c r="FX22" s="108"/>
      <c r="FY22" s="108"/>
      <c r="FZ22" s="108"/>
      <c r="GA22" s="293"/>
      <c r="GB22" s="293"/>
      <c r="GC22" s="108"/>
      <c r="GD22" s="108"/>
      <c r="GE22" s="109"/>
    </row>
    <row r="23" spans="1:187" ht="46.5" customHeight="1" x14ac:dyDescent="0.35">
      <c r="A23" s="297" t="s">
        <v>516</v>
      </c>
      <c r="B23" s="206">
        <v>6</v>
      </c>
      <c r="C23" s="206">
        <f t="shared" si="2"/>
        <v>44</v>
      </c>
      <c r="D23" s="107">
        <v>3</v>
      </c>
      <c r="E23" s="107">
        <f t="shared" si="3"/>
        <v>132</v>
      </c>
      <c r="F23" s="107">
        <f t="shared" si="4"/>
        <v>264</v>
      </c>
      <c r="G23" s="107"/>
      <c r="H23" s="293"/>
      <c r="I23" s="293"/>
      <c r="J23" s="293"/>
      <c r="K23" s="293"/>
      <c r="L23" s="293"/>
      <c r="M23" s="293"/>
      <c r="N23" s="293"/>
      <c r="O23" s="293"/>
      <c r="P23" s="293"/>
      <c r="Q23" s="293"/>
      <c r="R23" s="293"/>
      <c r="S23" s="293"/>
      <c r="T23" s="293"/>
      <c r="U23" s="293"/>
      <c r="V23" s="293"/>
      <c r="W23" s="293"/>
      <c r="X23" s="293"/>
      <c r="Y23" s="293"/>
      <c r="Z23" s="293"/>
      <c r="AA23" s="293"/>
      <c r="AB23" s="293"/>
      <c r="AC23" s="293"/>
      <c r="AD23" s="293"/>
      <c r="AE23" s="293"/>
      <c r="AF23" s="293"/>
      <c r="AG23" s="293"/>
      <c r="AH23" s="293"/>
      <c r="AI23" s="293"/>
      <c r="AJ23" s="293"/>
      <c r="AK23" s="294"/>
      <c r="AL23" s="293">
        <v>1</v>
      </c>
      <c r="AM23" s="293">
        <v>1</v>
      </c>
      <c r="AN23" s="293">
        <v>1</v>
      </c>
      <c r="AO23" s="293">
        <v>1</v>
      </c>
      <c r="AP23" s="293">
        <v>1</v>
      </c>
      <c r="AQ23" s="293"/>
      <c r="AR23" s="293"/>
      <c r="AS23" s="293">
        <v>1</v>
      </c>
      <c r="AT23" s="293">
        <v>1</v>
      </c>
      <c r="AU23" s="293">
        <v>1</v>
      </c>
      <c r="AV23" s="293">
        <v>1</v>
      </c>
      <c r="AW23" s="293">
        <v>1</v>
      </c>
      <c r="AX23" s="293"/>
      <c r="AY23" s="293"/>
      <c r="AZ23" s="293">
        <v>1</v>
      </c>
      <c r="BA23" s="293">
        <v>1</v>
      </c>
      <c r="BB23" s="293">
        <v>1</v>
      </c>
      <c r="BC23" s="293">
        <v>1</v>
      </c>
      <c r="BD23" s="293">
        <v>1</v>
      </c>
      <c r="BE23" s="293"/>
      <c r="BF23" s="293"/>
      <c r="BG23" s="293">
        <v>1</v>
      </c>
      <c r="BH23" s="293">
        <v>1</v>
      </c>
      <c r="BI23" s="293">
        <v>1</v>
      </c>
      <c r="BJ23" s="293">
        <v>1</v>
      </c>
      <c r="BK23" s="293">
        <v>1</v>
      </c>
      <c r="BL23" s="293"/>
      <c r="BM23" s="293"/>
      <c r="BN23" s="293">
        <v>1</v>
      </c>
      <c r="BO23" s="294">
        <v>1</v>
      </c>
      <c r="BP23" s="293">
        <v>1</v>
      </c>
      <c r="BQ23" s="293">
        <v>1</v>
      </c>
      <c r="BR23" s="293">
        <v>1</v>
      </c>
      <c r="BS23" s="293"/>
      <c r="BT23" s="293"/>
      <c r="BU23" s="293">
        <v>1</v>
      </c>
      <c r="BV23" s="293">
        <v>1</v>
      </c>
      <c r="BW23" s="293">
        <v>1</v>
      </c>
      <c r="BX23" s="293">
        <v>1</v>
      </c>
      <c r="BY23" s="293">
        <v>1</v>
      </c>
      <c r="BZ23" s="293"/>
      <c r="CA23" s="293"/>
      <c r="CB23" s="293">
        <v>1</v>
      </c>
      <c r="CC23" s="293">
        <v>1</v>
      </c>
      <c r="CD23" s="293">
        <v>1</v>
      </c>
      <c r="CE23" s="293">
        <v>1</v>
      </c>
      <c r="CF23" s="293">
        <v>1</v>
      </c>
      <c r="CG23" s="293"/>
      <c r="CH23" s="293"/>
      <c r="CI23" s="293">
        <v>1</v>
      </c>
      <c r="CJ23" s="293">
        <v>1</v>
      </c>
      <c r="CK23" s="293">
        <v>1</v>
      </c>
      <c r="CL23" s="293">
        <v>1</v>
      </c>
      <c r="CM23" s="293">
        <v>1</v>
      </c>
      <c r="CN23" s="293"/>
      <c r="CO23" s="293">
        <v>1</v>
      </c>
      <c r="CP23" s="293">
        <v>1</v>
      </c>
      <c r="CQ23" s="293">
        <v>1</v>
      </c>
      <c r="CR23" s="293">
        <v>1</v>
      </c>
      <c r="CS23" s="109"/>
      <c r="CT23" s="108"/>
      <c r="CU23" s="108"/>
      <c r="CV23" s="108"/>
      <c r="CW23" s="108"/>
      <c r="CX23" s="108"/>
      <c r="CY23" s="108"/>
      <c r="CZ23" s="108"/>
      <c r="DA23" s="108"/>
      <c r="DB23" s="108"/>
      <c r="DC23" s="108"/>
      <c r="DD23" s="108"/>
      <c r="DE23" s="108"/>
      <c r="DF23" s="108"/>
      <c r="DG23" s="108"/>
      <c r="DH23" s="108"/>
      <c r="DI23" s="108"/>
      <c r="DJ23" s="108"/>
      <c r="DK23" s="108"/>
      <c r="DL23" s="108"/>
      <c r="DM23" s="108"/>
      <c r="DN23" s="108"/>
      <c r="DO23" s="108"/>
      <c r="DP23" s="108"/>
      <c r="DQ23" s="108"/>
      <c r="DR23" s="108"/>
      <c r="DS23" s="293"/>
      <c r="DT23" s="293"/>
      <c r="DU23" s="108"/>
      <c r="DV23" s="108"/>
      <c r="DW23" s="109"/>
      <c r="DX23" s="108"/>
      <c r="DY23" s="108"/>
      <c r="DZ23" s="108"/>
      <c r="EA23" s="108"/>
      <c r="EB23" s="108"/>
      <c r="EC23" s="108"/>
      <c r="ED23" s="108"/>
      <c r="EE23" s="108"/>
      <c r="EF23" s="108"/>
      <c r="EG23" s="108"/>
      <c r="EH23" s="108"/>
      <c r="EI23" s="108"/>
      <c r="EJ23" s="108"/>
      <c r="EK23" s="108"/>
      <c r="EL23" s="108"/>
      <c r="EM23" s="108"/>
      <c r="EN23" s="108"/>
      <c r="EO23" s="108"/>
      <c r="EP23" s="108"/>
      <c r="EQ23" s="108"/>
      <c r="ER23" s="108"/>
      <c r="ES23" s="108"/>
      <c r="ET23" s="108"/>
      <c r="EU23" s="108"/>
      <c r="EV23" s="108"/>
      <c r="EW23" s="293"/>
      <c r="EX23" s="293"/>
      <c r="EY23" s="108"/>
      <c r="EZ23" s="108"/>
      <c r="FA23" s="109"/>
      <c r="FB23" s="108"/>
      <c r="FC23" s="108"/>
      <c r="FD23" s="108"/>
      <c r="FE23" s="108"/>
      <c r="FF23" s="108"/>
      <c r="FG23" s="108"/>
      <c r="FH23" s="108"/>
      <c r="FI23" s="108"/>
      <c r="FJ23" s="108"/>
      <c r="FK23" s="108"/>
      <c r="FL23" s="108"/>
      <c r="FM23" s="108"/>
      <c r="FN23" s="108"/>
      <c r="FO23" s="108"/>
      <c r="FP23" s="108"/>
      <c r="FQ23" s="108"/>
      <c r="FR23" s="108"/>
      <c r="FS23" s="108"/>
      <c r="FT23" s="108"/>
      <c r="FU23" s="108"/>
      <c r="FV23" s="108"/>
      <c r="FW23" s="108"/>
      <c r="FX23" s="108"/>
      <c r="FY23" s="108"/>
      <c r="FZ23" s="108"/>
      <c r="GA23" s="293"/>
      <c r="GB23" s="293"/>
      <c r="GC23" s="108"/>
      <c r="GD23" s="108"/>
      <c r="GE23" s="109"/>
    </row>
    <row r="24" spans="1:187" ht="30" customHeight="1" x14ac:dyDescent="0.35">
      <c r="A24" s="297" t="s">
        <v>173</v>
      </c>
      <c r="B24" s="206">
        <v>2</v>
      </c>
      <c r="C24" s="206">
        <f t="shared" si="2"/>
        <v>16</v>
      </c>
      <c r="D24" s="107">
        <v>1</v>
      </c>
      <c r="E24" s="107">
        <f>D24*C24</f>
        <v>16</v>
      </c>
      <c r="F24" s="107">
        <f t="shared" si="4"/>
        <v>32</v>
      </c>
      <c r="G24" s="107"/>
      <c r="H24" s="293"/>
      <c r="I24" s="293"/>
      <c r="J24" s="293"/>
      <c r="K24" s="293"/>
      <c r="L24" s="293"/>
      <c r="M24" s="293"/>
      <c r="N24" s="293"/>
      <c r="O24" s="293"/>
      <c r="P24" s="293">
        <v>1</v>
      </c>
      <c r="Q24" s="293">
        <v>1</v>
      </c>
      <c r="R24" s="293">
        <v>1</v>
      </c>
      <c r="S24" s="293">
        <v>1</v>
      </c>
      <c r="T24" s="293">
        <v>1</v>
      </c>
      <c r="U24" s="263">
        <v>1</v>
      </c>
      <c r="V24" s="156">
        <v>1</v>
      </c>
      <c r="W24" s="156">
        <v>1</v>
      </c>
      <c r="X24" s="293"/>
      <c r="Y24" s="293"/>
      <c r="Z24" s="293"/>
      <c r="AA24" s="293"/>
      <c r="AB24" s="293"/>
      <c r="AC24" s="293"/>
      <c r="AD24" s="293"/>
      <c r="AE24" s="293"/>
      <c r="AF24" s="293"/>
      <c r="AG24" s="293"/>
      <c r="AH24" s="293"/>
      <c r="AI24" s="293"/>
      <c r="AJ24" s="293"/>
      <c r="AK24" s="294"/>
      <c r="AL24" s="293"/>
      <c r="AM24" s="293"/>
      <c r="AN24" s="293"/>
      <c r="AO24" s="293"/>
      <c r="AP24" s="293"/>
      <c r="AQ24" s="293"/>
      <c r="AR24" s="293"/>
      <c r="AS24" s="293"/>
      <c r="AT24" s="293"/>
      <c r="AU24" s="293"/>
      <c r="AV24" s="293"/>
      <c r="AW24" s="293"/>
      <c r="AX24" s="293"/>
      <c r="AY24" s="293"/>
      <c r="AZ24" s="293"/>
      <c r="BA24" s="293"/>
      <c r="BB24" s="293"/>
      <c r="BC24" s="293"/>
      <c r="BD24" s="293"/>
      <c r="BE24" s="293"/>
      <c r="BF24" s="293"/>
      <c r="BG24" s="293"/>
      <c r="BH24" s="293"/>
      <c r="BI24" s="293"/>
      <c r="BJ24" s="293"/>
      <c r="BK24" s="293"/>
      <c r="BL24" s="293"/>
      <c r="BM24" s="293"/>
      <c r="BN24" s="293"/>
      <c r="BO24" s="294"/>
      <c r="BP24" s="293"/>
      <c r="BQ24" s="293"/>
      <c r="BR24" s="293"/>
      <c r="BS24" s="293"/>
      <c r="BT24" s="293"/>
      <c r="BU24" s="293"/>
      <c r="BV24" s="293"/>
      <c r="BW24" s="293"/>
      <c r="BX24" s="293"/>
      <c r="BY24" s="293"/>
      <c r="BZ24" s="293"/>
      <c r="CA24" s="293"/>
      <c r="CB24" s="293">
        <v>1</v>
      </c>
      <c r="CC24" s="293">
        <v>1</v>
      </c>
      <c r="CD24" s="293">
        <v>1</v>
      </c>
      <c r="CE24" s="293">
        <v>1</v>
      </c>
      <c r="CF24" s="293">
        <v>1</v>
      </c>
      <c r="CG24" s="293">
        <v>1</v>
      </c>
      <c r="CH24" s="293">
        <v>1</v>
      </c>
      <c r="CI24" s="293">
        <v>1</v>
      </c>
      <c r="CJ24" s="293"/>
      <c r="CK24" s="293"/>
      <c r="CL24" s="293"/>
      <c r="CM24" s="293"/>
      <c r="CN24" s="293"/>
      <c r="CO24" s="293"/>
      <c r="CP24" s="293"/>
      <c r="CQ24" s="108"/>
      <c r="CR24" s="108"/>
      <c r="CS24" s="109"/>
      <c r="CT24" s="108"/>
      <c r="CU24" s="108"/>
      <c r="CV24" s="108"/>
      <c r="CW24" s="108"/>
      <c r="CX24" s="108"/>
      <c r="CY24" s="108"/>
      <c r="CZ24" s="108"/>
      <c r="DA24" s="108"/>
      <c r="DB24" s="108"/>
      <c r="DC24" s="108"/>
      <c r="DD24" s="108"/>
      <c r="DE24" s="108"/>
      <c r="DF24" s="108"/>
      <c r="DG24" s="108"/>
      <c r="DH24" s="108"/>
      <c r="DI24" s="108"/>
      <c r="DJ24" s="108"/>
      <c r="DK24" s="108"/>
      <c r="DL24" s="108"/>
      <c r="DM24" s="108"/>
      <c r="DN24" s="108"/>
      <c r="DO24" s="108"/>
      <c r="DP24" s="108"/>
      <c r="DQ24" s="108"/>
      <c r="DR24" s="108"/>
      <c r="DS24" s="293"/>
      <c r="DT24" s="293"/>
      <c r="DU24" s="108"/>
      <c r="DV24" s="108"/>
      <c r="DW24" s="109"/>
      <c r="DX24" s="108"/>
      <c r="DY24" s="108"/>
      <c r="DZ24" s="108"/>
      <c r="EA24" s="108"/>
      <c r="EB24" s="108"/>
      <c r="EC24" s="108"/>
      <c r="ED24" s="108"/>
      <c r="EE24" s="108"/>
      <c r="EF24" s="108"/>
      <c r="EG24" s="108"/>
      <c r="EH24" s="108"/>
      <c r="EI24" s="108"/>
      <c r="EJ24" s="108"/>
      <c r="EK24" s="108"/>
      <c r="EL24" s="108"/>
      <c r="EM24" s="108"/>
      <c r="EN24" s="108"/>
      <c r="EO24" s="108"/>
      <c r="EP24" s="108"/>
      <c r="EQ24" s="108"/>
      <c r="ER24" s="108"/>
      <c r="ES24" s="108"/>
      <c r="ET24" s="108"/>
      <c r="EU24" s="108"/>
      <c r="EV24" s="108"/>
      <c r="EW24" s="293"/>
      <c r="EX24" s="293"/>
      <c r="EY24" s="108"/>
      <c r="EZ24" s="108"/>
      <c r="FA24" s="109"/>
      <c r="FB24" s="108"/>
      <c r="FC24" s="108"/>
      <c r="FD24" s="108"/>
      <c r="FE24" s="108"/>
      <c r="FF24" s="108"/>
      <c r="FG24" s="108"/>
      <c r="FH24" s="108"/>
      <c r="FI24" s="108"/>
      <c r="FJ24" s="108"/>
      <c r="FK24" s="108"/>
      <c r="FL24" s="108"/>
      <c r="FM24" s="108"/>
      <c r="FN24" s="108"/>
      <c r="FO24" s="108"/>
      <c r="FP24" s="108"/>
      <c r="FQ24" s="108"/>
      <c r="FR24" s="108"/>
      <c r="FS24" s="108"/>
      <c r="FT24" s="108"/>
      <c r="FU24" s="108"/>
      <c r="FV24" s="108"/>
      <c r="FW24" s="108"/>
      <c r="FX24" s="108"/>
      <c r="FY24" s="108"/>
      <c r="FZ24" s="108"/>
      <c r="GA24" s="293"/>
      <c r="GB24" s="293"/>
      <c r="GC24" s="108"/>
      <c r="GD24" s="108"/>
      <c r="GE24" s="109"/>
    </row>
    <row r="25" spans="1:187" x14ac:dyDescent="0.35">
      <c r="A25" s="292" t="s">
        <v>174</v>
      </c>
      <c r="B25" s="206"/>
      <c r="C25" s="206"/>
      <c r="D25" s="107"/>
      <c r="E25" s="107"/>
      <c r="F25" s="107"/>
      <c r="G25" s="107"/>
      <c r="U25" s="1"/>
      <c r="AC25" s="293"/>
      <c r="AJ25" s="293"/>
      <c r="AK25" s="109"/>
      <c r="AQ25" s="293"/>
      <c r="BA25" s="108"/>
      <c r="BB25" s="108"/>
      <c r="BC25" s="108"/>
      <c r="BD25" s="108"/>
      <c r="BE25" s="108"/>
      <c r="BF25" s="108"/>
      <c r="BG25" s="108"/>
      <c r="BH25" s="108"/>
      <c r="BI25" s="108"/>
      <c r="BJ25" s="108"/>
      <c r="BK25" s="108"/>
      <c r="BL25" s="293"/>
      <c r="BM25" s="108"/>
      <c r="BN25" s="108"/>
      <c r="BO25" s="109"/>
      <c r="BP25" s="108"/>
      <c r="BQ25" s="108"/>
      <c r="BR25" s="108"/>
      <c r="BS25" s="108"/>
      <c r="BT25" s="108"/>
      <c r="BU25" s="108"/>
      <c r="BV25" s="108"/>
      <c r="BW25" s="108"/>
      <c r="BX25" s="108"/>
      <c r="BY25" s="108"/>
      <c r="BZ25" s="108"/>
      <c r="CA25" s="108"/>
      <c r="CB25" s="108"/>
      <c r="CC25" s="108"/>
      <c r="CD25" s="108"/>
      <c r="CE25" s="108"/>
      <c r="CF25" s="108"/>
      <c r="CG25" s="108"/>
      <c r="CH25" s="108"/>
      <c r="CI25" s="108"/>
      <c r="CJ25" s="108"/>
      <c r="CK25" s="108"/>
      <c r="CL25" s="108"/>
      <c r="CM25" s="108"/>
      <c r="CN25" s="108"/>
      <c r="CO25" s="108"/>
      <c r="CP25" s="108"/>
      <c r="CQ25" s="108"/>
      <c r="CR25" s="108"/>
      <c r="CS25" s="109"/>
      <c r="CT25" s="108"/>
      <c r="CU25" s="108"/>
      <c r="CV25" s="108"/>
      <c r="CW25" s="108"/>
      <c r="CX25" s="108"/>
      <c r="CY25" s="108"/>
      <c r="CZ25" s="108"/>
      <c r="DA25" s="108"/>
      <c r="DB25" s="108"/>
      <c r="DC25" s="108"/>
      <c r="DD25" s="108"/>
      <c r="DE25" s="108"/>
      <c r="DF25" s="108"/>
      <c r="DG25" s="108"/>
      <c r="DH25" s="108"/>
      <c r="DI25" s="108"/>
      <c r="DJ25" s="108"/>
      <c r="DK25" s="108"/>
      <c r="DL25" s="108"/>
      <c r="DM25" s="108"/>
      <c r="DN25" s="108"/>
      <c r="DO25" s="108"/>
      <c r="DP25" s="108"/>
      <c r="DQ25" s="108"/>
      <c r="DR25" s="108"/>
      <c r="DS25" s="108"/>
      <c r="DT25" s="108"/>
      <c r="DU25" s="108"/>
      <c r="DV25" s="108"/>
      <c r="DW25" s="109"/>
      <c r="DX25" s="108"/>
      <c r="DY25" s="108"/>
      <c r="DZ25" s="108"/>
      <c r="EA25" s="108"/>
      <c r="EB25" s="108"/>
      <c r="EC25" s="108"/>
      <c r="ED25" s="108"/>
      <c r="EE25" s="108"/>
      <c r="EF25" s="108"/>
      <c r="EG25" s="108"/>
      <c r="EH25" s="108"/>
      <c r="EI25" s="108"/>
      <c r="EJ25" s="108"/>
      <c r="EK25" s="108"/>
      <c r="EL25" s="108"/>
      <c r="EM25" s="108"/>
      <c r="EN25" s="108"/>
      <c r="EO25" s="108"/>
      <c r="EP25" s="108"/>
      <c r="EQ25" s="108"/>
      <c r="ER25" s="108"/>
      <c r="ES25" s="108"/>
      <c r="ET25" s="108"/>
      <c r="EU25" s="108"/>
      <c r="EV25" s="108"/>
      <c r="EW25" s="108"/>
      <c r="EX25" s="108"/>
      <c r="EY25" s="108"/>
      <c r="EZ25" s="108"/>
      <c r="FA25" s="109"/>
      <c r="FB25" s="108"/>
      <c r="FC25" s="108"/>
      <c r="FD25" s="108"/>
      <c r="FE25" s="108"/>
      <c r="FF25" s="108"/>
      <c r="FG25" s="108"/>
      <c r="FH25" s="108"/>
      <c r="FI25" s="108"/>
      <c r="FJ25" s="108"/>
      <c r="FK25" s="108"/>
      <c r="FL25" s="108"/>
      <c r="FM25" s="108"/>
      <c r="FN25" s="108"/>
      <c r="FO25" s="108"/>
      <c r="FP25" s="108"/>
      <c r="FQ25" s="108"/>
      <c r="FR25" s="108"/>
      <c r="FS25" s="108"/>
      <c r="FT25" s="108"/>
      <c r="FU25" s="108"/>
      <c r="FV25" s="108"/>
      <c r="FW25" s="108"/>
      <c r="FX25" s="108"/>
      <c r="FY25" s="108"/>
      <c r="FZ25" s="108"/>
      <c r="GA25" s="108"/>
      <c r="GB25" s="108"/>
      <c r="GC25" s="108"/>
      <c r="GD25" s="108"/>
      <c r="GE25" s="109"/>
    </row>
    <row r="26" spans="1:187" ht="24.75" customHeight="1" x14ac:dyDescent="0.35">
      <c r="A26" s="224" t="s">
        <v>207</v>
      </c>
      <c r="B26" s="224">
        <v>2</v>
      </c>
      <c r="C26" s="206">
        <f>SUM(H26:GE26)</f>
        <v>5</v>
      </c>
      <c r="D26" s="107">
        <v>1</v>
      </c>
      <c r="E26" s="107">
        <f t="shared" ref="E26" si="5">D26*C26</f>
        <v>5</v>
      </c>
      <c r="F26" s="107">
        <f t="shared" si="4"/>
        <v>10</v>
      </c>
      <c r="G26" s="107"/>
      <c r="U26" s="1"/>
      <c r="AC26" s="293"/>
      <c r="AJ26" s="293"/>
      <c r="AK26" s="109"/>
      <c r="AQ26" s="293"/>
      <c r="BA26" s="108"/>
      <c r="BB26" s="108"/>
      <c r="BC26" s="108"/>
      <c r="BD26" s="108"/>
      <c r="BE26" s="108"/>
      <c r="BF26" s="108"/>
      <c r="BG26" s="108"/>
      <c r="BH26" s="108"/>
      <c r="BI26" s="108"/>
      <c r="BJ26" s="108"/>
      <c r="BK26" s="108"/>
      <c r="BL26" s="293"/>
      <c r="BM26" s="108"/>
      <c r="BN26" s="108"/>
      <c r="BO26" s="109"/>
      <c r="BP26" s="108"/>
      <c r="BQ26" s="108"/>
      <c r="BR26" s="108"/>
      <c r="BS26" s="108"/>
      <c r="BT26" s="108"/>
      <c r="BU26" s="108"/>
      <c r="BV26" s="108"/>
      <c r="BW26" s="108"/>
      <c r="BX26" s="108"/>
      <c r="BY26" s="108"/>
      <c r="BZ26" s="108"/>
      <c r="CA26" s="108"/>
      <c r="CB26" s="108"/>
      <c r="CC26" s="108"/>
      <c r="CD26" s="108"/>
      <c r="CE26" s="108"/>
      <c r="CF26" s="108"/>
      <c r="CG26" s="108"/>
      <c r="CH26" s="108"/>
      <c r="CI26" s="108"/>
      <c r="CJ26" s="108"/>
      <c r="CK26" s="108"/>
      <c r="CL26" s="108"/>
      <c r="CM26" s="108"/>
      <c r="CN26" s="108"/>
      <c r="CO26" s="108"/>
      <c r="CP26" s="108"/>
      <c r="CQ26" s="108"/>
      <c r="CR26" s="108"/>
      <c r="CS26" s="109"/>
      <c r="CT26" s="108">
        <v>1</v>
      </c>
      <c r="CU26" s="108">
        <v>1</v>
      </c>
      <c r="CV26" s="108">
        <v>1</v>
      </c>
      <c r="CW26" s="108">
        <v>1</v>
      </c>
      <c r="CX26" s="108">
        <v>1</v>
      </c>
      <c r="CY26" s="108"/>
      <c r="CZ26" s="108"/>
      <c r="DA26" s="108"/>
      <c r="DB26" s="108"/>
      <c r="DC26" s="108"/>
      <c r="DD26" s="108"/>
      <c r="DE26" s="108"/>
      <c r="DF26" s="108"/>
      <c r="DG26" s="108"/>
      <c r="DH26" s="108"/>
      <c r="DI26" s="108"/>
      <c r="DJ26" s="108"/>
      <c r="DK26" s="108"/>
      <c r="DL26" s="108"/>
      <c r="DM26" s="108"/>
      <c r="DN26" s="108"/>
      <c r="DO26" s="108"/>
      <c r="DP26" s="108"/>
      <c r="DQ26" s="108"/>
      <c r="DR26" s="108"/>
      <c r="DS26" s="108"/>
      <c r="DT26" s="108"/>
      <c r="DU26" s="108"/>
      <c r="DV26" s="108"/>
      <c r="DW26" s="109"/>
      <c r="DX26" s="108"/>
      <c r="DY26" s="108"/>
      <c r="DZ26" s="108"/>
      <c r="EA26" s="108"/>
      <c r="EB26" s="108"/>
      <c r="EC26" s="108"/>
      <c r="ED26" s="108"/>
      <c r="EE26" s="108"/>
      <c r="EF26" s="108"/>
      <c r="EG26" s="108"/>
      <c r="EH26" s="108"/>
      <c r="EI26" s="108"/>
      <c r="EJ26" s="108"/>
      <c r="EK26" s="108"/>
      <c r="EL26" s="108"/>
      <c r="EM26" s="108"/>
      <c r="EN26" s="108"/>
      <c r="EO26" s="108"/>
      <c r="EP26" s="108"/>
      <c r="EQ26" s="108"/>
      <c r="ER26" s="108"/>
      <c r="ES26" s="108"/>
      <c r="ET26" s="108"/>
      <c r="EU26" s="108"/>
      <c r="EV26" s="108"/>
      <c r="EW26" s="108"/>
      <c r="EX26" s="108"/>
      <c r="EY26" s="108"/>
      <c r="EZ26" s="108"/>
      <c r="FA26" s="109"/>
      <c r="FB26" s="108"/>
      <c r="FC26" s="108"/>
      <c r="FD26" s="108"/>
      <c r="FE26" s="108"/>
      <c r="FF26" s="108"/>
      <c r="FG26" s="108"/>
      <c r="FH26" s="108"/>
      <c r="FI26" s="108"/>
      <c r="FJ26" s="108"/>
      <c r="FK26" s="108"/>
      <c r="FL26" s="108"/>
      <c r="FM26" s="108"/>
      <c r="FN26" s="108"/>
      <c r="FO26" s="108"/>
      <c r="FP26" s="108"/>
      <c r="FQ26" s="108"/>
      <c r="FR26" s="108"/>
      <c r="FS26" s="108"/>
      <c r="FT26" s="108"/>
      <c r="FU26" s="108"/>
      <c r="FV26" s="108"/>
      <c r="FW26" s="108"/>
      <c r="FX26" s="108"/>
      <c r="FY26" s="108"/>
      <c r="FZ26" s="108"/>
      <c r="GA26" s="108"/>
      <c r="GB26" s="108"/>
      <c r="GC26" s="108"/>
      <c r="GD26" s="108"/>
      <c r="GE26" s="109"/>
    </row>
    <row r="27" spans="1:187" ht="27.75" customHeight="1" x14ac:dyDescent="0.35">
      <c r="A27" s="297" t="s">
        <v>216</v>
      </c>
      <c r="B27" s="206">
        <v>4</v>
      </c>
      <c r="C27" s="206">
        <f>SUM(H27:GE27)</f>
        <v>4</v>
      </c>
      <c r="D27" s="107">
        <v>1</v>
      </c>
      <c r="E27" s="107">
        <f t="shared" si="3"/>
        <v>4</v>
      </c>
      <c r="F27" s="107">
        <f t="shared" si="4"/>
        <v>16</v>
      </c>
      <c r="G27" s="107"/>
      <c r="AC27" s="293"/>
      <c r="AJ27" s="293"/>
      <c r="AK27" s="109"/>
      <c r="AQ27" s="293"/>
      <c r="BA27" s="108"/>
      <c r="BB27" s="108"/>
      <c r="BC27" s="108"/>
      <c r="BD27" s="108"/>
      <c r="BE27" s="108"/>
      <c r="BF27" s="108"/>
      <c r="BG27" s="108"/>
      <c r="BH27" s="108"/>
      <c r="BI27" s="108"/>
      <c r="BJ27" s="108"/>
      <c r="BK27" s="108"/>
      <c r="BL27" s="293"/>
      <c r="BM27" s="108"/>
      <c r="BN27" s="108"/>
      <c r="BO27" s="109"/>
      <c r="BP27" s="108"/>
      <c r="BQ27" s="108"/>
      <c r="BR27" s="108"/>
      <c r="BS27" s="108"/>
      <c r="BT27" s="108"/>
      <c r="BU27" s="108"/>
      <c r="BV27" s="108"/>
      <c r="BW27" s="108"/>
      <c r="BX27" s="108"/>
      <c r="BY27" s="108"/>
      <c r="BZ27" s="108"/>
      <c r="CA27" s="108"/>
      <c r="CB27" s="108"/>
      <c r="CC27" s="108"/>
      <c r="CD27" s="108"/>
      <c r="CE27" s="108"/>
      <c r="CF27" s="108"/>
      <c r="CG27" s="108"/>
      <c r="CH27" s="108"/>
      <c r="CI27" s="108"/>
      <c r="CJ27" s="108"/>
      <c r="CK27" s="108"/>
      <c r="CL27" s="108"/>
      <c r="CM27" s="108"/>
      <c r="CN27" s="108"/>
      <c r="CO27" s="108"/>
      <c r="CP27" s="108"/>
      <c r="CQ27" s="108"/>
      <c r="CR27" s="108"/>
      <c r="CS27" s="109"/>
      <c r="CT27" s="108"/>
      <c r="CU27" s="108"/>
      <c r="CV27" s="108"/>
      <c r="CW27" s="108"/>
      <c r="CX27" s="108"/>
      <c r="CY27" s="108"/>
      <c r="CZ27" s="108"/>
      <c r="DA27" s="108"/>
      <c r="DB27" s="108"/>
      <c r="DC27" s="108"/>
      <c r="DD27" s="108"/>
      <c r="DE27" s="108"/>
      <c r="DF27" s="108"/>
      <c r="DG27" s="108"/>
      <c r="DH27" s="108"/>
      <c r="DI27" s="108"/>
      <c r="DJ27" s="108"/>
      <c r="DK27" s="108"/>
      <c r="DL27" s="108"/>
      <c r="DM27" s="108"/>
      <c r="DN27" s="108"/>
      <c r="DO27" s="108"/>
      <c r="DP27" s="108"/>
      <c r="DQ27" s="108"/>
      <c r="DR27" s="108"/>
      <c r="DS27" s="108"/>
      <c r="DT27" s="108"/>
      <c r="DU27" s="108"/>
      <c r="DV27" s="108"/>
      <c r="DW27" s="109"/>
      <c r="DX27" s="108"/>
      <c r="DY27" s="108"/>
      <c r="DZ27" s="108"/>
      <c r="EA27" s="108"/>
      <c r="EB27" s="108"/>
      <c r="EC27" s="108"/>
      <c r="ED27" s="108"/>
      <c r="EE27" s="108"/>
      <c r="EF27" s="108"/>
      <c r="EG27" s="108"/>
      <c r="EH27" s="108"/>
      <c r="EI27" s="108"/>
      <c r="EJ27" s="108"/>
      <c r="EK27" s="108"/>
      <c r="EL27" s="108"/>
      <c r="EM27" s="108"/>
      <c r="EN27" s="108"/>
      <c r="EO27" s="108"/>
      <c r="EP27" s="108"/>
      <c r="EQ27" s="108"/>
      <c r="ER27" s="108"/>
      <c r="ES27" s="108"/>
      <c r="ET27" s="108"/>
      <c r="EU27" s="108"/>
      <c r="EV27" s="108"/>
      <c r="EW27" s="108"/>
      <c r="EX27" s="108"/>
      <c r="EY27" s="108"/>
      <c r="EZ27" s="108"/>
      <c r="FA27" s="109"/>
      <c r="FB27" s="108"/>
      <c r="FC27" s="108"/>
      <c r="FD27" s="108"/>
      <c r="FE27" s="108"/>
      <c r="FF27" s="108"/>
      <c r="FG27" s="108"/>
      <c r="FH27" s="108"/>
      <c r="FI27" s="108"/>
      <c r="FJ27" s="108"/>
      <c r="FK27" s="108"/>
      <c r="FL27" s="108"/>
      <c r="FM27" s="108"/>
      <c r="FN27" s="108"/>
      <c r="FO27" s="108"/>
      <c r="FP27" s="108"/>
      <c r="FQ27" s="108"/>
      <c r="FR27" s="108"/>
      <c r="FS27" s="108"/>
      <c r="FT27" s="108"/>
      <c r="FU27" s="108"/>
      <c r="FV27" s="108"/>
      <c r="FW27" s="108"/>
      <c r="FX27" s="108"/>
      <c r="FY27" s="108"/>
      <c r="FZ27" s="108"/>
      <c r="GA27" s="108"/>
      <c r="GB27" s="108">
        <v>1</v>
      </c>
      <c r="GC27" s="108">
        <v>1</v>
      </c>
      <c r="GD27" s="108">
        <v>1</v>
      </c>
      <c r="GE27" s="109">
        <v>1</v>
      </c>
    </row>
    <row r="28" spans="1:187" ht="27.75" customHeight="1" x14ac:dyDescent="0.35">
      <c r="A28" s="106"/>
      <c r="B28" s="206"/>
      <c r="C28" s="206"/>
      <c r="D28" s="107"/>
      <c r="E28" s="107"/>
      <c r="F28" s="107"/>
      <c r="G28" s="107"/>
      <c r="AK28" s="109"/>
      <c r="BA28" s="108"/>
      <c r="BB28" s="108"/>
      <c r="BC28" s="108"/>
      <c r="BD28" s="108"/>
      <c r="BE28" s="108"/>
      <c r="BF28" s="108"/>
      <c r="BG28" s="108"/>
      <c r="BH28" s="108"/>
      <c r="BI28" s="108"/>
      <c r="BJ28" s="108"/>
      <c r="BK28" s="108"/>
      <c r="BL28" s="108"/>
      <c r="BM28" s="108"/>
      <c r="BN28" s="108"/>
      <c r="BO28" s="109"/>
      <c r="BP28" s="108"/>
      <c r="BQ28" s="108"/>
      <c r="BR28" s="108"/>
      <c r="BS28" s="108"/>
      <c r="BT28" s="108"/>
      <c r="BU28" s="108"/>
      <c r="BV28" s="108"/>
      <c r="BW28" s="108"/>
      <c r="BX28" s="108"/>
      <c r="BY28" s="108"/>
      <c r="BZ28" s="108"/>
      <c r="CA28" s="108"/>
      <c r="CB28" s="108"/>
      <c r="CC28" s="108"/>
      <c r="CD28" s="108"/>
      <c r="CE28" s="108"/>
      <c r="CF28" s="108"/>
      <c r="CG28" s="108"/>
      <c r="CH28" s="108"/>
      <c r="CI28" s="108"/>
      <c r="CJ28" s="108"/>
      <c r="CK28" s="108"/>
      <c r="CL28" s="108"/>
      <c r="CM28" s="108"/>
      <c r="CN28" s="108"/>
      <c r="CO28" s="108"/>
      <c r="CP28" s="108"/>
      <c r="CQ28" s="108"/>
      <c r="CR28" s="108"/>
      <c r="CS28" s="109"/>
      <c r="CT28" s="108"/>
      <c r="CU28" s="108"/>
      <c r="CV28" s="108"/>
      <c r="CW28" s="108"/>
      <c r="CX28" s="108"/>
      <c r="CY28" s="108"/>
      <c r="CZ28" s="108"/>
      <c r="DA28" s="108"/>
      <c r="DB28" s="108"/>
      <c r="DC28" s="108"/>
      <c r="DD28" s="108"/>
      <c r="DE28" s="108"/>
      <c r="DF28" s="108"/>
      <c r="DG28" s="108"/>
      <c r="DH28" s="108"/>
      <c r="DI28" s="108"/>
      <c r="DJ28" s="108"/>
      <c r="DK28" s="108"/>
      <c r="DL28" s="108"/>
      <c r="DM28" s="108"/>
      <c r="DN28" s="108"/>
      <c r="DO28" s="108"/>
      <c r="DP28" s="108"/>
      <c r="DQ28" s="108"/>
      <c r="DR28" s="108"/>
      <c r="DS28" s="108"/>
      <c r="DT28" s="108"/>
      <c r="DU28" s="108"/>
      <c r="DV28" s="108"/>
      <c r="DW28" s="109"/>
      <c r="DX28" s="108"/>
      <c r="DY28" s="108"/>
      <c r="DZ28" s="108"/>
      <c r="EA28" s="108"/>
      <c r="EB28" s="108"/>
      <c r="EC28" s="108"/>
      <c r="ED28" s="108"/>
      <c r="EE28" s="108"/>
      <c r="EF28" s="108"/>
      <c r="EG28" s="108"/>
      <c r="EH28" s="108"/>
      <c r="EI28" s="108"/>
      <c r="EJ28" s="108"/>
      <c r="EK28" s="108"/>
      <c r="EL28" s="108"/>
      <c r="EM28" s="108"/>
      <c r="EN28" s="108"/>
      <c r="EO28" s="108"/>
      <c r="EP28" s="108"/>
      <c r="EQ28" s="108"/>
      <c r="ER28" s="108"/>
      <c r="ES28" s="108"/>
      <c r="ET28" s="108"/>
      <c r="EU28" s="108"/>
      <c r="EV28" s="108"/>
      <c r="EW28" s="108"/>
      <c r="EX28" s="108"/>
      <c r="EY28" s="108"/>
      <c r="EZ28" s="108"/>
      <c r="FA28" s="109"/>
      <c r="FB28" s="108"/>
      <c r="FC28" s="108"/>
      <c r="FD28" s="108"/>
      <c r="FE28" s="108"/>
      <c r="FF28" s="108"/>
      <c r="FG28" s="108"/>
      <c r="FH28" s="108"/>
      <c r="FI28" s="108"/>
      <c r="FJ28" s="108"/>
      <c r="FK28" s="108"/>
      <c r="FL28" s="108"/>
      <c r="FM28" s="108"/>
      <c r="FN28" s="108"/>
      <c r="FO28" s="108"/>
      <c r="FP28" s="108"/>
      <c r="FQ28" s="108"/>
      <c r="FR28" s="108"/>
      <c r="FS28" s="108"/>
      <c r="FT28" s="108"/>
      <c r="FU28" s="108"/>
      <c r="FV28" s="108"/>
      <c r="FW28" s="108"/>
      <c r="FX28" s="108"/>
      <c r="FY28" s="108"/>
      <c r="FZ28" s="108"/>
      <c r="GA28" s="108"/>
      <c r="GB28" s="108"/>
      <c r="GC28" s="108"/>
      <c r="GD28" s="108"/>
      <c r="GE28" s="109"/>
    </row>
    <row r="29" spans="1:187" x14ac:dyDescent="0.35">
      <c r="A29" s="119" t="s">
        <v>31</v>
      </c>
      <c r="B29" s="117"/>
      <c r="C29" s="203">
        <f>SUM(C19:C28)</f>
        <v>103</v>
      </c>
      <c r="D29" s="203"/>
      <c r="E29" s="203">
        <f>SUM(E19:E28)</f>
        <v>181</v>
      </c>
      <c r="F29" s="203">
        <f>SUM(F19:F28)</f>
        <v>412</v>
      </c>
      <c r="G29" s="203"/>
      <c r="AK29" s="109"/>
      <c r="BA29" s="108"/>
      <c r="BB29" s="108"/>
      <c r="BC29" s="108"/>
      <c r="BD29" s="108"/>
      <c r="BE29" s="108"/>
      <c r="BF29" s="108"/>
      <c r="BG29" s="108"/>
      <c r="BH29" s="108"/>
      <c r="BI29" s="108"/>
      <c r="BJ29" s="108"/>
      <c r="BK29" s="108"/>
      <c r="BL29" s="108"/>
      <c r="BM29" s="108"/>
      <c r="BN29" s="108"/>
      <c r="BO29" s="109"/>
      <c r="BP29" s="108"/>
      <c r="BQ29" s="108"/>
      <c r="BR29" s="108"/>
      <c r="BS29" s="108"/>
      <c r="BT29" s="108"/>
      <c r="BU29" s="108"/>
      <c r="BV29" s="108"/>
      <c r="BW29" s="108"/>
      <c r="BX29" s="108"/>
      <c r="BY29" s="108"/>
      <c r="BZ29" s="108"/>
      <c r="CA29" s="108"/>
      <c r="CB29" s="108"/>
      <c r="CC29" s="108"/>
      <c r="CD29" s="108"/>
      <c r="CE29" s="108"/>
      <c r="CF29" s="108"/>
      <c r="CG29" s="108"/>
      <c r="CH29" s="108"/>
      <c r="CI29" s="108"/>
      <c r="CJ29" s="108"/>
      <c r="CK29" s="108"/>
      <c r="CL29" s="108"/>
      <c r="CM29" s="108"/>
      <c r="CN29" s="108"/>
      <c r="CO29" s="108"/>
      <c r="CP29" s="108"/>
      <c r="CQ29" s="108"/>
      <c r="CR29" s="108"/>
      <c r="CS29" s="109"/>
      <c r="CT29" s="108"/>
      <c r="CU29" s="108"/>
      <c r="CV29" s="108"/>
      <c r="CW29" s="108"/>
      <c r="CX29" s="108"/>
      <c r="CY29" s="108"/>
      <c r="CZ29" s="108"/>
      <c r="DA29" s="108"/>
      <c r="DB29" s="108"/>
      <c r="DC29" s="108"/>
      <c r="DD29" s="108"/>
      <c r="DE29" s="108"/>
      <c r="DF29" s="108"/>
      <c r="DG29" s="108"/>
      <c r="DH29" s="108"/>
      <c r="DI29" s="108"/>
      <c r="DJ29" s="108"/>
      <c r="DK29" s="108"/>
      <c r="DL29" s="108"/>
      <c r="DM29" s="108"/>
      <c r="DN29" s="108"/>
      <c r="DO29" s="108"/>
      <c r="DP29" s="108"/>
      <c r="DQ29" s="108"/>
      <c r="DR29" s="108"/>
      <c r="DS29" s="108"/>
      <c r="DT29" s="108"/>
      <c r="DU29" s="108"/>
      <c r="DV29" s="108"/>
      <c r="DW29" s="109"/>
      <c r="DX29" s="108"/>
      <c r="DY29" s="108"/>
      <c r="DZ29" s="108"/>
      <c r="EA29" s="108"/>
      <c r="EB29" s="108"/>
      <c r="EC29" s="108"/>
      <c r="ED29" s="108"/>
      <c r="EE29" s="108"/>
      <c r="EF29" s="108"/>
      <c r="EG29" s="108"/>
      <c r="EH29" s="108"/>
      <c r="EI29" s="108"/>
      <c r="EJ29" s="108"/>
      <c r="EK29" s="108"/>
      <c r="EL29" s="108"/>
      <c r="EM29" s="108"/>
      <c r="EN29" s="108"/>
      <c r="EO29" s="108"/>
      <c r="EP29" s="108"/>
      <c r="EQ29" s="108"/>
      <c r="ER29" s="108"/>
      <c r="ES29" s="108"/>
      <c r="ET29" s="108"/>
      <c r="EU29" s="108"/>
      <c r="EV29" s="108"/>
      <c r="EW29" s="108"/>
      <c r="EX29" s="108"/>
      <c r="EY29" s="108"/>
      <c r="EZ29" s="108"/>
      <c r="FA29" s="109"/>
      <c r="FB29" s="108"/>
      <c r="FC29" s="108"/>
      <c r="FD29" s="108"/>
      <c r="FE29" s="108"/>
      <c r="FF29" s="108"/>
      <c r="FG29" s="108"/>
      <c r="FH29" s="108"/>
      <c r="FI29" s="108"/>
      <c r="FJ29" s="108"/>
      <c r="FK29" s="108"/>
      <c r="FL29" s="108"/>
      <c r="FM29" s="108"/>
      <c r="FN29" s="108"/>
      <c r="FO29" s="108"/>
      <c r="FP29" s="108"/>
      <c r="FQ29" s="108"/>
      <c r="FR29" s="108"/>
      <c r="FS29" s="108"/>
      <c r="FT29" s="108"/>
      <c r="FU29" s="108"/>
      <c r="FV29" s="108"/>
      <c r="FW29" s="108"/>
      <c r="FX29" s="108"/>
      <c r="FY29" s="108"/>
      <c r="FZ29" s="108"/>
      <c r="GA29" s="108"/>
      <c r="GB29" s="108"/>
      <c r="GC29" s="108"/>
      <c r="GD29" s="108"/>
      <c r="GE29" s="109"/>
    </row>
    <row r="30" spans="1:187" ht="13.9" thickBot="1" x14ac:dyDescent="0.4">
      <c r="A30" s="115" t="s">
        <v>74</v>
      </c>
      <c r="B30" s="111"/>
      <c r="C30" s="111">
        <f>C29</f>
        <v>103</v>
      </c>
      <c r="D30" s="111"/>
      <c r="E30" s="111">
        <f>E29</f>
        <v>181</v>
      </c>
      <c r="F30" s="111">
        <f>F29</f>
        <v>412</v>
      </c>
      <c r="G30" s="111"/>
      <c r="H30" s="112"/>
      <c r="I30" s="112"/>
      <c r="J30" s="112"/>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3"/>
      <c r="AL30" s="1"/>
      <c r="AM30" s="112"/>
      <c r="AN30" s="112"/>
      <c r="AO30" s="112"/>
      <c r="AP30" s="112"/>
      <c r="AQ30" s="112"/>
      <c r="AR30" s="112"/>
      <c r="AS30" s="112"/>
      <c r="AT30" s="112"/>
      <c r="AU30" s="112"/>
      <c r="AV30" s="112"/>
      <c r="AW30" s="112"/>
      <c r="AX30" s="112"/>
      <c r="AY30" s="112"/>
      <c r="AZ30" s="112"/>
      <c r="BA30" s="112"/>
      <c r="BB30" s="112"/>
      <c r="BC30" s="112"/>
      <c r="BD30" s="112"/>
      <c r="BE30" s="112"/>
      <c r="BF30" s="112"/>
      <c r="BG30" s="112"/>
      <c r="BH30" s="112"/>
      <c r="BI30" s="112"/>
      <c r="BJ30" s="112"/>
      <c r="BK30" s="112"/>
      <c r="BL30" s="112"/>
      <c r="BM30" s="112"/>
      <c r="BN30" s="112"/>
      <c r="BO30" s="113"/>
      <c r="BQ30" s="112"/>
      <c r="BR30" s="112"/>
      <c r="BS30" s="112"/>
      <c r="BT30" s="112"/>
      <c r="BU30" s="112"/>
      <c r="BV30" s="112"/>
      <c r="BW30" s="112"/>
      <c r="BX30" s="112"/>
      <c r="BY30" s="112"/>
      <c r="BZ30" s="112"/>
      <c r="CA30" s="112"/>
      <c r="CB30" s="112"/>
      <c r="CC30" s="112"/>
      <c r="CD30" s="112"/>
      <c r="CE30" s="112"/>
      <c r="CF30" s="112"/>
      <c r="CG30" s="112"/>
      <c r="CH30" s="112"/>
      <c r="CI30" s="112"/>
      <c r="CJ30" s="112"/>
      <c r="CK30" s="112"/>
      <c r="CL30" s="112"/>
      <c r="CM30" s="112"/>
      <c r="CN30" s="112"/>
      <c r="CO30" s="112"/>
      <c r="CP30" s="112"/>
      <c r="CQ30" s="112"/>
      <c r="CR30" s="112"/>
      <c r="CS30" s="113"/>
      <c r="CU30" s="112"/>
      <c r="CV30" s="112"/>
      <c r="CW30" s="112"/>
      <c r="CX30" s="112"/>
      <c r="CY30" s="112"/>
      <c r="CZ30" s="112"/>
      <c r="DA30" s="112"/>
      <c r="DB30" s="112"/>
      <c r="DC30" s="112"/>
      <c r="DD30" s="112"/>
      <c r="DE30" s="112"/>
      <c r="DF30" s="112"/>
      <c r="DG30" s="112"/>
      <c r="DH30" s="112"/>
      <c r="DI30" s="112"/>
      <c r="DJ30" s="112"/>
      <c r="DK30" s="112"/>
      <c r="DL30" s="112"/>
      <c r="DM30" s="112"/>
      <c r="DN30" s="112"/>
      <c r="DO30" s="112"/>
      <c r="DP30" s="112"/>
      <c r="DQ30" s="112"/>
      <c r="DR30" s="112"/>
      <c r="DS30" s="112"/>
      <c r="DT30" s="112"/>
      <c r="DU30" s="112"/>
      <c r="DV30" s="112"/>
      <c r="DW30" s="113"/>
      <c r="DY30" s="112"/>
      <c r="DZ30" s="112"/>
      <c r="EA30" s="112"/>
      <c r="EB30" s="112"/>
      <c r="EC30" s="112"/>
      <c r="ED30" s="112"/>
      <c r="EE30" s="112"/>
      <c r="EF30" s="112"/>
      <c r="EG30" s="112"/>
      <c r="EH30" s="112"/>
      <c r="EI30" s="112"/>
      <c r="EJ30" s="112"/>
      <c r="EK30" s="112"/>
      <c r="EL30" s="112"/>
      <c r="EM30" s="112"/>
      <c r="EN30" s="112"/>
      <c r="EO30" s="112"/>
      <c r="EP30" s="112"/>
      <c r="EQ30" s="112"/>
      <c r="ER30" s="112"/>
      <c r="ES30" s="112"/>
      <c r="ET30" s="112"/>
      <c r="EU30" s="112"/>
      <c r="EV30" s="112"/>
      <c r="EW30" s="112"/>
      <c r="EX30" s="112"/>
      <c r="EY30" s="112"/>
      <c r="EZ30" s="112"/>
      <c r="FA30" s="113"/>
      <c r="FC30" s="112"/>
      <c r="FD30" s="112"/>
      <c r="FE30" s="112"/>
      <c r="FF30" s="112"/>
      <c r="FG30" s="112"/>
      <c r="FH30" s="112"/>
      <c r="FI30" s="112"/>
      <c r="FJ30" s="112"/>
      <c r="FK30" s="112"/>
      <c r="FL30" s="112"/>
      <c r="FM30" s="112"/>
      <c r="FN30" s="112"/>
      <c r="FO30" s="112"/>
      <c r="FP30" s="112"/>
      <c r="FQ30" s="112"/>
      <c r="FR30" s="112"/>
      <c r="FS30" s="112"/>
      <c r="FT30" s="112"/>
      <c r="FU30" s="112"/>
      <c r="FV30" s="112"/>
      <c r="FW30" s="112"/>
      <c r="FX30" s="112"/>
      <c r="FY30" s="112"/>
      <c r="FZ30" s="112"/>
      <c r="GA30" s="112"/>
      <c r="GB30" s="112"/>
      <c r="GC30" s="112"/>
      <c r="GD30" s="112"/>
      <c r="GE30" s="113"/>
    </row>
    <row r="31" spans="1:187" x14ac:dyDescent="0.35">
      <c r="H31" s="729" t="s">
        <v>555</v>
      </c>
      <c r="I31" s="729"/>
      <c r="J31" s="729"/>
      <c r="K31" s="729"/>
      <c r="L31" s="729"/>
      <c r="M31" s="729"/>
      <c r="N31" s="729">
        <f>SUM(H19:AK19)*$D$19+SUM(H20:AK20)*D20+SUM(H22:AK22)*$D$22+SUM(H23:AK23)*$D$23+SUM(H24:AK24)*$D$24+SUM(H27:AK27)*$D$27+SUM(H28:AK28)*$D$28</f>
        <v>32</v>
      </c>
      <c r="O31" s="729"/>
      <c r="P31" s="729"/>
      <c r="Q31" s="729"/>
      <c r="R31" s="728" t="s">
        <v>135</v>
      </c>
      <c r="S31" s="728"/>
      <c r="T31" s="728"/>
      <c r="U31" s="728"/>
      <c r="V31" s="728"/>
      <c r="W31" s="729">
        <f>SUM(H19:AK19)*$B$19+SUM(H20:AK20)*$B$20+SUM(H22:AK22)*$B$22+SUM(H23:AK23)*$B$23+SUM(H24:AK24)*$B$24+SUM(H27:AK27)*$B$27+SUM(H28:AK28)*$B$28</f>
        <v>106</v>
      </c>
      <c r="X31" s="729"/>
      <c r="Y31" s="729"/>
      <c r="Z31" s="729"/>
      <c r="AL31" s="729" t="s">
        <v>556</v>
      </c>
      <c r="AM31" s="729"/>
      <c r="AN31" s="729"/>
      <c r="AO31" s="729"/>
      <c r="AP31" s="729"/>
      <c r="AQ31" s="729"/>
      <c r="AR31" s="729">
        <f>SUM(AL19:BO19)*$D$19+SUM(AL20:BO20)*$D$20+SUM(AL22:BO22)*$D$22+SUM(AL23:BO23)*$D$23+SUM(AL24:BO24)*$D$24+SUM(AL27:BO27)*$D$27+SUM(AL28:BO28)*$D$28</f>
        <v>66</v>
      </c>
      <c r="AS31" s="729"/>
      <c r="AT31" s="729"/>
      <c r="AU31" s="729"/>
      <c r="AV31" s="728" t="s">
        <v>108</v>
      </c>
      <c r="AW31" s="728"/>
      <c r="AX31" s="728"/>
      <c r="AY31" s="728"/>
      <c r="AZ31" s="728"/>
      <c r="BA31" s="729">
        <f>SUM(AL19:BO19)*$B$19+SUM(AL20:BO20)*$B$20+SUM(AL22:BO22)*$B$22+SUM(AL23:BO23)*$B$23+SUM(AL24:BO24)*$B$24+SUM(AL27:BO27)*$B$27+SUM(AL28:BO28)*$B$28</f>
        <v>132</v>
      </c>
      <c r="BB31" s="729"/>
      <c r="BC31" s="729"/>
      <c r="BD31" s="729"/>
      <c r="BE31" s="108"/>
      <c r="BF31" s="108"/>
      <c r="BG31" s="108"/>
      <c r="BH31" s="108"/>
      <c r="BI31" s="108"/>
      <c r="BJ31" s="108"/>
      <c r="BK31" s="108"/>
      <c r="BL31" s="108"/>
      <c r="BM31" s="108"/>
      <c r="BN31" s="108"/>
      <c r="BO31" s="108"/>
      <c r="BP31" s="729" t="s">
        <v>557</v>
      </c>
      <c r="BQ31" s="729"/>
      <c r="BR31" s="729"/>
      <c r="BS31" s="729"/>
      <c r="BT31" s="729"/>
      <c r="BU31" s="729"/>
      <c r="BV31" s="729">
        <f>SUM(BP19:CS19)*$D$19+SUM(BP20:CS20)*$D$20+SUM(BP22:CS22)*$D$22+SUM(BP23:CR23)*$D$23+SUM(BP24:CS24)*$D$24+SUM(BP27:CS27)*$D$27+SUM(BP28:CS28)*$D$28</f>
        <v>74</v>
      </c>
      <c r="BW31" s="729"/>
      <c r="BX31" s="729"/>
      <c r="BY31" s="729"/>
      <c r="BZ31" s="728" t="s">
        <v>109</v>
      </c>
      <c r="CA31" s="728"/>
      <c r="CB31" s="728"/>
      <c r="CC31" s="728"/>
      <c r="CD31" s="728"/>
      <c r="CE31" s="729">
        <f>SUM(BP19:CS19)*$B$19+SUM(BP20:CS20)*$B$20+SUM(BP22:CS22)*$B$22+SUM(BP23:CR23)*$B$23+SUM(BP24:CS24)*$B$24+SUM(BP27:CS27)*$B$27+SUM(BP28:CS28)*$B$28</f>
        <v>148</v>
      </c>
      <c r="CF31" s="729"/>
      <c r="CG31" s="729"/>
      <c r="CH31" s="729"/>
      <c r="CI31" s="108"/>
      <c r="CJ31" s="108"/>
      <c r="CK31" s="108"/>
      <c r="CL31" s="108"/>
      <c r="CM31" s="108"/>
      <c r="CN31" s="108"/>
      <c r="CO31" s="108"/>
      <c r="CP31" s="108"/>
      <c r="CQ31" s="108"/>
      <c r="CR31" s="108"/>
      <c r="CS31" s="108"/>
      <c r="CT31" s="729" t="s">
        <v>558</v>
      </c>
      <c r="CU31" s="729"/>
      <c r="CV31" s="729"/>
      <c r="CW31" s="729"/>
      <c r="CX31" s="729"/>
      <c r="CY31" s="729"/>
      <c r="CZ31" s="729">
        <f>SUM(CT19:DW19)*$D$19+SUM(CT20:DW20)*$D$20+SUM(CT22:DW22)*$D$22+SUM(CT23:DW23)*$D$23+SUM(CT24:DW24)*$D$24+SUM(CT26:DW26)*$D$26+SUM(CT27:DW27)*$D$27</f>
        <v>5</v>
      </c>
      <c r="DA31" s="729"/>
      <c r="DB31" s="729"/>
      <c r="DC31" s="729"/>
      <c r="DD31" s="728" t="s">
        <v>110</v>
      </c>
      <c r="DE31" s="728"/>
      <c r="DF31" s="728"/>
      <c r="DG31" s="728"/>
      <c r="DH31" s="728"/>
      <c r="DI31" s="729">
        <f>SUM(CT19:DW19)*$B$19+SUM(CT20:DW20)*$B$20+SUM(CT22:DW22)*$B$22+SUM(CT23:DW23)*$B$23+SUM(CT24:DW24)*$B$24+SUM(CT26:DW26)*$B$26+SUM(CT27:DW27)*$B$27</f>
        <v>10</v>
      </c>
      <c r="DJ31" s="729"/>
      <c r="DK31" s="729"/>
      <c r="DL31" s="729"/>
      <c r="DM31" s="108"/>
      <c r="DN31" s="108"/>
      <c r="DO31" s="108"/>
      <c r="DP31" s="108"/>
      <c r="DQ31" s="108"/>
      <c r="DR31" s="108"/>
      <c r="DS31" s="108"/>
      <c r="DT31" s="108"/>
      <c r="DU31" s="108"/>
      <c r="DV31" s="108"/>
      <c r="DW31" s="108"/>
      <c r="DX31" s="729" t="s">
        <v>559</v>
      </c>
      <c r="DY31" s="729"/>
      <c r="DZ31" s="729"/>
      <c r="EA31" s="729"/>
      <c r="EB31" s="729"/>
      <c r="EC31" s="729"/>
      <c r="ED31" s="729">
        <f>SUM(DX19:FA19)*$D$19+SUM(DX20:FA20)*$D$20+SUM(DX22:FA22)*$D$22+SUM(DX23:FA23)*$D$23+SUM(DX24:FA24)*$D$24+SUM(DX27:FA27)*$D$27+SUM(DX28:FA28)*$D$28</f>
        <v>0</v>
      </c>
      <c r="EE31" s="729"/>
      <c r="EF31" s="729"/>
      <c r="EG31" s="729"/>
      <c r="EH31" s="728" t="s">
        <v>111</v>
      </c>
      <c r="EI31" s="728"/>
      <c r="EJ31" s="728"/>
      <c r="EK31" s="728"/>
      <c r="EL31" s="728"/>
      <c r="EM31" s="729">
        <f>SUM(DX19:FA19)*$B$19+SUM(DX20:FA20)*$B$20+SUM(DX22:FA22)*$B$22+SUM(DX23:FA23)*$B$23+SUM(DX24:FA24)*$B$24+SUM(DX27:FA27)*$B$27+SUM(DX28:FA28)*$B$28</f>
        <v>0</v>
      </c>
      <c r="EN31" s="729"/>
      <c r="EO31" s="729"/>
      <c r="EP31" s="729"/>
      <c r="EQ31" s="108"/>
      <c r="ER31" s="108"/>
      <c r="ES31" s="108"/>
      <c r="ET31" s="108"/>
      <c r="EU31" s="108"/>
      <c r="EV31" s="108"/>
      <c r="EW31" s="108"/>
      <c r="EX31" s="108"/>
      <c r="EY31" s="108"/>
      <c r="EZ31" s="108"/>
      <c r="FA31" s="108"/>
      <c r="FB31" s="729" t="s">
        <v>560</v>
      </c>
      <c r="FC31" s="729"/>
      <c r="FD31" s="729"/>
      <c r="FE31" s="729"/>
      <c r="FF31" s="729"/>
      <c r="FG31" s="729"/>
      <c r="FH31" s="729">
        <f>SUM(FB19:GE19)*$D$19+SUM(FB20:GE20)*$D$20+SUM(FB22:GE22)*$D$22+SUM(FB23:GE23)*$D$23+SUM(FB24:GE24)*$D$24+SUM(FB27:GE27)*$D$27+SUM(FB28:GE28)*$D$28</f>
        <v>4</v>
      </c>
      <c r="FI31" s="729"/>
      <c r="FJ31" s="729"/>
      <c r="FK31" s="729"/>
      <c r="FL31" s="728" t="s">
        <v>112</v>
      </c>
      <c r="FM31" s="728"/>
      <c r="FN31" s="728"/>
      <c r="FO31" s="728"/>
      <c r="FP31" s="728"/>
      <c r="FQ31" s="729">
        <f>SUM(FB19:GE19)*$B$19+SUM(FB20:GE20)*$B$20+SUM(FB22:GE22)*$B$22+SUM(FB23:GE23)*$B$23+SUM(FB24:GE24)*$B$24+SUM(FB27:GE27)*$B$27+SUM(FB28:GE28)*$B$28</f>
        <v>16</v>
      </c>
      <c r="FR31" s="729"/>
      <c r="FS31" s="729"/>
      <c r="FT31" s="729"/>
      <c r="FU31" s="108"/>
      <c r="FV31" s="108"/>
      <c r="FW31" s="108"/>
      <c r="FX31" s="108"/>
      <c r="FY31" s="108"/>
      <c r="FZ31" s="108"/>
      <c r="GA31" s="108"/>
      <c r="GB31" s="108"/>
      <c r="GC31" s="108"/>
      <c r="GD31" s="108"/>
      <c r="GE31" s="108"/>
    </row>
    <row r="32" spans="1:187" x14ac:dyDescent="0.35">
      <c r="B32" s="65" t="s">
        <v>97</v>
      </c>
      <c r="C32" s="65" t="s">
        <v>99</v>
      </c>
      <c r="D32" s="295" t="s">
        <v>47</v>
      </c>
      <c r="E32" s="295" t="s">
        <v>48</v>
      </c>
      <c r="F32" s="295" t="s">
        <v>49</v>
      </c>
    </row>
    <row r="33" spans="1:127" x14ac:dyDescent="0.35">
      <c r="A33" s="204" t="s">
        <v>98</v>
      </c>
      <c r="B33" s="92">
        <f>B12</f>
        <v>568888.95555555564</v>
      </c>
      <c r="C33" s="1">
        <f>N31+AR31+BV31+CZ31+ED31+FH31</f>
        <v>181</v>
      </c>
      <c r="D33" s="92">
        <f>N31*B33</f>
        <v>18204446.577777781</v>
      </c>
      <c r="E33" s="92">
        <f>AR31*B33</f>
        <v>37546671.06666667</v>
      </c>
      <c r="F33" s="92">
        <f>BV31*B33</f>
        <v>42097782.711111121</v>
      </c>
    </row>
    <row r="34" spans="1:127" x14ac:dyDescent="0.35">
      <c r="A34" s="204" t="s">
        <v>96</v>
      </c>
      <c r="B34" s="92">
        <f>B13</f>
        <v>160000</v>
      </c>
      <c r="C34" s="1">
        <f>W31+BA31+CE31+DI31+EM31+FQ31</f>
        <v>412</v>
      </c>
      <c r="D34" s="92">
        <f>W31*B34</f>
        <v>16960000</v>
      </c>
      <c r="E34" s="92">
        <f>BA31*B34</f>
        <v>21120000</v>
      </c>
      <c r="F34" s="92">
        <f>B34*CE31</f>
        <v>23680000</v>
      </c>
    </row>
    <row r="35" spans="1:127" x14ac:dyDescent="0.35">
      <c r="A35" s="204"/>
      <c r="B35" s="92"/>
      <c r="D35" s="295" t="s">
        <v>50</v>
      </c>
      <c r="E35" s="295" t="s">
        <v>51</v>
      </c>
      <c r="F35" s="295" t="s">
        <v>52</v>
      </c>
      <c r="G35" s="295" t="s">
        <v>137</v>
      </c>
    </row>
    <row r="36" spans="1:127" x14ac:dyDescent="0.35">
      <c r="A36" s="204"/>
      <c r="B36" s="92"/>
      <c r="D36" s="92">
        <f>B33*CZ31</f>
        <v>2844444.777777778</v>
      </c>
      <c r="E36" s="92">
        <f>B33*ED31</f>
        <v>0</v>
      </c>
      <c r="F36" s="92">
        <f>B33*FH31</f>
        <v>2275555.8222222226</v>
      </c>
      <c r="G36" s="92">
        <f>SUM(D33:F33)+SUM(D36:F36)</f>
        <v>102968900.95555556</v>
      </c>
    </row>
    <row r="37" spans="1:127" x14ac:dyDescent="0.35">
      <c r="A37" s="204"/>
      <c r="B37" s="92"/>
      <c r="D37" s="92">
        <f>B34*DI31</f>
        <v>1600000</v>
      </c>
      <c r="E37" s="92">
        <f>B34*EM31</f>
        <v>0</v>
      </c>
      <c r="F37" s="92">
        <f>B34*FQ31</f>
        <v>2560000</v>
      </c>
      <c r="G37" s="92">
        <f>SUM(D34:F34)+SUM(D37:F37)</f>
        <v>65920000</v>
      </c>
    </row>
    <row r="38" spans="1:127" x14ac:dyDescent="0.35">
      <c r="A38" s="204"/>
      <c r="B38" s="92"/>
      <c r="D38" s="92"/>
      <c r="E38" s="92"/>
      <c r="F38" s="92"/>
      <c r="G38" s="92"/>
    </row>
    <row r="39" spans="1:127" x14ac:dyDescent="0.35">
      <c r="H39" s="734" t="s">
        <v>177</v>
      </c>
      <c r="I39" s="734"/>
      <c r="J39" s="734"/>
      <c r="K39" s="734"/>
      <c r="L39" s="734"/>
      <c r="M39" s="734"/>
      <c r="N39" s="734"/>
      <c r="O39" s="734"/>
      <c r="P39" s="734"/>
      <c r="Q39" s="734"/>
      <c r="R39" s="734"/>
      <c r="S39" s="734"/>
      <c r="T39" s="734"/>
      <c r="U39" s="734"/>
      <c r="V39" s="734"/>
      <c r="W39" s="734"/>
      <c r="X39" s="734"/>
      <c r="Y39" s="734"/>
      <c r="Z39" s="734"/>
      <c r="AA39" s="734"/>
      <c r="AB39" s="734"/>
      <c r="AC39" s="734"/>
      <c r="AD39" s="734"/>
      <c r="AE39" s="734"/>
      <c r="AF39" s="734"/>
      <c r="AG39" s="734"/>
      <c r="AH39" s="734"/>
      <c r="AI39" s="734"/>
      <c r="AJ39" s="734"/>
      <c r="AK39" s="734"/>
      <c r="AL39" s="734" t="s">
        <v>178</v>
      </c>
      <c r="AM39" s="734"/>
      <c r="AN39" s="734"/>
      <c r="AO39" s="734"/>
      <c r="AP39" s="734"/>
      <c r="AQ39" s="734"/>
      <c r="AR39" s="734"/>
      <c r="AS39" s="734"/>
      <c r="AT39" s="734"/>
      <c r="AU39" s="734"/>
      <c r="AV39" s="734"/>
      <c r="AW39" s="734"/>
      <c r="AX39" s="734"/>
      <c r="AY39" s="734"/>
      <c r="AZ39" s="734"/>
      <c r="BA39" s="734"/>
      <c r="BB39" s="734"/>
      <c r="BC39" s="734"/>
      <c r="BD39" s="734"/>
      <c r="BE39" s="734"/>
      <c r="BF39" s="734"/>
      <c r="BG39" s="734"/>
      <c r="BH39" s="734"/>
      <c r="BI39" s="734"/>
      <c r="BJ39" s="734"/>
      <c r="BK39" s="734"/>
      <c r="BL39" s="734"/>
      <c r="BM39" s="734"/>
      <c r="BN39" s="734"/>
      <c r="BO39" s="734"/>
    </row>
    <row r="40" spans="1:127" ht="13.9" thickBot="1" x14ac:dyDescent="0.4">
      <c r="H40" s="230">
        <v>211</v>
      </c>
      <c r="I40" s="114">
        <v>212</v>
      </c>
      <c r="J40" s="230">
        <v>213</v>
      </c>
      <c r="K40" s="114">
        <v>214</v>
      </c>
      <c r="L40" s="230">
        <v>215</v>
      </c>
      <c r="M40" s="114">
        <v>216</v>
      </c>
      <c r="N40" s="230">
        <v>217</v>
      </c>
      <c r="O40" s="114">
        <v>218</v>
      </c>
      <c r="P40" s="230">
        <v>219</v>
      </c>
      <c r="Q40" s="114">
        <v>220</v>
      </c>
      <c r="R40" s="230">
        <v>221</v>
      </c>
      <c r="S40" s="114">
        <v>222</v>
      </c>
      <c r="T40" s="230">
        <v>223</v>
      </c>
      <c r="U40" s="114">
        <v>224</v>
      </c>
      <c r="V40" s="230">
        <v>225</v>
      </c>
      <c r="W40" s="114">
        <v>226</v>
      </c>
      <c r="X40" s="230">
        <v>227</v>
      </c>
      <c r="Y40" s="114">
        <v>228</v>
      </c>
      <c r="Z40" s="230">
        <v>229</v>
      </c>
      <c r="AA40" s="114">
        <v>230</v>
      </c>
      <c r="AB40" s="230">
        <v>231</v>
      </c>
      <c r="AC40" s="114">
        <v>232</v>
      </c>
      <c r="AD40" s="230">
        <v>233</v>
      </c>
      <c r="AE40" s="114">
        <v>234</v>
      </c>
      <c r="AF40" s="230">
        <v>235</v>
      </c>
      <c r="AG40" s="114">
        <v>236</v>
      </c>
      <c r="AH40" s="230">
        <v>237</v>
      </c>
      <c r="AI40" s="114">
        <v>238</v>
      </c>
      <c r="AJ40" s="230">
        <v>239</v>
      </c>
      <c r="AK40" s="114">
        <v>240</v>
      </c>
      <c r="AL40" s="230">
        <v>241</v>
      </c>
      <c r="AM40" s="114">
        <v>242</v>
      </c>
      <c r="AN40" s="230">
        <v>243</v>
      </c>
      <c r="AO40" s="114">
        <v>244</v>
      </c>
      <c r="AP40" s="230">
        <v>245</v>
      </c>
      <c r="AQ40" s="114">
        <v>246</v>
      </c>
      <c r="AR40" s="230">
        <v>247</v>
      </c>
      <c r="AS40" s="114">
        <v>248</v>
      </c>
      <c r="AT40" s="230">
        <v>249</v>
      </c>
      <c r="AU40" s="114">
        <v>250</v>
      </c>
      <c r="AV40" s="230">
        <v>251</v>
      </c>
      <c r="AW40" s="114">
        <v>252</v>
      </c>
      <c r="AX40" s="230">
        <v>253</v>
      </c>
      <c r="AY40" s="114">
        <v>254</v>
      </c>
      <c r="AZ40" s="230">
        <v>255</v>
      </c>
      <c r="BA40" s="114">
        <v>256</v>
      </c>
      <c r="BB40" s="230">
        <v>257</v>
      </c>
      <c r="BC40" s="114">
        <v>258</v>
      </c>
      <c r="BD40" s="230">
        <v>259</v>
      </c>
      <c r="BE40" s="114">
        <v>260</v>
      </c>
      <c r="BF40" s="230">
        <v>261</v>
      </c>
      <c r="BG40" s="114">
        <v>262</v>
      </c>
      <c r="BH40" s="230">
        <v>263</v>
      </c>
      <c r="BI40" s="114">
        <v>264</v>
      </c>
      <c r="BJ40" s="230">
        <v>265</v>
      </c>
      <c r="BK40" s="114">
        <v>266</v>
      </c>
      <c r="BL40" s="230">
        <v>267</v>
      </c>
      <c r="BM40" s="114">
        <v>268</v>
      </c>
      <c r="BN40" s="230">
        <v>269</v>
      </c>
      <c r="BO40" s="114">
        <v>270</v>
      </c>
      <c r="BP40" s="225"/>
      <c r="BQ40" s="225"/>
      <c r="BR40" s="225"/>
      <c r="BS40" s="225"/>
      <c r="BT40" s="225"/>
      <c r="BU40" s="225"/>
      <c r="BV40" s="225"/>
      <c r="BW40" s="225"/>
      <c r="BX40" s="225"/>
      <c r="BY40" s="225"/>
      <c r="BZ40" s="225"/>
      <c r="CA40" s="225"/>
      <c r="CB40" s="225"/>
      <c r="CC40" s="225"/>
      <c r="CD40" s="225"/>
      <c r="CE40" s="225"/>
      <c r="CF40" s="225"/>
      <c r="CG40" s="225"/>
      <c r="CH40" s="225"/>
      <c r="CI40" s="225"/>
      <c r="CJ40" s="225"/>
      <c r="CK40" s="225"/>
      <c r="CL40" s="225"/>
      <c r="CM40" s="225"/>
      <c r="CN40" s="225"/>
      <c r="CO40" s="225"/>
      <c r="CP40" s="225"/>
      <c r="CQ40" s="225"/>
      <c r="CR40" s="225"/>
      <c r="CS40" s="225"/>
      <c r="CT40" s="225"/>
      <c r="CU40" s="225"/>
      <c r="CV40" s="225"/>
      <c r="CW40" s="225"/>
      <c r="CX40" s="225"/>
      <c r="CY40" s="225"/>
      <c r="CZ40" s="225"/>
      <c r="DA40" s="225"/>
      <c r="DB40" s="225"/>
      <c r="DC40" s="225"/>
      <c r="DD40" s="225"/>
      <c r="DE40" s="225"/>
      <c r="DF40" s="225"/>
      <c r="DG40" s="225"/>
      <c r="DH40" s="225"/>
      <c r="DI40" s="225"/>
      <c r="DJ40" s="225"/>
      <c r="DK40" s="225"/>
      <c r="DL40" s="225"/>
      <c r="DM40" s="225"/>
      <c r="DN40" s="225"/>
      <c r="DO40" s="225"/>
      <c r="DP40" s="225"/>
      <c r="DQ40" s="225"/>
      <c r="DR40" s="225"/>
      <c r="DS40" s="225"/>
      <c r="DT40" s="225"/>
      <c r="DU40" s="225"/>
      <c r="DV40" s="225"/>
      <c r="DW40" s="225"/>
    </row>
    <row r="41" spans="1:127" ht="16.5" customHeight="1" x14ac:dyDescent="0.35">
      <c r="A41" s="202" t="s">
        <v>126</v>
      </c>
      <c r="B41" s="205"/>
      <c r="C41" s="205"/>
      <c r="D41" s="205"/>
      <c r="E41" s="205"/>
      <c r="F41" s="205"/>
      <c r="G41" s="205"/>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1"/>
      <c r="AG41" s="101"/>
      <c r="AH41" s="101"/>
      <c r="AI41" s="101"/>
      <c r="AJ41" s="101"/>
      <c r="AK41" s="102"/>
      <c r="AL41" s="101"/>
      <c r="AM41" s="101"/>
      <c r="AN41" s="101"/>
      <c r="AO41" s="101"/>
      <c r="AP41" s="101"/>
      <c r="AQ41" s="101"/>
      <c r="AR41" s="101"/>
      <c r="AS41" s="101"/>
      <c r="AT41" s="101"/>
      <c r="AU41" s="101"/>
      <c r="AV41" s="101"/>
      <c r="AW41" s="101"/>
      <c r="AX41" s="101"/>
      <c r="AY41" s="101"/>
      <c r="AZ41" s="101"/>
      <c r="BA41" s="101"/>
      <c r="BB41" s="101"/>
      <c r="BC41" s="101"/>
      <c r="BD41" s="101"/>
      <c r="BE41" s="101"/>
      <c r="BF41" s="101"/>
      <c r="BG41" s="101"/>
      <c r="BH41" s="101"/>
      <c r="BI41" s="101"/>
      <c r="BJ41" s="101"/>
      <c r="BK41" s="101"/>
      <c r="BL41" s="101"/>
      <c r="BM41" s="101"/>
      <c r="BN41" s="101"/>
      <c r="BO41" s="102"/>
      <c r="BP41" s="108"/>
      <c r="BQ41" s="108"/>
      <c r="BR41" s="108"/>
      <c r="BS41" s="108"/>
      <c r="BT41" s="108"/>
      <c r="BU41" s="108"/>
      <c r="BV41" s="108"/>
      <c r="BW41" s="108"/>
      <c r="BX41" s="108"/>
      <c r="BY41" s="108"/>
      <c r="BZ41" s="108"/>
      <c r="CA41" s="108"/>
      <c r="CB41" s="108"/>
      <c r="CC41" s="108"/>
      <c r="CD41" s="108"/>
      <c r="CE41" s="108"/>
      <c r="CF41" s="108"/>
      <c r="CG41" s="108"/>
      <c r="CH41" s="108"/>
      <c r="CI41" s="108"/>
      <c r="CJ41" s="108"/>
      <c r="CK41" s="108"/>
      <c r="CL41" s="108"/>
      <c r="CM41" s="108"/>
      <c r="CN41" s="108"/>
      <c r="CO41" s="108"/>
      <c r="CP41" s="108"/>
      <c r="CQ41" s="108"/>
      <c r="CR41" s="108"/>
      <c r="CS41" s="108"/>
      <c r="CT41" s="108"/>
      <c r="CU41" s="108"/>
      <c r="CV41" s="108"/>
      <c r="CW41" s="108"/>
      <c r="CX41" s="108"/>
      <c r="CY41" s="108"/>
      <c r="CZ41" s="108"/>
      <c r="DA41" s="108"/>
      <c r="DB41" s="108"/>
      <c r="DC41" s="108"/>
      <c r="DD41" s="108"/>
      <c r="DE41" s="108"/>
      <c r="DF41" s="108"/>
      <c r="DG41" s="108"/>
      <c r="DH41" s="108"/>
      <c r="DI41" s="108"/>
      <c r="DJ41" s="108"/>
      <c r="DK41" s="108"/>
      <c r="DL41" s="108"/>
      <c r="DM41" s="108"/>
      <c r="DN41" s="108"/>
      <c r="DO41" s="108"/>
      <c r="DP41" s="108"/>
      <c r="DQ41" s="108"/>
      <c r="DR41" s="108"/>
      <c r="DS41" s="108"/>
      <c r="DT41" s="108"/>
      <c r="DU41" s="108"/>
      <c r="DV41" s="108"/>
      <c r="DW41" s="108"/>
    </row>
    <row r="42" spans="1:127" x14ac:dyDescent="0.35">
      <c r="A42" s="103" t="s">
        <v>134</v>
      </c>
      <c r="B42" s="104" t="s">
        <v>86</v>
      </c>
      <c r="C42" s="104" t="s">
        <v>87</v>
      </c>
      <c r="D42" s="104" t="s">
        <v>588</v>
      </c>
      <c r="E42" s="104" t="s">
        <v>95</v>
      </c>
      <c r="F42" s="104" t="s">
        <v>91</v>
      </c>
      <c r="G42" s="104"/>
      <c r="AK42" s="109"/>
      <c r="BA42" s="108"/>
      <c r="BB42" s="108"/>
      <c r="BC42" s="108"/>
      <c r="BD42" s="108"/>
      <c r="BE42" s="108"/>
      <c r="BF42" s="108"/>
      <c r="BG42" s="108"/>
      <c r="BH42" s="108"/>
      <c r="BI42" s="108"/>
      <c r="BJ42" s="108"/>
      <c r="BK42" s="108"/>
      <c r="BL42" s="108"/>
      <c r="BM42" s="108"/>
      <c r="BN42" s="108"/>
      <c r="BO42" s="109"/>
    </row>
    <row r="43" spans="1:127" ht="25.5" x14ac:dyDescent="0.35">
      <c r="A43" s="296" t="s">
        <v>648</v>
      </c>
      <c r="B43" s="206">
        <v>4</v>
      </c>
      <c r="C43" s="206">
        <f t="shared" ref="C43:C46" si="6">SUM(H43:CS43)</f>
        <v>4</v>
      </c>
      <c r="D43" s="206">
        <v>1</v>
      </c>
      <c r="E43" s="107">
        <f>D43*C43</f>
        <v>4</v>
      </c>
      <c r="F43" s="107">
        <f>C43*B43</f>
        <v>16</v>
      </c>
      <c r="G43" s="206"/>
      <c r="AK43" s="109"/>
      <c r="BA43" s="108"/>
      <c r="BB43" s="108"/>
      <c r="BC43" s="108"/>
      <c r="BD43" s="108"/>
      <c r="BE43" s="108"/>
      <c r="BF43" s="108"/>
      <c r="BG43" s="108"/>
      <c r="BH43" s="108"/>
      <c r="BI43" s="108"/>
      <c r="BJ43" s="108"/>
      <c r="BK43" s="108"/>
      <c r="BL43" s="108">
        <v>1</v>
      </c>
      <c r="BM43" s="108">
        <v>1</v>
      </c>
      <c r="BN43" s="108">
        <v>1</v>
      </c>
      <c r="BO43" s="109">
        <v>1</v>
      </c>
    </row>
    <row r="44" spans="1:127" x14ac:dyDescent="0.35">
      <c r="A44" s="229"/>
      <c r="B44" s="206"/>
      <c r="C44" s="206">
        <f t="shared" si="6"/>
        <v>0</v>
      </c>
      <c r="D44" s="206"/>
      <c r="E44" s="107">
        <f t="shared" ref="E44:E46" si="7">D44*C44</f>
        <v>0</v>
      </c>
      <c r="F44" s="107">
        <f t="shared" ref="F44:F46" si="8">C44*B44</f>
        <v>0</v>
      </c>
      <c r="G44" s="206"/>
      <c r="AK44" s="109"/>
      <c r="BA44" s="108"/>
      <c r="BB44" s="108"/>
      <c r="BC44" s="108"/>
      <c r="BD44" s="108"/>
      <c r="BE44" s="108"/>
      <c r="BF44" s="108"/>
      <c r="BG44" s="108"/>
      <c r="BH44" s="108"/>
      <c r="BI44" s="108"/>
      <c r="BJ44" s="108"/>
      <c r="BK44" s="108"/>
      <c r="BL44" s="108"/>
      <c r="BM44" s="108"/>
      <c r="BN44" s="108"/>
      <c r="BO44" s="109"/>
    </row>
    <row r="45" spans="1:127" ht="18" customHeight="1" x14ac:dyDescent="0.35">
      <c r="A45" s="229"/>
      <c r="B45" s="206"/>
      <c r="C45" s="206">
        <f t="shared" si="6"/>
        <v>0</v>
      </c>
      <c r="D45" s="206"/>
      <c r="E45" s="107">
        <f t="shared" si="7"/>
        <v>0</v>
      </c>
      <c r="F45" s="107">
        <f t="shared" si="8"/>
        <v>0</v>
      </c>
      <c r="G45" s="206"/>
      <c r="AK45" s="109"/>
      <c r="BA45" s="108"/>
      <c r="BB45" s="108"/>
      <c r="BC45" s="108"/>
      <c r="BD45" s="108"/>
      <c r="BE45" s="108"/>
      <c r="BF45" s="108"/>
      <c r="BG45" s="108"/>
      <c r="BH45" s="108"/>
      <c r="BI45" s="108"/>
      <c r="BJ45" s="108"/>
      <c r="BK45" s="108"/>
      <c r="BL45" s="108"/>
      <c r="BM45" s="108"/>
      <c r="BN45" s="108"/>
      <c r="BO45" s="109"/>
    </row>
    <row r="46" spans="1:127" x14ac:dyDescent="0.35">
      <c r="A46" s="229"/>
      <c r="B46" s="206"/>
      <c r="C46" s="206">
        <f t="shared" si="6"/>
        <v>0</v>
      </c>
      <c r="D46" s="206"/>
      <c r="E46" s="107">
        <f t="shared" si="7"/>
        <v>0</v>
      </c>
      <c r="F46" s="107">
        <f t="shared" si="8"/>
        <v>0</v>
      </c>
      <c r="G46" s="206"/>
      <c r="AK46" s="109"/>
      <c r="BA46" s="108"/>
      <c r="BB46" s="108"/>
      <c r="BC46" s="108"/>
      <c r="BD46" s="108"/>
      <c r="BE46" s="108"/>
      <c r="BF46" s="108"/>
      <c r="BG46" s="108"/>
      <c r="BH46" s="108"/>
      <c r="BI46" s="108"/>
      <c r="BJ46" s="108"/>
      <c r="BK46" s="108"/>
      <c r="BL46" s="108"/>
      <c r="BM46" s="108"/>
      <c r="BN46" s="108"/>
      <c r="BO46" s="109"/>
    </row>
    <row r="47" spans="1:127" x14ac:dyDescent="0.35">
      <c r="A47" s="116" t="s">
        <v>31</v>
      </c>
      <c r="B47" s="117"/>
      <c r="C47" s="203">
        <f>SUM(C43:C46)</f>
        <v>4</v>
      </c>
      <c r="D47" s="203"/>
      <c r="E47" s="203">
        <f>SUM(E43:E46)</f>
        <v>4</v>
      </c>
      <c r="F47" s="203">
        <f>SUM(F43:F46)</f>
        <v>16</v>
      </c>
      <c r="G47" s="203"/>
      <c r="AK47" s="109"/>
      <c r="BA47" s="108"/>
      <c r="BB47" s="108"/>
      <c r="BC47" s="108"/>
      <c r="BD47" s="108"/>
      <c r="BE47" s="108"/>
      <c r="BF47" s="108"/>
      <c r="BG47" s="108"/>
      <c r="BH47" s="108"/>
      <c r="BI47" s="108"/>
      <c r="BJ47" s="108"/>
      <c r="BK47" s="108"/>
      <c r="BL47" s="108"/>
      <c r="BM47" s="108"/>
      <c r="BN47" s="108"/>
      <c r="BO47" s="109"/>
    </row>
    <row r="48" spans="1:127" ht="13.9" thickBot="1" x14ac:dyDescent="0.4">
      <c r="A48" s="115" t="s">
        <v>74</v>
      </c>
      <c r="B48" s="111"/>
      <c r="C48" s="111">
        <f>C47</f>
        <v>4</v>
      </c>
      <c r="D48" s="111"/>
      <c r="E48" s="111">
        <f>E47</f>
        <v>4</v>
      </c>
      <c r="F48" s="111">
        <f>F47</f>
        <v>16</v>
      </c>
      <c r="G48" s="111"/>
      <c r="H48" s="112"/>
      <c r="I48" s="112"/>
      <c r="J48" s="112"/>
      <c r="K48" s="112"/>
      <c r="L48" s="112"/>
      <c r="M48" s="112"/>
      <c r="N48" s="112"/>
      <c r="O48" s="112"/>
      <c r="P48" s="112"/>
      <c r="Q48" s="112"/>
      <c r="R48" s="112"/>
      <c r="S48" s="112"/>
      <c r="T48" s="112"/>
      <c r="U48" s="112"/>
      <c r="V48" s="112"/>
      <c r="W48" s="112"/>
      <c r="X48" s="112"/>
      <c r="Y48" s="112"/>
      <c r="Z48" s="112"/>
      <c r="AA48" s="112"/>
      <c r="AB48" s="112"/>
      <c r="AC48" s="112"/>
      <c r="AD48" s="112"/>
      <c r="AE48" s="112"/>
      <c r="AF48" s="112"/>
      <c r="AG48" s="112"/>
      <c r="AH48" s="112"/>
      <c r="AI48" s="112"/>
      <c r="AJ48" s="112"/>
      <c r="AK48" s="113"/>
      <c r="AL48" s="112"/>
      <c r="AM48" s="112"/>
      <c r="AN48" s="112"/>
      <c r="AO48" s="112"/>
      <c r="AP48" s="112"/>
      <c r="AQ48" s="112"/>
      <c r="AR48" s="112"/>
      <c r="AS48" s="112"/>
      <c r="AT48" s="112"/>
      <c r="AU48" s="112"/>
      <c r="AV48" s="112"/>
      <c r="AW48" s="112"/>
      <c r="AX48" s="112"/>
      <c r="AY48" s="112"/>
      <c r="AZ48" s="112"/>
      <c r="BA48" s="112"/>
      <c r="BB48" s="112"/>
      <c r="BC48" s="112"/>
      <c r="BD48" s="112"/>
      <c r="BE48" s="112"/>
      <c r="BF48" s="112"/>
      <c r="BG48" s="112"/>
      <c r="BH48" s="112"/>
      <c r="BI48" s="112"/>
      <c r="BJ48" s="112"/>
      <c r="BK48" s="112"/>
      <c r="BL48" s="112"/>
      <c r="BM48" s="112"/>
      <c r="BN48" s="112"/>
      <c r="BO48" s="113"/>
    </row>
    <row r="49" spans="1:97" x14ac:dyDescent="0.35">
      <c r="A49" s="226"/>
      <c r="B49" s="227"/>
      <c r="C49" s="228"/>
      <c r="D49" s="228"/>
      <c r="E49" s="228"/>
      <c r="F49" s="228"/>
      <c r="G49" s="228"/>
      <c r="H49" s="729" t="s">
        <v>561</v>
      </c>
      <c r="I49" s="729"/>
      <c r="J49" s="729"/>
      <c r="K49" s="729"/>
      <c r="L49" s="729"/>
      <c r="M49" s="729"/>
      <c r="N49" s="729">
        <f>SUM(H43:AK43)*$D$43+SUM(H44:AK44)*D44+SUM(H45:AK45)*D45+SUM(H46:AK46)*D46</f>
        <v>0</v>
      </c>
      <c r="O49" s="729"/>
      <c r="P49" s="729"/>
      <c r="Q49" s="729"/>
      <c r="R49" s="728" t="s">
        <v>176</v>
      </c>
      <c r="S49" s="728"/>
      <c r="T49" s="728"/>
      <c r="U49" s="728"/>
      <c r="V49" s="728"/>
      <c r="W49" s="729">
        <f>SUM(H43:AK43)*B43+SUM(H44:AK44)*B44+SUM(H45:AK45)*B45</f>
        <v>0</v>
      </c>
      <c r="X49" s="729"/>
      <c r="Y49" s="729"/>
      <c r="Z49" s="729"/>
      <c r="AL49" s="729" t="s">
        <v>562</v>
      </c>
      <c r="AM49" s="729"/>
      <c r="AN49" s="729"/>
      <c r="AO49" s="729"/>
      <c r="AP49" s="729"/>
      <c r="AQ49" s="729"/>
      <c r="AR49" s="729">
        <f>SUM(AL43:BO43)*$D$43+SUM(AL44:BO44)*D44+SUM(AL45:BO45)*D45+SUM(AL46:BO46)*D46</f>
        <v>4</v>
      </c>
      <c r="AS49" s="729"/>
      <c r="AT49" s="729"/>
      <c r="AU49" s="729"/>
      <c r="AV49" s="728" t="s">
        <v>179</v>
      </c>
      <c r="AW49" s="728"/>
      <c r="AX49" s="728"/>
      <c r="AY49" s="728"/>
      <c r="AZ49" s="728"/>
      <c r="BA49" s="729">
        <f>SUM(AL43:BO43)*B43+SUM(AL44:BO44)*B44+SUM(AL45:BO45)*B45</f>
        <v>16</v>
      </c>
      <c r="BB49" s="729"/>
      <c r="BC49" s="729"/>
      <c r="BD49" s="729"/>
      <c r="BE49" s="108"/>
      <c r="BF49" s="108"/>
      <c r="BG49" s="108"/>
      <c r="BH49" s="108"/>
      <c r="BI49" s="108"/>
      <c r="BJ49" s="108"/>
      <c r="BK49" s="108"/>
      <c r="BL49" s="108"/>
      <c r="BM49" s="108"/>
      <c r="BN49" s="108"/>
      <c r="BO49" s="108"/>
    </row>
    <row r="50" spans="1:97" x14ac:dyDescent="0.35">
      <c r="B50" s="65" t="s">
        <v>97</v>
      </c>
      <c r="C50" s="65" t="s">
        <v>99</v>
      </c>
      <c r="D50" s="65" t="s">
        <v>166</v>
      </c>
      <c r="E50" s="65" t="s">
        <v>167</v>
      </c>
      <c r="F50" s="65" t="s">
        <v>136</v>
      </c>
      <c r="G50" s="228"/>
    </row>
    <row r="51" spans="1:97" x14ac:dyDescent="0.35">
      <c r="A51" s="204" t="s">
        <v>98</v>
      </c>
      <c r="B51" s="92">
        <f>B12</f>
        <v>568888.95555555564</v>
      </c>
      <c r="C51" s="1">
        <f>N49+AR49</f>
        <v>4</v>
      </c>
      <c r="D51" s="92">
        <f>N49*B51</f>
        <v>0</v>
      </c>
      <c r="E51" s="92">
        <f>B51*AR49</f>
        <v>2275555.8222222226</v>
      </c>
      <c r="F51" s="92">
        <f>SUM(D51:E51)</f>
        <v>2275555.8222222226</v>
      </c>
      <c r="G51" s="228"/>
    </row>
    <row r="52" spans="1:97" x14ac:dyDescent="0.35">
      <c r="A52" s="204" t="s">
        <v>96</v>
      </c>
      <c r="B52" s="92">
        <f>B13</f>
        <v>160000</v>
      </c>
      <c r="C52" s="1">
        <f>W49+BA49</f>
        <v>16</v>
      </c>
      <c r="D52" s="92">
        <f>W49*B52</f>
        <v>0</v>
      </c>
      <c r="E52" s="92">
        <f>B52*BA49</f>
        <v>2560000</v>
      </c>
      <c r="F52" s="92">
        <f>SUM(D52:E52)</f>
        <v>2560000</v>
      </c>
      <c r="G52" s="228"/>
    </row>
    <row r="53" spans="1:97" x14ac:dyDescent="0.35">
      <c r="A53" s="226"/>
      <c r="B53" s="227"/>
      <c r="C53" s="228"/>
      <c r="D53" s="228"/>
      <c r="E53" s="228"/>
      <c r="F53" s="228"/>
      <c r="G53" s="228"/>
      <c r="H53" s="735" t="s">
        <v>180</v>
      </c>
      <c r="I53" s="735"/>
      <c r="J53" s="735"/>
      <c r="K53" s="735"/>
      <c r="L53" s="735"/>
      <c r="M53" s="735"/>
      <c r="N53" s="735"/>
      <c r="O53" s="735"/>
      <c r="P53" s="735"/>
      <c r="Q53" s="735"/>
      <c r="R53" s="735"/>
      <c r="S53" s="735"/>
      <c r="T53" s="735"/>
      <c r="U53" s="735"/>
      <c r="V53" s="735"/>
      <c r="W53" s="735"/>
      <c r="X53" s="735"/>
      <c r="Y53" s="735"/>
      <c r="Z53" s="735"/>
      <c r="AA53" s="735"/>
      <c r="AB53" s="735"/>
      <c r="AC53" s="735"/>
      <c r="AD53" s="735"/>
      <c r="AE53" s="735"/>
      <c r="AF53" s="735"/>
      <c r="AG53" s="735"/>
      <c r="AH53" s="735"/>
      <c r="AI53" s="735"/>
      <c r="AJ53" s="735"/>
      <c r="AK53" s="735"/>
      <c r="AL53" s="735" t="s">
        <v>181</v>
      </c>
      <c r="AM53" s="735"/>
      <c r="AN53" s="735"/>
      <c r="AO53" s="735"/>
      <c r="AP53" s="735"/>
      <c r="AQ53" s="735"/>
      <c r="AR53" s="735"/>
      <c r="AS53" s="735"/>
      <c r="AT53" s="735"/>
      <c r="AU53" s="735"/>
      <c r="AV53" s="735"/>
      <c r="AW53" s="735"/>
      <c r="AX53" s="735"/>
      <c r="AY53" s="735"/>
      <c r="AZ53" s="735"/>
      <c r="BA53" s="735"/>
      <c r="BB53" s="735"/>
      <c r="BC53" s="735"/>
      <c r="BD53" s="735"/>
      <c r="BE53" s="735"/>
      <c r="BF53" s="735"/>
      <c r="BG53" s="735"/>
      <c r="BH53" s="735"/>
      <c r="BI53" s="735"/>
      <c r="BJ53" s="735"/>
      <c r="BK53" s="735"/>
      <c r="BL53" s="735"/>
      <c r="BM53" s="735"/>
      <c r="BN53" s="735"/>
      <c r="BO53" s="735"/>
      <c r="BP53" s="735" t="s">
        <v>182</v>
      </c>
      <c r="BQ53" s="735"/>
      <c r="BR53" s="735"/>
      <c r="BS53" s="735"/>
      <c r="BT53" s="735"/>
      <c r="BU53" s="735"/>
      <c r="BV53" s="735"/>
      <c r="BW53" s="735"/>
      <c r="BX53" s="735"/>
      <c r="BY53" s="735"/>
      <c r="BZ53" s="735"/>
      <c r="CA53" s="735"/>
      <c r="CB53" s="735"/>
      <c r="CC53" s="735"/>
      <c r="CD53" s="735"/>
      <c r="CE53" s="735"/>
      <c r="CF53" s="735"/>
      <c r="CG53" s="735"/>
      <c r="CH53" s="735"/>
      <c r="CI53" s="735"/>
      <c r="CJ53" s="735"/>
      <c r="CK53" s="735"/>
      <c r="CL53" s="735"/>
      <c r="CM53" s="735"/>
      <c r="CN53" s="735"/>
      <c r="CO53" s="735"/>
      <c r="CP53" s="735"/>
      <c r="CQ53" s="735"/>
      <c r="CR53" s="735"/>
      <c r="CS53" s="735"/>
    </row>
    <row r="54" spans="1:97" ht="13.9" thickBot="1" x14ac:dyDescent="0.4">
      <c r="D54" s="92"/>
      <c r="H54" s="114">
        <v>31</v>
      </c>
      <c r="I54" s="114">
        <v>32</v>
      </c>
      <c r="J54" s="114">
        <v>33</v>
      </c>
      <c r="K54" s="114">
        <v>34</v>
      </c>
      <c r="L54" s="114">
        <v>35</v>
      </c>
      <c r="M54" s="114">
        <v>36</v>
      </c>
      <c r="N54" s="114">
        <v>37</v>
      </c>
      <c r="O54" s="114">
        <v>38</v>
      </c>
      <c r="P54" s="114">
        <v>39</v>
      </c>
      <c r="Q54" s="114">
        <v>40</v>
      </c>
      <c r="R54" s="114">
        <v>41</v>
      </c>
      <c r="S54" s="114">
        <v>42</v>
      </c>
      <c r="T54" s="114">
        <v>43</v>
      </c>
      <c r="U54" s="114">
        <v>44</v>
      </c>
      <c r="V54" s="114">
        <v>45</v>
      </c>
      <c r="W54" s="114">
        <v>46</v>
      </c>
      <c r="X54" s="114">
        <v>47</v>
      </c>
      <c r="Y54" s="114">
        <v>48</v>
      </c>
      <c r="Z54" s="114">
        <v>49</v>
      </c>
      <c r="AA54" s="114">
        <v>50</v>
      </c>
      <c r="AB54" s="114">
        <v>51</v>
      </c>
      <c r="AC54" s="114">
        <v>52</v>
      </c>
      <c r="AD54" s="114">
        <v>53</v>
      </c>
      <c r="AE54" s="114">
        <v>54</v>
      </c>
      <c r="AF54" s="114">
        <v>55</v>
      </c>
      <c r="AG54" s="114">
        <v>56</v>
      </c>
      <c r="AH54" s="114">
        <v>57</v>
      </c>
      <c r="AI54" s="114">
        <v>58</v>
      </c>
      <c r="AJ54" s="114">
        <v>59</v>
      </c>
      <c r="AK54" s="114">
        <v>60</v>
      </c>
      <c r="AL54" s="114">
        <v>61</v>
      </c>
      <c r="AM54" s="114">
        <v>62</v>
      </c>
      <c r="AN54" s="114">
        <v>63</v>
      </c>
      <c r="AO54" s="114">
        <v>64</v>
      </c>
      <c r="AP54" s="114">
        <v>65</v>
      </c>
      <c r="AQ54" s="114">
        <v>66</v>
      </c>
      <c r="AR54" s="114">
        <v>67</v>
      </c>
      <c r="AS54" s="114">
        <v>68</v>
      </c>
      <c r="AT54" s="114">
        <v>69</v>
      </c>
      <c r="AU54" s="114">
        <v>70</v>
      </c>
      <c r="AV54" s="114">
        <v>71</v>
      </c>
      <c r="AW54" s="114">
        <v>72</v>
      </c>
      <c r="AX54" s="114">
        <v>73</v>
      </c>
      <c r="AY54" s="114">
        <v>74</v>
      </c>
      <c r="AZ54" s="114">
        <v>75</v>
      </c>
      <c r="BA54" s="114">
        <v>76</v>
      </c>
      <c r="BB54" s="114">
        <v>77</v>
      </c>
      <c r="BC54" s="114">
        <v>78</v>
      </c>
      <c r="BD54" s="114">
        <v>79</v>
      </c>
      <c r="BE54" s="114">
        <v>80</v>
      </c>
      <c r="BF54" s="114">
        <v>81</v>
      </c>
      <c r="BG54" s="114">
        <v>82</v>
      </c>
      <c r="BH54" s="114">
        <v>83</v>
      </c>
      <c r="BI54" s="114">
        <v>84</v>
      </c>
      <c r="BJ54" s="114">
        <v>85</v>
      </c>
      <c r="BK54" s="114">
        <v>86</v>
      </c>
      <c r="BL54" s="114">
        <v>87</v>
      </c>
      <c r="BM54" s="114">
        <v>88</v>
      </c>
      <c r="BN54" s="114">
        <v>89</v>
      </c>
      <c r="BO54" s="114">
        <v>90</v>
      </c>
      <c r="BP54" s="114">
        <v>61</v>
      </c>
      <c r="BQ54" s="114">
        <v>62</v>
      </c>
      <c r="BR54" s="114">
        <v>63</v>
      </c>
      <c r="BS54" s="114">
        <v>64</v>
      </c>
      <c r="BT54" s="114">
        <v>65</v>
      </c>
      <c r="BU54" s="114">
        <v>66</v>
      </c>
      <c r="BV54" s="114">
        <v>67</v>
      </c>
      <c r="BW54" s="114">
        <v>68</v>
      </c>
      <c r="BX54" s="114">
        <v>69</v>
      </c>
      <c r="BY54" s="114">
        <v>70</v>
      </c>
      <c r="BZ54" s="114">
        <v>71</v>
      </c>
      <c r="CA54" s="114">
        <v>72</v>
      </c>
      <c r="CB54" s="114">
        <v>73</v>
      </c>
      <c r="CC54" s="114">
        <v>74</v>
      </c>
      <c r="CD54" s="114">
        <v>75</v>
      </c>
      <c r="CE54" s="114">
        <v>76</v>
      </c>
      <c r="CF54" s="114">
        <v>77</v>
      </c>
      <c r="CG54" s="114">
        <v>78</v>
      </c>
      <c r="CH54" s="114">
        <v>79</v>
      </c>
      <c r="CI54" s="114">
        <v>80</v>
      </c>
      <c r="CJ54" s="114">
        <v>81</v>
      </c>
      <c r="CK54" s="114">
        <v>82</v>
      </c>
      <c r="CL54" s="114">
        <v>83</v>
      </c>
      <c r="CM54" s="114">
        <v>84</v>
      </c>
      <c r="CN54" s="114">
        <v>85</v>
      </c>
      <c r="CO54" s="114">
        <v>86</v>
      </c>
      <c r="CP54" s="114">
        <v>87</v>
      </c>
      <c r="CQ54" s="114">
        <v>88</v>
      </c>
      <c r="CR54" s="114">
        <v>89</v>
      </c>
      <c r="CS54" s="114">
        <v>90</v>
      </c>
    </row>
    <row r="55" spans="1:97" x14ac:dyDescent="0.35">
      <c r="A55" s="202" t="s">
        <v>171</v>
      </c>
      <c r="B55" s="205"/>
      <c r="C55" s="205"/>
      <c r="D55" s="205"/>
      <c r="E55" s="205"/>
      <c r="F55" s="205"/>
      <c r="G55" s="205"/>
      <c r="H55" s="101"/>
      <c r="I55" s="101"/>
      <c r="J55" s="101"/>
      <c r="K55" s="101"/>
      <c r="L55" s="101"/>
      <c r="M55" s="101"/>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2"/>
      <c r="AL55" s="101"/>
      <c r="AM55" s="101"/>
      <c r="AN55" s="101"/>
      <c r="AO55" s="101"/>
      <c r="AP55" s="101"/>
      <c r="AQ55" s="101"/>
      <c r="AR55" s="101"/>
      <c r="AS55" s="101"/>
      <c r="AT55" s="101"/>
      <c r="AU55" s="101"/>
      <c r="AV55" s="101"/>
      <c r="AW55" s="101"/>
      <c r="AX55" s="101"/>
      <c r="AY55" s="101"/>
      <c r="AZ55" s="101"/>
      <c r="BA55" s="101"/>
      <c r="BB55" s="101"/>
      <c r="BC55" s="101"/>
      <c r="BD55" s="101"/>
      <c r="BE55" s="101"/>
      <c r="BF55" s="101"/>
      <c r="BG55" s="101"/>
      <c r="BH55" s="101"/>
      <c r="BI55" s="101"/>
      <c r="BJ55" s="101"/>
      <c r="BK55" s="101"/>
      <c r="BL55" s="101"/>
      <c r="BM55" s="101"/>
      <c r="BN55" s="101"/>
      <c r="BO55" s="102"/>
      <c r="BP55" s="101"/>
      <c r="BQ55" s="101"/>
      <c r="BR55" s="101"/>
      <c r="BS55" s="101"/>
      <c r="BT55" s="101"/>
      <c r="BU55" s="101"/>
      <c r="BV55" s="101"/>
      <c r="BW55" s="101"/>
      <c r="BX55" s="101"/>
      <c r="BY55" s="101"/>
      <c r="BZ55" s="101"/>
      <c r="CA55" s="101"/>
      <c r="CB55" s="101"/>
      <c r="CC55" s="101"/>
      <c r="CD55" s="101"/>
      <c r="CE55" s="101"/>
      <c r="CF55" s="101"/>
      <c r="CG55" s="101"/>
      <c r="CH55" s="101"/>
      <c r="CI55" s="101"/>
      <c r="CJ55" s="101"/>
      <c r="CK55" s="101"/>
      <c r="CL55" s="101"/>
      <c r="CM55" s="101"/>
      <c r="CN55" s="101"/>
      <c r="CO55" s="101"/>
      <c r="CP55" s="101"/>
      <c r="CQ55" s="101"/>
      <c r="CR55" s="101"/>
      <c r="CS55" s="102"/>
    </row>
    <row r="56" spans="1:97" x14ac:dyDescent="0.35">
      <c r="A56" s="103" t="str">
        <f>DISTRIBUCIÓN!A95</f>
        <v>FASE 4. Elaboración del plan</v>
      </c>
      <c r="B56" s="104" t="s">
        <v>86</v>
      </c>
      <c r="C56" s="104" t="s">
        <v>87</v>
      </c>
      <c r="D56" s="104" t="s">
        <v>588</v>
      </c>
      <c r="E56" s="104" t="s">
        <v>95</v>
      </c>
      <c r="F56" s="104" t="s">
        <v>91</v>
      </c>
      <c r="G56" s="104"/>
      <c r="AK56" s="109"/>
      <c r="BA56" s="108"/>
      <c r="BB56" s="108"/>
      <c r="BC56" s="108"/>
      <c r="BD56" s="108"/>
      <c r="BE56" s="108"/>
      <c r="BF56" s="108"/>
      <c r="BG56" s="108"/>
      <c r="BH56" s="108"/>
      <c r="BI56" s="108"/>
      <c r="BJ56" s="108"/>
      <c r="BK56" s="108"/>
      <c r="BL56" s="108"/>
      <c r="BM56" s="108"/>
      <c r="BN56" s="108"/>
      <c r="BO56" s="109"/>
      <c r="BP56" s="108"/>
      <c r="BQ56" s="108"/>
      <c r="BR56" s="108"/>
      <c r="BS56" s="108"/>
      <c r="BT56" s="108"/>
      <c r="BU56" s="108"/>
      <c r="BV56" s="108"/>
      <c r="BW56" s="108"/>
      <c r="BX56" s="108"/>
      <c r="BY56" s="108"/>
      <c r="BZ56" s="108"/>
      <c r="CA56" s="108"/>
      <c r="CB56" s="108"/>
      <c r="CC56" s="108"/>
      <c r="CD56" s="108"/>
      <c r="CE56" s="108"/>
      <c r="CF56" s="108"/>
      <c r="CG56" s="108"/>
      <c r="CH56" s="108"/>
      <c r="CI56" s="108"/>
      <c r="CJ56" s="108"/>
      <c r="CK56" s="108"/>
      <c r="CL56" s="108"/>
      <c r="CM56" s="108"/>
      <c r="CN56" s="108"/>
      <c r="CO56" s="108"/>
      <c r="CP56" s="108"/>
      <c r="CQ56" s="108"/>
      <c r="CR56" s="108"/>
      <c r="CS56" s="109"/>
    </row>
    <row r="57" spans="1:97" ht="20.25" x14ac:dyDescent="0.35">
      <c r="A57" s="231" t="s">
        <v>512</v>
      </c>
      <c r="B57" s="206">
        <v>3</v>
      </c>
      <c r="C57" s="206">
        <f t="shared" ref="C57:C58" si="9">SUM(H57:CS57)</f>
        <v>4</v>
      </c>
      <c r="D57" s="107">
        <v>1</v>
      </c>
      <c r="E57" s="107">
        <f>D57*C57</f>
        <v>4</v>
      </c>
      <c r="F57" s="107">
        <f>C57*B57</f>
        <v>12</v>
      </c>
      <c r="G57" s="107"/>
      <c r="O57" s="1"/>
      <c r="P57" s="1"/>
      <c r="Q57" s="1"/>
      <c r="R57" s="1"/>
      <c r="S57" s="1"/>
      <c r="T57" s="1"/>
      <c r="AK57" s="109"/>
      <c r="BA57" s="108"/>
      <c r="BB57" s="108"/>
      <c r="BC57" s="108"/>
      <c r="BD57" s="108"/>
      <c r="BE57" s="108"/>
      <c r="BF57" s="108"/>
      <c r="BG57" s="108"/>
      <c r="BH57" s="108"/>
      <c r="BI57" s="108"/>
      <c r="BJ57" s="108"/>
      <c r="BK57" s="108"/>
      <c r="BL57" s="108">
        <v>1</v>
      </c>
      <c r="BM57" s="108">
        <v>1</v>
      </c>
      <c r="BN57" s="108">
        <v>1</v>
      </c>
      <c r="BO57" s="109">
        <v>1</v>
      </c>
      <c r="BP57" s="108"/>
      <c r="BQ57" s="108"/>
      <c r="BR57" s="108"/>
      <c r="BS57" s="108"/>
      <c r="BT57" s="108"/>
      <c r="BU57" s="108"/>
      <c r="BV57" s="108"/>
      <c r="BW57" s="108"/>
      <c r="BX57" s="108"/>
      <c r="BY57" s="108"/>
      <c r="BZ57" s="108"/>
      <c r="CA57" s="108"/>
      <c r="CB57" s="108"/>
      <c r="CC57" s="108"/>
      <c r="CD57" s="108"/>
      <c r="CE57" s="108"/>
      <c r="CF57" s="108"/>
      <c r="CG57" s="108"/>
      <c r="CH57" s="108"/>
      <c r="CI57" s="108"/>
      <c r="CJ57" s="108"/>
      <c r="CK57" s="108"/>
      <c r="CL57" s="108"/>
      <c r="CM57" s="108"/>
      <c r="CN57" s="108"/>
      <c r="CO57" s="108"/>
      <c r="CP57" s="108"/>
      <c r="CQ57" s="108"/>
      <c r="CR57" s="108"/>
      <c r="CS57" s="109"/>
    </row>
    <row r="58" spans="1:97" x14ac:dyDescent="0.35">
      <c r="A58" s="231"/>
      <c r="B58" s="206"/>
      <c r="C58" s="206">
        <f t="shared" si="9"/>
        <v>0</v>
      </c>
      <c r="D58" s="107"/>
      <c r="E58" s="107">
        <f t="shared" ref="E58" si="10">D58*C58</f>
        <v>0</v>
      </c>
      <c r="F58" s="107">
        <f t="shared" ref="F58" si="11">C58*B58</f>
        <v>0</v>
      </c>
      <c r="G58" s="107"/>
      <c r="AK58" s="109"/>
      <c r="BA58" s="108"/>
      <c r="BB58" s="108"/>
      <c r="BC58" s="108"/>
      <c r="BD58" s="108"/>
      <c r="BE58" s="108"/>
      <c r="BF58" s="108"/>
      <c r="BG58" s="108"/>
      <c r="BH58" s="108"/>
      <c r="BI58" s="108"/>
      <c r="BJ58" s="108"/>
      <c r="BK58" s="108"/>
      <c r="BL58" s="108"/>
      <c r="BM58" s="108"/>
      <c r="BN58" s="108"/>
      <c r="BO58" s="109"/>
      <c r="BP58" s="108"/>
      <c r="BQ58" s="108"/>
      <c r="BR58" s="108"/>
      <c r="BS58" s="108"/>
      <c r="BT58" s="108"/>
      <c r="BU58" s="108"/>
      <c r="BV58" s="108"/>
      <c r="BW58" s="108"/>
      <c r="BX58" s="108"/>
      <c r="BY58" s="108"/>
      <c r="BZ58" s="108"/>
      <c r="CA58" s="108"/>
      <c r="CB58" s="108"/>
      <c r="CC58" s="108"/>
      <c r="CD58" s="108"/>
      <c r="CE58" s="108"/>
      <c r="CF58" s="108"/>
      <c r="CG58" s="108"/>
      <c r="CH58" s="108"/>
      <c r="CI58" s="108"/>
      <c r="CJ58" s="108"/>
      <c r="CK58" s="108"/>
      <c r="CL58" s="108"/>
      <c r="CM58" s="108"/>
      <c r="CN58" s="108"/>
      <c r="CO58" s="108"/>
      <c r="CP58" s="108"/>
      <c r="CQ58" s="108"/>
      <c r="CR58" s="108"/>
      <c r="CS58" s="109"/>
    </row>
    <row r="59" spans="1:97" x14ac:dyDescent="0.35">
      <c r="A59" s="107"/>
      <c r="B59" s="206"/>
      <c r="C59" s="206">
        <f>SUM(H59:CS59)</f>
        <v>0</v>
      </c>
      <c r="D59" s="107"/>
      <c r="E59" s="107">
        <f>D59*C59</f>
        <v>0</v>
      </c>
      <c r="F59" s="107">
        <f>C59*B59</f>
        <v>0</v>
      </c>
      <c r="G59" s="107"/>
      <c r="AK59" s="109"/>
      <c r="BA59" s="108"/>
      <c r="BB59" s="108"/>
      <c r="BC59" s="108"/>
      <c r="BD59" s="108"/>
      <c r="BE59" s="108"/>
      <c r="BF59" s="108"/>
      <c r="BG59" s="108"/>
      <c r="BH59" s="108"/>
      <c r="BI59" s="108"/>
      <c r="BJ59" s="108"/>
      <c r="BK59" s="108"/>
      <c r="BL59" s="108"/>
      <c r="BM59" s="108"/>
      <c r="BN59" s="108"/>
      <c r="BO59" s="109"/>
      <c r="BP59" s="108"/>
      <c r="BQ59" s="108"/>
      <c r="BR59" s="108"/>
      <c r="BS59" s="108"/>
      <c r="BT59" s="108"/>
      <c r="BU59" s="108"/>
      <c r="BV59" s="108"/>
      <c r="BW59" s="108"/>
      <c r="BX59" s="108"/>
      <c r="BY59" s="108"/>
      <c r="BZ59" s="108"/>
      <c r="CA59" s="108"/>
      <c r="CB59" s="108"/>
      <c r="CC59" s="108"/>
      <c r="CD59" s="108"/>
      <c r="CE59" s="108"/>
      <c r="CF59" s="108"/>
      <c r="CG59" s="108"/>
      <c r="CH59" s="108"/>
      <c r="CI59" s="108"/>
      <c r="CJ59" s="108"/>
      <c r="CK59" s="108"/>
      <c r="CL59" s="108"/>
      <c r="CM59" s="108"/>
      <c r="CN59" s="108"/>
      <c r="CO59" s="108"/>
      <c r="CP59" s="108"/>
      <c r="CQ59" s="108"/>
      <c r="CR59" s="108"/>
      <c r="CS59" s="109"/>
    </row>
    <row r="60" spans="1:97" x14ac:dyDescent="0.35">
      <c r="A60" s="119" t="s">
        <v>31</v>
      </c>
      <c r="B60" s="117"/>
      <c r="C60" s="203">
        <f>SUM(C54:C59)</f>
        <v>4</v>
      </c>
      <c r="D60" s="203"/>
      <c r="E60" s="203">
        <f>SUM(E54:E59)</f>
        <v>4</v>
      </c>
      <c r="F60" s="203">
        <f>SUM(F54:F59)</f>
        <v>12</v>
      </c>
      <c r="G60" s="203"/>
      <c r="AK60" s="109"/>
      <c r="BA60" s="108"/>
      <c r="BB60" s="108"/>
      <c r="BC60" s="108"/>
      <c r="BD60" s="108"/>
      <c r="BE60" s="108"/>
      <c r="BF60" s="108"/>
      <c r="BG60" s="108"/>
      <c r="BH60" s="108"/>
      <c r="BI60" s="108"/>
      <c r="BJ60" s="108"/>
      <c r="BK60" s="108"/>
      <c r="BL60" s="108"/>
      <c r="BM60" s="108"/>
      <c r="BN60" s="108"/>
      <c r="BO60" s="109"/>
      <c r="BP60" s="108"/>
      <c r="BQ60" s="108"/>
      <c r="BR60" s="108"/>
      <c r="BS60" s="108"/>
      <c r="BT60" s="108"/>
      <c r="BU60" s="108"/>
      <c r="BV60" s="108"/>
      <c r="BW60" s="108"/>
      <c r="BX60" s="108"/>
      <c r="BY60" s="108"/>
      <c r="BZ60" s="108"/>
      <c r="CA60" s="108"/>
      <c r="CB60" s="108"/>
      <c r="CC60" s="108"/>
      <c r="CD60" s="108"/>
      <c r="CE60" s="108"/>
      <c r="CF60" s="108"/>
      <c r="CG60" s="108"/>
      <c r="CH60" s="108"/>
      <c r="CI60" s="108"/>
      <c r="CJ60" s="108"/>
      <c r="CK60" s="108"/>
      <c r="CL60" s="108"/>
      <c r="CM60" s="108"/>
      <c r="CN60" s="108"/>
      <c r="CO60" s="108"/>
      <c r="CP60" s="108"/>
      <c r="CQ60" s="108"/>
      <c r="CR60" s="108"/>
      <c r="CS60" s="109"/>
    </row>
    <row r="61" spans="1:97" ht="13.9" thickBot="1" x14ac:dyDescent="0.4">
      <c r="A61" s="115" t="s">
        <v>74</v>
      </c>
      <c r="B61" s="111"/>
      <c r="C61" s="111">
        <f>C60</f>
        <v>4</v>
      </c>
      <c r="D61" s="111"/>
      <c r="E61" s="111">
        <f>E60</f>
        <v>4</v>
      </c>
      <c r="F61" s="111">
        <f>F60</f>
        <v>12</v>
      </c>
      <c r="G61" s="111"/>
      <c r="H61" s="112"/>
      <c r="I61" s="112"/>
      <c r="J61" s="112"/>
      <c r="K61" s="112"/>
      <c r="L61" s="112"/>
      <c r="M61" s="112"/>
      <c r="N61" s="112"/>
      <c r="O61" s="112"/>
      <c r="P61" s="112"/>
      <c r="Q61" s="112"/>
      <c r="R61" s="112"/>
      <c r="S61" s="112"/>
      <c r="T61" s="112"/>
      <c r="U61" s="112"/>
      <c r="V61" s="112"/>
      <c r="W61" s="112"/>
      <c r="X61" s="112"/>
      <c r="Y61" s="112"/>
      <c r="Z61" s="112"/>
      <c r="AA61" s="112"/>
      <c r="AB61" s="112"/>
      <c r="AC61" s="112"/>
      <c r="AD61" s="112"/>
      <c r="AE61" s="112"/>
      <c r="AF61" s="112"/>
      <c r="AG61" s="112"/>
      <c r="AH61" s="112"/>
      <c r="AI61" s="112"/>
      <c r="AJ61" s="112"/>
      <c r="AK61" s="113"/>
      <c r="AL61" s="1"/>
      <c r="AM61" s="112"/>
      <c r="AN61" s="112"/>
      <c r="AO61" s="112"/>
      <c r="AP61" s="112"/>
      <c r="AQ61" s="112"/>
      <c r="AR61" s="112"/>
      <c r="AS61" s="112"/>
      <c r="AT61" s="112"/>
      <c r="AU61" s="112"/>
      <c r="AV61" s="112"/>
      <c r="AW61" s="112"/>
      <c r="AX61" s="112"/>
      <c r="AY61" s="112"/>
      <c r="AZ61" s="112"/>
      <c r="BA61" s="112"/>
      <c r="BB61" s="112"/>
      <c r="BC61" s="112"/>
      <c r="BD61" s="112"/>
      <c r="BE61" s="112"/>
      <c r="BF61" s="112"/>
      <c r="BG61" s="112"/>
      <c r="BH61" s="112"/>
      <c r="BI61" s="112"/>
      <c r="BJ61" s="112"/>
      <c r="BK61" s="112"/>
      <c r="BL61" s="112"/>
      <c r="BM61" s="112"/>
      <c r="BN61" s="112"/>
      <c r="BO61" s="113"/>
      <c r="BQ61" s="112"/>
      <c r="BR61" s="112"/>
      <c r="BS61" s="112"/>
      <c r="BT61" s="112"/>
      <c r="BU61" s="112"/>
      <c r="BV61" s="112"/>
      <c r="BW61" s="112"/>
      <c r="BX61" s="112"/>
      <c r="BY61" s="112"/>
      <c r="BZ61" s="112"/>
      <c r="CA61" s="112"/>
      <c r="CB61" s="112"/>
      <c r="CC61" s="112"/>
      <c r="CD61" s="112"/>
      <c r="CE61" s="112"/>
      <c r="CF61" s="112"/>
      <c r="CG61" s="112"/>
      <c r="CH61" s="112"/>
      <c r="CI61" s="112"/>
      <c r="CJ61" s="112"/>
      <c r="CK61" s="112"/>
      <c r="CL61" s="112"/>
      <c r="CM61" s="112"/>
      <c r="CN61" s="112"/>
      <c r="CO61" s="112"/>
      <c r="CP61" s="112"/>
      <c r="CQ61" s="112"/>
      <c r="CR61" s="112"/>
      <c r="CS61" s="113"/>
    </row>
    <row r="62" spans="1:97" x14ac:dyDescent="0.35">
      <c r="H62" s="729" t="s">
        <v>563</v>
      </c>
      <c r="I62" s="729"/>
      <c r="J62" s="729"/>
      <c r="K62" s="729"/>
      <c r="L62" s="729"/>
      <c r="M62" s="729"/>
      <c r="N62" s="729">
        <f>SUM(H57:AK57)*$D$57+SUM(H58:AK58)*$D$58+SUM(H59:AK59)*$D$59</f>
        <v>0</v>
      </c>
      <c r="O62" s="729"/>
      <c r="P62" s="729"/>
      <c r="Q62" s="729"/>
      <c r="R62" s="728" t="s">
        <v>183</v>
      </c>
      <c r="S62" s="728"/>
      <c r="T62" s="728"/>
      <c r="U62" s="728"/>
      <c r="V62" s="728"/>
      <c r="W62" s="729">
        <f>SUM(H57:AK57)*$B$57+SUM(H58:AK58)*$B$58+SUM(H59:AK59)*$B$59</f>
        <v>0</v>
      </c>
      <c r="X62" s="729"/>
      <c r="Y62" s="729"/>
      <c r="Z62" s="729"/>
      <c r="AL62" s="729" t="s">
        <v>564</v>
      </c>
      <c r="AM62" s="729"/>
      <c r="AN62" s="729"/>
      <c r="AO62" s="729"/>
      <c r="AP62" s="729"/>
      <c r="AQ62" s="729"/>
      <c r="AR62" s="729">
        <f>SUM(AL57:BO57)*$D$57+SUM(AL58:BO58)*$D$58+SUM(AL59:BO59)*$D$59</f>
        <v>4</v>
      </c>
      <c r="AS62" s="729"/>
      <c r="AT62" s="729"/>
      <c r="AU62" s="729"/>
      <c r="AV62" s="728" t="s">
        <v>184</v>
      </c>
      <c r="AW62" s="728"/>
      <c r="AX62" s="728"/>
      <c r="AY62" s="728"/>
      <c r="AZ62" s="728"/>
      <c r="BA62" s="729">
        <f>SUM(AL57:BO57)*$B$57+SUM(AL58:BO58)*$B$58+SUM(AL59:BO59)*$B$59</f>
        <v>12</v>
      </c>
      <c r="BB62" s="729"/>
      <c r="BC62" s="729"/>
      <c r="BD62" s="729"/>
      <c r="BE62" s="108"/>
      <c r="BF62" s="108"/>
      <c r="BG62" s="108"/>
      <c r="BH62" s="108"/>
      <c r="BI62" s="108"/>
      <c r="BJ62" s="108"/>
      <c r="BK62" s="108"/>
      <c r="BL62" s="108"/>
      <c r="BM62" s="108"/>
      <c r="BN62" s="108"/>
      <c r="BO62" s="108"/>
      <c r="BP62" s="729" t="s">
        <v>565</v>
      </c>
      <c r="BQ62" s="729"/>
      <c r="BR62" s="729"/>
      <c r="BS62" s="729"/>
      <c r="BT62" s="729"/>
      <c r="BU62" s="729"/>
      <c r="BV62" s="729">
        <f>SUM(BP57:CS57)*$D$57+SUM(BP58:CS58)*$D$58+SUM(BP59:CS59)*$D$59</f>
        <v>0</v>
      </c>
      <c r="BW62" s="729"/>
      <c r="BX62" s="729"/>
      <c r="BY62" s="729"/>
      <c r="BZ62" s="728" t="s">
        <v>185</v>
      </c>
      <c r="CA62" s="728"/>
      <c r="CB62" s="728"/>
      <c r="CC62" s="728"/>
      <c r="CD62" s="728"/>
      <c r="CE62" s="729">
        <f>SUM(BP57:CS57)*$B$57+SUM(BP58:CS58)*$B$58+SUM(BP59:CS59)*$B$59</f>
        <v>0</v>
      </c>
      <c r="CF62" s="729"/>
      <c r="CG62" s="729"/>
      <c r="CH62" s="729"/>
      <c r="CI62" s="108"/>
      <c r="CJ62" s="108"/>
      <c r="CK62" s="108"/>
      <c r="CL62" s="108"/>
      <c r="CM62" s="108"/>
      <c r="CN62" s="108"/>
      <c r="CO62" s="108"/>
      <c r="CP62" s="108"/>
      <c r="CQ62" s="108"/>
      <c r="CR62" s="108"/>
      <c r="CS62" s="108"/>
    </row>
    <row r="63" spans="1:97" x14ac:dyDescent="0.35">
      <c r="B63" s="65" t="s">
        <v>97</v>
      </c>
      <c r="C63" s="65" t="s">
        <v>99</v>
      </c>
      <c r="D63" s="65" t="s">
        <v>168</v>
      </c>
      <c r="E63" s="65" t="s">
        <v>169</v>
      </c>
      <c r="F63" s="65" t="s">
        <v>170</v>
      </c>
      <c r="G63" s="65" t="s">
        <v>140</v>
      </c>
    </row>
    <row r="64" spans="1:97" x14ac:dyDescent="0.35">
      <c r="A64" s="204" t="s">
        <v>98</v>
      </c>
      <c r="B64" s="92">
        <f>B51</f>
        <v>568888.95555555564</v>
      </c>
      <c r="C64" s="1">
        <f>N62+AR62+BV62</f>
        <v>4</v>
      </c>
      <c r="D64" s="92">
        <f>N62*B64</f>
        <v>0</v>
      </c>
      <c r="E64" s="92">
        <f>AR62*B64</f>
        <v>2275555.8222222226</v>
      </c>
      <c r="F64" s="92">
        <f>B64*BV62</f>
        <v>0</v>
      </c>
      <c r="G64" s="92">
        <f>SUM(D64:F64)</f>
        <v>2275555.8222222226</v>
      </c>
    </row>
    <row r="65" spans="1:116" x14ac:dyDescent="0.35">
      <c r="A65" s="204" t="s">
        <v>96</v>
      </c>
      <c r="B65" s="92">
        <f>B52</f>
        <v>160000</v>
      </c>
      <c r="C65" s="1">
        <f>W62+BA62+CE62</f>
        <v>12</v>
      </c>
      <c r="D65" s="92">
        <f>W62*B65</f>
        <v>0</v>
      </c>
      <c r="E65" s="92">
        <f>BA62*B65</f>
        <v>1920000</v>
      </c>
      <c r="F65" s="92">
        <f>B65*CE62</f>
        <v>0</v>
      </c>
      <c r="G65" s="92">
        <f>SUM(D65:F65)</f>
        <v>1920000</v>
      </c>
    </row>
    <row r="67" spans="1:116" x14ac:dyDescent="0.35">
      <c r="A67" s="119" t="s">
        <v>31</v>
      </c>
      <c r="B67" s="117"/>
      <c r="C67" s="203"/>
      <c r="D67" s="203"/>
      <c r="E67" s="203"/>
      <c r="F67" s="203"/>
      <c r="G67" s="203"/>
    </row>
    <row r="68" spans="1:116" x14ac:dyDescent="0.35">
      <c r="A68" s="232"/>
      <c r="B68" s="227"/>
      <c r="C68" s="228"/>
      <c r="D68" s="228"/>
      <c r="E68" s="104" t="s">
        <v>95</v>
      </c>
      <c r="F68" s="104" t="s">
        <v>91</v>
      </c>
      <c r="G68" s="228"/>
    </row>
    <row r="69" spans="1:116" x14ac:dyDescent="0.35">
      <c r="A69" s="207" t="s">
        <v>90</v>
      </c>
      <c r="B69" s="208"/>
      <c r="C69" s="208">
        <f>C30+C9+C48+C61</f>
        <v>125</v>
      </c>
      <c r="D69" s="208"/>
      <c r="E69" s="208">
        <f>E61+E48+E30+E9</f>
        <v>203</v>
      </c>
      <c r="F69" s="208">
        <f>F9+F30+F48+F61</f>
        <v>468</v>
      </c>
      <c r="G69" s="208"/>
    </row>
    <row r="70" spans="1:116" x14ac:dyDescent="0.35">
      <c r="AL70" s="731"/>
      <c r="AM70" s="731"/>
      <c r="AN70" s="731"/>
      <c r="AO70" s="731"/>
      <c r="AP70" s="731"/>
      <c r="AQ70" s="731"/>
      <c r="AR70" s="731"/>
      <c r="AS70" s="731"/>
      <c r="AT70" s="731"/>
      <c r="AU70" s="731"/>
      <c r="AV70" s="732"/>
      <c r="AW70" s="732"/>
      <c r="AX70" s="732"/>
      <c r="AY70" s="732"/>
      <c r="AZ70" s="732"/>
      <c r="BA70" s="731"/>
      <c r="BB70" s="731"/>
      <c r="BC70" s="731"/>
      <c r="BD70" s="731"/>
      <c r="BP70" s="731"/>
      <c r="BQ70" s="731"/>
      <c r="BR70" s="731"/>
      <c r="BS70" s="731"/>
      <c r="BT70" s="731"/>
      <c r="BU70" s="731"/>
      <c r="BV70" s="731"/>
      <c r="BW70" s="731"/>
      <c r="BX70" s="731"/>
      <c r="BY70" s="731"/>
      <c r="BZ70" s="732"/>
      <c r="CA70" s="732"/>
      <c r="CB70" s="732"/>
      <c r="CC70" s="732"/>
      <c r="CD70" s="732"/>
      <c r="CE70" s="731"/>
      <c r="CF70" s="731"/>
      <c r="CG70" s="731"/>
      <c r="CH70" s="731"/>
      <c r="CT70" s="731"/>
      <c r="CU70" s="731"/>
      <c r="CV70" s="731"/>
      <c r="CW70" s="731"/>
      <c r="CX70" s="731"/>
      <c r="CY70" s="731"/>
      <c r="CZ70" s="731"/>
      <c r="DA70" s="731"/>
      <c r="DB70" s="731"/>
      <c r="DC70" s="731"/>
      <c r="DD70" s="732"/>
      <c r="DE70" s="732"/>
      <c r="DF70" s="732"/>
      <c r="DG70" s="732"/>
      <c r="DH70" s="732"/>
      <c r="DI70" s="731"/>
      <c r="DJ70" s="731"/>
      <c r="DK70" s="731"/>
      <c r="DL70" s="731"/>
    </row>
    <row r="71" spans="1:116" x14ac:dyDescent="0.35">
      <c r="C71" s="65" t="s">
        <v>97</v>
      </c>
      <c r="D71" s="65" t="s">
        <v>142</v>
      </c>
    </row>
    <row r="72" spans="1:116" x14ac:dyDescent="0.35">
      <c r="A72" s="204" t="s">
        <v>141</v>
      </c>
      <c r="B72" s="1">
        <f>E69</f>
        <v>203</v>
      </c>
      <c r="C72" s="92">
        <f>B51</f>
        <v>568888.95555555564</v>
      </c>
      <c r="D72" s="209">
        <f>B72*C72</f>
        <v>115484457.97777779</v>
      </c>
      <c r="E72" s="92">
        <f>D72*FM!D48</f>
        <v>120300159.87545113</v>
      </c>
      <c r="G72" s="92"/>
    </row>
    <row r="73" spans="1:116" ht="13.9" thickBot="1" x14ac:dyDescent="0.4">
      <c r="A73" s="204" t="s">
        <v>113</v>
      </c>
      <c r="B73" s="1">
        <f>F69</f>
        <v>468</v>
      </c>
      <c r="C73" s="92">
        <f>B52</f>
        <v>160000</v>
      </c>
      <c r="D73" s="233">
        <f>B73*C73</f>
        <v>74880000</v>
      </c>
      <c r="E73" s="92">
        <f>D73*FM!D48</f>
        <v>78002496</v>
      </c>
      <c r="G73" s="92"/>
    </row>
    <row r="74" spans="1:116" x14ac:dyDescent="0.35">
      <c r="D74" s="209">
        <f>SUM(D72:D73)</f>
        <v>190364457.97777778</v>
      </c>
    </row>
  </sheetData>
  <mergeCells count="72">
    <mergeCell ref="H53:AK53"/>
    <mergeCell ref="AL53:BO53"/>
    <mergeCell ref="BP53:CS53"/>
    <mergeCell ref="BP62:BU62"/>
    <mergeCell ref="BV62:BY62"/>
    <mergeCell ref="BZ62:CD62"/>
    <mergeCell ref="CE62:CH62"/>
    <mergeCell ref="AR62:AU62"/>
    <mergeCell ref="AV62:AZ62"/>
    <mergeCell ref="BA62:BD62"/>
    <mergeCell ref="H62:M62"/>
    <mergeCell ref="N62:Q62"/>
    <mergeCell ref="R62:V62"/>
    <mergeCell ref="W62:Z62"/>
    <mergeCell ref="AL62:AQ62"/>
    <mergeCell ref="AL49:AQ49"/>
    <mergeCell ref="AR49:AU49"/>
    <mergeCell ref="AV49:AZ49"/>
    <mergeCell ref="BA49:BD49"/>
    <mergeCell ref="H39:AK39"/>
    <mergeCell ref="AL39:BO39"/>
    <mergeCell ref="H49:M49"/>
    <mergeCell ref="N49:Q49"/>
    <mergeCell ref="R49:V49"/>
    <mergeCell ref="W49:Z49"/>
    <mergeCell ref="FB14:GE14"/>
    <mergeCell ref="FB31:FG31"/>
    <mergeCell ref="FH31:FK31"/>
    <mergeCell ref="FL31:FP31"/>
    <mergeCell ref="FQ31:FT31"/>
    <mergeCell ref="DX14:FA14"/>
    <mergeCell ref="DX31:EC31"/>
    <mergeCell ref="ED31:EG31"/>
    <mergeCell ref="EH31:EL31"/>
    <mergeCell ref="EM31:EP31"/>
    <mergeCell ref="H1:AK1"/>
    <mergeCell ref="AL14:BO14"/>
    <mergeCell ref="BP14:CS14"/>
    <mergeCell ref="CT14:DW14"/>
    <mergeCell ref="CT31:CY31"/>
    <mergeCell ref="CZ31:DC31"/>
    <mergeCell ref="DD31:DH31"/>
    <mergeCell ref="DI31:DL31"/>
    <mergeCell ref="BV31:BY31"/>
    <mergeCell ref="BZ31:CD31"/>
    <mergeCell ref="CE31:CH31"/>
    <mergeCell ref="BA31:BD31"/>
    <mergeCell ref="AV31:AZ31"/>
    <mergeCell ref="AR31:AU31"/>
    <mergeCell ref="AL31:AQ31"/>
    <mergeCell ref="BP31:BU31"/>
    <mergeCell ref="DD70:DH70"/>
    <mergeCell ref="DI70:DL70"/>
    <mergeCell ref="BV70:BY70"/>
    <mergeCell ref="BZ70:CD70"/>
    <mergeCell ref="CE70:CH70"/>
    <mergeCell ref="CT70:CY70"/>
    <mergeCell ref="CZ70:DC70"/>
    <mergeCell ref="AL70:AQ70"/>
    <mergeCell ref="AR70:AU70"/>
    <mergeCell ref="AV70:AZ70"/>
    <mergeCell ref="BA70:BD70"/>
    <mergeCell ref="BP70:BU70"/>
    <mergeCell ref="R10:V10"/>
    <mergeCell ref="W10:Z10"/>
    <mergeCell ref="H10:M10"/>
    <mergeCell ref="N10:Q10"/>
    <mergeCell ref="H31:M31"/>
    <mergeCell ref="N31:Q31"/>
    <mergeCell ref="R31:V31"/>
    <mergeCell ref="W31:Z31"/>
    <mergeCell ref="H14:AK14"/>
  </mergeCells>
  <phoneticPr fontId="5" type="noConversion"/>
  <conditionalFormatting sqref="H3:AK9">
    <cfRule type="cellIs" dxfId="118" priority="11" operator="equal">
      <formula>1</formula>
    </cfRule>
  </conditionalFormatting>
  <conditionalFormatting sqref="H42:BO48">
    <cfRule type="cellIs" dxfId="117" priority="2" operator="equal">
      <formula>1</formula>
    </cfRule>
  </conditionalFormatting>
  <conditionalFormatting sqref="H55:CS61">
    <cfRule type="cellIs" dxfId="116" priority="1" operator="equal">
      <formula>1</formula>
    </cfRule>
  </conditionalFormatting>
  <conditionalFormatting sqref="H16:GE30 H67:H68">
    <cfRule type="cellIs" dxfId="115" priority="7" operator="equal">
      <formula>1</formula>
    </cfRule>
  </conditionalFormatting>
  <hyperlinks>
    <hyperlink ref="A3" location="'TABLERO CONTROL'!A1" display="FASE UNO (1)" xr:uid="{3F88BCEA-9C62-47C4-965D-80C3E289F8AA}"/>
  </hyperlinks>
  <pageMargins left="0.7" right="0.7" top="0.75" bottom="0.75" header="0.3" footer="0.3"/>
  <pageSetup orientation="portrait" r:id="rId1"/>
  <ignoredErrors>
    <ignoredError sqref="O31:V31 X31:Z31"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4DFA5-F148-465F-9F21-3FB9242E9302}">
  <dimension ref="A1:M50"/>
  <sheetViews>
    <sheetView showGridLines="0" zoomScale="90" zoomScaleNormal="90" workbookViewId="0">
      <selection activeCell="I13" sqref="I13"/>
    </sheetView>
  </sheetViews>
  <sheetFormatPr defaultColWidth="11.3984375" defaultRowHeight="13.5" x14ac:dyDescent="0.35"/>
  <cols>
    <col min="1" max="1" width="1" style="143" customWidth="1"/>
    <col min="2" max="2" width="49.3984375" style="143" customWidth="1"/>
    <col min="3" max="3" width="11.86328125" style="482" bestFit="1" customWidth="1"/>
    <col min="4" max="4" width="13.1328125" style="539" bestFit="1" customWidth="1"/>
    <col min="5" max="5" width="15.265625" style="482" bestFit="1" customWidth="1"/>
    <col min="6" max="6" width="15" style="482" customWidth="1"/>
    <col min="7" max="7" width="21.86328125" style="482" bestFit="1" customWidth="1"/>
    <col min="8" max="8" width="11.73046875" style="482" customWidth="1"/>
    <col min="9" max="9" width="22.59765625" style="482" customWidth="1"/>
    <col min="10" max="10" width="1.3984375" style="143" customWidth="1"/>
    <col min="11" max="11" width="23" style="161" customWidth="1"/>
    <col min="12" max="12" width="6.265625" style="143" customWidth="1"/>
    <col min="13" max="13" width="16.59765625" style="143" bestFit="1" customWidth="1"/>
    <col min="14" max="16384" width="11.3984375" style="143"/>
  </cols>
  <sheetData>
    <row r="1" spans="1:13" ht="6.75" customHeight="1" thickBot="1" x14ac:dyDescent="0.4">
      <c r="A1" s="100"/>
      <c r="B1" s="100"/>
      <c r="C1" s="97"/>
      <c r="D1" s="98"/>
      <c r="E1" s="97"/>
      <c r="F1" s="97"/>
      <c r="G1" s="97"/>
      <c r="H1" s="97"/>
      <c r="I1" s="97"/>
      <c r="J1" s="100"/>
    </row>
    <row r="2" spans="1:13" ht="39.75" customHeight="1" x14ac:dyDescent="0.35">
      <c r="A2" s="100"/>
      <c r="B2" s="740" t="s">
        <v>385</v>
      </c>
      <c r="C2" s="741"/>
      <c r="D2" s="741"/>
      <c r="E2" s="741"/>
      <c r="F2" s="741"/>
      <c r="G2" s="741"/>
      <c r="H2" s="741"/>
      <c r="I2" s="742"/>
      <c r="J2" s="100"/>
    </row>
    <row r="3" spans="1:13" x14ac:dyDescent="0.35">
      <c r="A3" s="100"/>
      <c r="B3" s="493" t="s">
        <v>0</v>
      </c>
      <c r="C3" s="494" t="s">
        <v>1</v>
      </c>
      <c r="D3" s="495" t="s">
        <v>2</v>
      </c>
      <c r="E3" s="494" t="s">
        <v>3</v>
      </c>
      <c r="F3" s="494" t="s">
        <v>4</v>
      </c>
      <c r="G3" s="494" t="s">
        <v>5</v>
      </c>
      <c r="H3" s="494" t="s">
        <v>6</v>
      </c>
      <c r="I3" s="496"/>
      <c r="J3" s="100"/>
    </row>
    <row r="4" spans="1:13" ht="27" x14ac:dyDescent="0.35">
      <c r="A4" s="100"/>
      <c r="B4" s="493" t="s">
        <v>19</v>
      </c>
      <c r="C4" s="494" t="s">
        <v>8</v>
      </c>
      <c r="D4" s="495" t="s">
        <v>9</v>
      </c>
      <c r="E4" s="494" t="s">
        <v>20</v>
      </c>
      <c r="F4" s="494" t="s">
        <v>605</v>
      </c>
      <c r="G4" s="494" t="s">
        <v>10</v>
      </c>
      <c r="H4" s="494" t="s">
        <v>587</v>
      </c>
      <c r="I4" s="497" t="s">
        <v>7</v>
      </c>
      <c r="J4" s="100"/>
    </row>
    <row r="5" spans="1:13" ht="7.5" customHeight="1" x14ac:dyDescent="0.35">
      <c r="A5" s="100"/>
      <c r="B5" s="498"/>
      <c r="C5" s="499"/>
      <c r="D5" s="500"/>
      <c r="E5" s="499"/>
      <c r="F5" s="499"/>
      <c r="G5" s="499"/>
      <c r="H5" s="499"/>
      <c r="I5" s="501"/>
      <c r="J5" s="100"/>
    </row>
    <row r="6" spans="1:13" ht="15.75" customHeight="1" x14ac:dyDescent="0.4">
      <c r="A6" s="100"/>
      <c r="B6" s="502" t="s">
        <v>302</v>
      </c>
      <c r="C6" s="499">
        <v>1</v>
      </c>
      <c r="D6" s="503">
        <v>6977992</v>
      </c>
      <c r="E6" s="546">
        <f ca="1">ROUND('RESUMEN PLAN DE CARGAS'!AY4,1)</f>
        <v>0.7</v>
      </c>
      <c r="F6" s="504">
        <f>FM!D37</f>
        <v>2.04</v>
      </c>
      <c r="G6" s="505">
        <f ca="1">+C6*D6*E6*F6</f>
        <v>9964572.5759999994</v>
      </c>
      <c r="H6" s="357">
        <f ca="1">'RESUMEN PLAN DE CARGAS'!AX4</f>
        <v>12</v>
      </c>
      <c r="I6" s="506">
        <f ca="1">+G6*H6</f>
        <v>119574870.912</v>
      </c>
      <c r="J6" s="100"/>
      <c r="K6" s="87" t="s">
        <v>67</v>
      </c>
      <c r="L6" s="87">
        <v>26</v>
      </c>
      <c r="M6" s="507"/>
    </row>
    <row r="7" spans="1:13" ht="15.75" customHeight="1" x14ac:dyDescent="0.4">
      <c r="A7" s="100"/>
      <c r="B7" s="502" t="s">
        <v>156</v>
      </c>
      <c r="C7" s="499">
        <v>1</v>
      </c>
      <c r="D7" s="503">
        <v>5925555</v>
      </c>
      <c r="E7" s="546">
        <f ca="1">ROUND('RESUMEN PLAN DE CARGAS'!AY5,1)</f>
        <v>0.7</v>
      </c>
      <c r="F7" s="504">
        <f>F6</f>
        <v>2.04</v>
      </c>
      <c r="G7" s="505">
        <f t="shared" ref="G7:G12" ca="1" si="0">+C7*D7*E7*F7</f>
        <v>8461692.5399999991</v>
      </c>
      <c r="H7" s="357">
        <f ca="1">'RESUMEN PLAN DE CARGAS'!AX5</f>
        <v>11</v>
      </c>
      <c r="I7" s="506">
        <f t="shared" ref="I7:I12" ca="1" si="1">+G7*H7</f>
        <v>93078617.939999998</v>
      </c>
      <c r="J7" s="100"/>
      <c r="K7" s="87" t="s">
        <v>122</v>
      </c>
      <c r="L7" s="87">
        <v>26</v>
      </c>
    </row>
    <row r="8" spans="1:13" ht="15.75" customHeight="1" x14ac:dyDescent="0.4">
      <c r="A8" s="100"/>
      <c r="B8" s="508" t="s">
        <v>157</v>
      </c>
      <c r="C8" s="509">
        <v>1</v>
      </c>
      <c r="D8" s="503">
        <v>5925555</v>
      </c>
      <c r="E8" s="546">
        <f ca="1">ROUND('RESUMEN PLAN DE CARGAS'!AY6,1)</f>
        <v>0.6</v>
      </c>
      <c r="F8" s="504">
        <f t="shared" ref="F8:F11" si="2">F7</f>
        <v>2.04</v>
      </c>
      <c r="G8" s="505">
        <f t="shared" ca="1" si="0"/>
        <v>7252879.3200000003</v>
      </c>
      <c r="H8" s="357">
        <f ca="1">'RESUMEN PLAN DE CARGAS'!AX6</f>
        <v>9</v>
      </c>
      <c r="I8" s="506">
        <f ca="1">+G8*H8</f>
        <v>65275913.880000003</v>
      </c>
      <c r="J8" s="100"/>
      <c r="K8" s="87" t="s">
        <v>122</v>
      </c>
      <c r="L8" s="87">
        <v>26</v>
      </c>
    </row>
    <row r="9" spans="1:13" ht="15.75" customHeight="1" x14ac:dyDescent="0.4">
      <c r="A9" s="100"/>
      <c r="B9" s="502" t="s">
        <v>158</v>
      </c>
      <c r="C9" s="499">
        <v>1</v>
      </c>
      <c r="D9" s="503">
        <v>3639162</v>
      </c>
      <c r="E9" s="546">
        <f ca="1">ROUND('RESUMEN PLAN DE CARGAS'!AY7,1)</f>
        <v>0.9</v>
      </c>
      <c r="F9" s="504">
        <f t="shared" si="2"/>
        <v>2.04</v>
      </c>
      <c r="G9" s="505">
        <f t="shared" ca="1" si="0"/>
        <v>6681501.432000001</v>
      </c>
      <c r="H9" s="357">
        <f ca="1">'RESUMEN PLAN DE CARGAS'!AX7</f>
        <v>5</v>
      </c>
      <c r="I9" s="506">
        <f t="shared" ca="1" si="1"/>
        <v>33407507.160000004</v>
      </c>
      <c r="J9" s="100"/>
      <c r="K9" s="87" t="s">
        <v>123</v>
      </c>
      <c r="L9" s="87">
        <v>26</v>
      </c>
    </row>
    <row r="10" spans="1:13" ht="15.75" customHeight="1" x14ac:dyDescent="0.4">
      <c r="A10" s="100"/>
      <c r="B10" s="502" t="s">
        <v>159</v>
      </c>
      <c r="C10" s="499">
        <v>6</v>
      </c>
      <c r="D10" s="503">
        <v>2416246</v>
      </c>
      <c r="E10" s="546">
        <f>ROUND('RESUMEN PLAN DE CARGAS'!AY8,1)</f>
        <v>1</v>
      </c>
      <c r="F10" s="504">
        <f t="shared" si="2"/>
        <v>2.04</v>
      </c>
      <c r="G10" s="505">
        <f t="shared" si="0"/>
        <v>29574851.039999999</v>
      </c>
      <c r="H10" s="357">
        <f>'RESUMEN PLAN DE CARGAS'!AX8</f>
        <v>4</v>
      </c>
      <c r="I10" s="506">
        <f t="shared" si="1"/>
        <v>118299404.16</v>
      </c>
      <c r="J10" s="100"/>
      <c r="K10" s="87" t="s">
        <v>123</v>
      </c>
      <c r="L10" s="87">
        <v>26</v>
      </c>
    </row>
    <row r="11" spans="1:13" ht="15.75" customHeight="1" x14ac:dyDescent="0.4">
      <c r="A11" s="100"/>
      <c r="B11" s="502" t="s">
        <v>131</v>
      </c>
      <c r="C11" s="499">
        <v>1</v>
      </c>
      <c r="D11" s="503">
        <v>3639162</v>
      </c>
      <c r="E11" s="546">
        <f ca="1">ROUND('RESUMEN PLAN DE CARGAS'!AY9,1)</f>
        <v>0.6</v>
      </c>
      <c r="F11" s="504">
        <f t="shared" si="2"/>
        <v>2.04</v>
      </c>
      <c r="G11" s="505">
        <f t="shared" ca="1" si="0"/>
        <v>4454334.2879999997</v>
      </c>
      <c r="H11" s="357">
        <f ca="1">'RESUMEN PLAN DE CARGAS'!AX9</f>
        <v>6</v>
      </c>
      <c r="I11" s="506">
        <f ca="1">+G11*H11</f>
        <v>26726005.728</v>
      </c>
      <c r="J11" s="100"/>
      <c r="K11" s="87"/>
      <c r="L11" s="87"/>
    </row>
    <row r="12" spans="1:13" ht="15.75" customHeight="1" x14ac:dyDescent="0.4">
      <c r="A12" s="100"/>
      <c r="B12" s="502" t="s">
        <v>121</v>
      </c>
      <c r="C12" s="499">
        <v>1</v>
      </c>
      <c r="D12" s="503">
        <v>2247340</v>
      </c>
      <c r="E12" s="546">
        <f ca="1">ROUND('RESUMEN PLAN DE CARGAS'!AY10,1)</f>
        <v>0.7</v>
      </c>
      <c r="F12" s="504">
        <f>F10</f>
        <v>2.04</v>
      </c>
      <c r="G12" s="505">
        <f t="shared" ca="1" si="0"/>
        <v>3209201.52</v>
      </c>
      <c r="H12" s="357">
        <f ca="1">'RESUMEN PLAN DE CARGAS'!AX10</f>
        <v>12</v>
      </c>
      <c r="I12" s="506">
        <f t="shared" ca="1" si="1"/>
        <v>38510418.240000002</v>
      </c>
      <c r="J12" s="100"/>
      <c r="K12" s="87" t="s">
        <v>124</v>
      </c>
      <c r="L12" s="87">
        <v>26</v>
      </c>
    </row>
    <row r="13" spans="1:13" ht="15.4" thickBot="1" x14ac:dyDescent="0.45">
      <c r="A13" s="100"/>
      <c r="B13" s="743" t="s">
        <v>610</v>
      </c>
      <c r="C13" s="744"/>
      <c r="D13" s="744"/>
      <c r="E13" s="744"/>
      <c r="F13" s="744"/>
      <c r="G13" s="744"/>
      <c r="H13" s="744"/>
      <c r="I13" s="510">
        <f ca="1">SUM(I6:I12)</f>
        <v>494872738.02000004</v>
      </c>
      <c r="J13" s="100"/>
    </row>
    <row r="14" spans="1:13" ht="14.25" customHeight="1" x14ac:dyDescent="0.35">
      <c r="A14" s="100"/>
      <c r="B14" s="745" t="s">
        <v>11</v>
      </c>
      <c r="C14" s="746"/>
      <c r="D14" s="746"/>
      <c r="E14" s="746"/>
      <c r="F14" s="746"/>
      <c r="G14" s="746"/>
      <c r="H14" s="746"/>
      <c r="I14" s="747"/>
      <c r="J14" s="100"/>
    </row>
    <row r="15" spans="1:13" ht="7.5" customHeight="1" x14ac:dyDescent="0.35">
      <c r="A15" s="100"/>
      <c r="B15" s="511"/>
      <c r="C15" s="512"/>
      <c r="D15" s="513"/>
      <c r="E15" s="514"/>
      <c r="F15" s="515"/>
      <c r="G15" s="514"/>
      <c r="H15" s="515"/>
      <c r="I15" s="516"/>
      <c r="J15" s="100"/>
    </row>
    <row r="16" spans="1:13" x14ac:dyDescent="0.35">
      <c r="A16" s="100"/>
      <c r="B16" s="748" t="s">
        <v>81</v>
      </c>
      <c r="C16" s="749"/>
      <c r="D16" s="517" t="s">
        <v>12</v>
      </c>
      <c r="E16" s="517" t="s">
        <v>8</v>
      </c>
      <c r="F16" s="517" t="s">
        <v>605</v>
      </c>
      <c r="G16" s="750" t="s">
        <v>13</v>
      </c>
      <c r="H16" s="750"/>
      <c r="I16" s="518" t="s">
        <v>24</v>
      </c>
      <c r="J16" s="100"/>
    </row>
    <row r="17" spans="1:12" x14ac:dyDescent="0.35">
      <c r="A17" s="100"/>
      <c r="B17" s="736" t="s">
        <v>160</v>
      </c>
      <c r="C17" s="737"/>
      <c r="D17" s="2" t="s">
        <v>162</v>
      </c>
      <c r="E17" s="334">
        <f>'2.1 - Transporte'!K20</f>
        <v>203</v>
      </c>
      <c r="F17" s="68">
        <f>FM!$D$48</f>
        <v>1.0417000000000001</v>
      </c>
      <c r="G17" s="738">
        <f>'2.1 - Transporte'!I20</f>
        <v>568888.95555555564</v>
      </c>
      <c r="H17" s="739"/>
      <c r="I17" s="201">
        <f>E17*F17*G17</f>
        <v>120300159.87545113</v>
      </c>
      <c r="J17" s="100"/>
    </row>
    <row r="18" spans="1:12" x14ac:dyDescent="0.35">
      <c r="A18" s="100"/>
      <c r="B18" s="736" t="s">
        <v>161</v>
      </c>
      <c r="C18" s="737"/>
      <c r="D18" s="2" t="s">
        <v>162</v>
      </c>
      <c r="E18" s="334">
        <f>'2.2 - Viáticos'!G21</f>
        <v>468</v>
      </c>
      <c r="F18" s="68">
        <f>FM!$D$48</f>
        <v>1.0417000000000001</v>
      </c>
      <c r="G18" s="751">
        <f>'2.2 - Viáticos'!E21</f>
        <v>160000</v>
      </c>
      <c r="H18" s="752"/>
      <c r="I18" s="201">
        <f t="shared" ref="I18:I33" si="3">E18*F18*G18</f>
        <v>78002496</v>
      </c>
      <c r="J18" s="100"/>
      <c r="L18" s="161"/>
    </row>
    <row r="19" spans="1:12" x14ac:dyDescent="0.35">
      <c r="A19" s="100"/>
      <c r="B19" s="736" t="s">
        <v>246</v>
      </c>
      <c r="C19" s="737"/>
      <c r="D19" s="2" t="s">
        <v>28</v>
      </c>
      <c r="E19" s="91">
        <f>'2.3 - Socialización'!E5</f>
        <v>12</v>
      </c>
      <c r="F19" s="68">
        <f>FM!$D$48</f>
        <v>1.0417000000000001</v>
      </c>
      <c r="G19" s="753">
        <f>'2.3 - Socialización'!J5</f>
        <v>1075000</v>
      </c>
      <c r="H19" s="754"/>
      <c r="I19" s="201">
        <f t="shared" si="3"/>
        <v>13437930</v>
      </c>
      <c r="J19" s="100"/>
      <c r="L19" s="161"/>
    </row>
    <row r="20" spans="1:12" ht="16.5" customHeight="1" x14ac:dyDescent="0.35">
      <c r="A20" s="100"/>
      <c r="B20" s="755" t="str">
        <f>"2.4. (A) Monitoreo puntual " &amp;'2.4 - (A,B,C y D) LABORATORIO'!A3</f>
        <v>2.4. (A) Monitoreo puntual Tiempos de Viaje</v>
      </c>
      <c r="C20" s="756"/>
      <c r="D20" s="2" t="s">
        <v>28</v>
      </c>
      <c r="E20" s="541">
        <f>'2.4 - (A,B,C y D) LABORATORIO'!E3</f>
        <v>18</v>
      </c>
      <c r="F20" s="542">
        <f>FM!$D$48</f>
        <v>1.0417000000000001</v>
      </c>
      <c r="G20" s="753">
        <f>'2.4 - (A,B,C y D) LABORATORIO'!C3</f>
        <v>2580000</v>
      </c>
      <c r="H20" s="754"/>
      <c r="I20" s="201">
        <f t="shared" si="3"/>
        <v>48376548.000000007</v>
      </c>
      <c r="J20" s="100"/>
      <c r="L20" s="161"/>
    </row>
    <row r="21" spans="1:12" x14ac:dyDescent="0.35">
      <c r="A21" s="100"/>
      <c r="B21" s="755" t="str">
        <f>"2.4. (B) Monitoreo puntual " &amp;'2.4 - (A,B,C y D) LABORATORIO'!A4</f>
        <v>2.4. (B) Monitoreo puntual Matriz de agua + Aforo Molinete</v>
      </c>
      <c r="C21" s="756"/>
      <c r="D21" s="2" t="s">
        <v>28</v>
      </c>
      <c r="E21" s="541">
        <f>'2.4 - (A,B,C y D) LABORATORIO'!E4</f>
        <v>8</v>
      </c>
      <c r="F21" s="542">
        <f>FM!$D$48</f>
        <v>1.0417000000000001</v>
      </c>
      <c r="G21" s="753">
        <f>'2.4 - (A,B,C y D) LABORATORIO'!C4</f>
        <v>2629542</v>
      </c>
      <c r="H21" s="754"/>
      <c r="I21" s="201">
        <f t="shared" si="3"/>
        <v>21913551.211200003</v>
      </c>
      <c r="J21" s="100"/>
      <c r="L21" s="161"/>
    </row>
    <row r="22" spans="1:12" x14ac:dyDescent="0.35">
      <c r="A22" s="100"/>
      <c r="B22" s="755" t="str">
        <f>"2.4. (C) Monitoreo puntual " &amp;'2.4 - (A,B,C y D) LABORATORIO'!A5</f>
        <v xml:space="preserve">2.4. (C) Monitoreo puntual Matriz de agua + Flujo Magnético </v>
      </c>
      <c r="C22" s="756"/>
      <c r="D22" s="2" t="s">
        <v>28</v>
      </c>
      <c r="E22" s="541">
        <f>'2.4 - (A,B,C y D) LABORATORIO'!E5</f>
        <v>20</v>
      </c>
      <c r="F22" s="542">
        <f>FM!$D$48</f>
        <v>1.0417000000000001</v>
      </c>
      <c r="G22" s="753">
        <f>'2.4 - (A,B,C y D) LABORATORIO'!C5</f>
        <v>3811542</v>
      </c>
      <c r="H22" s="754"/>
      <c r="I22" s="201">
        <f t="shared" si="3"/>
        <v>79409666.028000012</v>
      </c>
      <c r="J22" s="100"/>
      <c r="L22" s="161"/>
    </row>
    <row r="23" spans="1:12" x14ac:dyDescent="0.35">
      <c r="A23" s="100"/>
      <c r="B23" s="755" t="str">
        <f>"2.4. (D) Monitoreo puntual " &amp;'2.4 - (A,B,C y D) LABORATORIO'!A6</f>
        <v xml:space="preserve">2.4. (D) Monitoreo puntual Matriz de agua + ADCP </v>
      </c>
      <c r="C23" s="756"/>
      <c r="D23" s="2" t="s">
        <v>28</v>
      </c>
      <c r="E23" s="541">
        <f>'2.4 - (A,B,C y D) LABORATORIO'!E6</f>
        <v>40</v>
      </c>
      <c r="F23" s="542">
        <f>FM!$D$48</f>
        <v>1.0417000000000001</v>
      </c>
      <c r="G23" s="753">
        <f>'2.4 - (A,B,C y D) LABORATORIO'!C6</f>
        <v>4933542</v>
      </c>
      <c r="H23" s="754"/>
      <c r="I23" s="201">
        <f t="shared" si="3"/>
        <v>205570828.05600002</v>
      </c>
      <c r="J23" s="100"/>
      <c r="L23" s="161"/>
    </row>
    <row r="24" spans="1:12" ht="16.5" customHeight="1" x14ac:dyDescent="0.35">
      <c r="A24" s="100"/>
      <c r="B24" s="755" t="str">
        <f>"2.5. (A)  " &amp;'2.5 (A,B y C) - HIDROBIOLOGÍA'!A3</f>
        <v>2.5. (A)  Matriz Biota</v>
      </c>
      <c r="C24" s="756"/>
      <c r="D24" s="2" t="s">
        <v>28</v>
      </c>
      <c r="E24" s="541">
        <f>'2.5 (A,B y C) - HIDROBIOLOGÍA'!E3</f>
        <v>68</v>
      </c>
      <c r="F24" s="542">
        <f>FM!$D$48</f>
        <v>1.0417000000000001</v>
      </c>
      <c r="G24" s="757">
        <f>'2.5 (A,B y C) - HIDROBIOLOGÍA'!C3</f>
        <v>4307150</v>
      </c>
      <c r="H24" s="758"/>
      <c r="I24" s="201">
        <f>E24*F24*G24</f>
        <v>305099554.54000002</v>
      </c>
      <c r="J24" s="100"/>
      <c r="L24" s="161"/>
    </row>
    <row r="25" spans="1:12" x14ac:dyDescent="0.35">
      <c r="A25" s="100"/>
      <c r="B25" s="755" t="str">
        <f>"2.5. (B)  " &amp;'2.5 (A,B y C) - HIDROBIOLOGÍA'!A4</f>
        <v>2.5. (B)  Índices Hidrobiología</v>
      </c>
      <c r="C25" s="756"/>
      <c r="D25" s="2" t="s">
        <v>28</v>
      </c>
      <c r="E25" s="541">
        <f>'2.5 (A,B y C) - HIDROBIOLOGÍA'!E4</f>
        <v>68</v>
      </c>
      <c r="F25" s="542">
        <f>FM!$D$48</f>
        <v>1.0417000000000001</v>
      </c>
      <c r="G25" s="757">
        <f>'2.5 (A,B y C) - HIDROBIOLOGÍA'!C4</f>
        <v>639322</v>
      </c>
      <c r="H25" s="758"/>
      <c r="I25" s="201">
        <f>E25*F25*G25</f>
        <v>45286757.463200003</v>
      </c>
      <c r="J25" s="100"/>
      <c r="L25" s="161"/>
    </row>
    <row r="26" spans="1:12" x14ac:dyDescent="0.35">
      <c r="A26" s="100"/>
      <c r="B26" s="755" t="str">
        <f>"2.5. (C)  " &amp;'2.5 (A,B y C) - HIDROBIOLOGÍA'!A5</f>
        <v>2.5. (C)  Informe</v>
      </c>
      <c r="C26" s="756"/>
      <c r="D26" s="2" t="s">
        <v>28</v>
      </c>
      <c r="E26" s="541">
        <f>'2.5 (A,B y C) - HIDROBIOLOGÍA'!E5</f>
        <v>2</v>
      </c>
      <c r="F26" s="542">
        <f>FM!$D$48</f>
        <v>1.0417000000000001</v>
      </c>
      <c r="G26" s="757">
        <f>'2.5 (A,B y C) - HIDROBIOLOGÍA'!C5</f>
        <v>10000000</v>
      </c>
      <c r="H26" s="758"/>
      <c r="I26" s="201">
        <f>E26*F26*G26</f>
        <v>20834000</v>
      </c>
      <c r="J26" s="100"/>
      <c r="L26" s="161"/>
    </row>
    <row r="27" spans="1:12" x14ac:dyDescent="0.35">
      <c r="A27" s="100"/>
      <c r="B27" s="759" t="str">
        <f>"2.6. " &amp;'2.6 - LABORATORIO - VTOs'!A4</f>
        <v>2.6. Monitoreo de Vertimiento</v>
      </c>
      <c r="C27" s="760"/>
      <c r="D27" s="2" t="s">
        <v>28</v>
      </c>
      <c r="E27" s="541">
        <v>9</v>
      </c>
      <c r="F27" s="542">
        <f>FM!$D$48</f>
        <v>1.0417000000000001</v>
      </c>
      <c r="G27" s="757">
        <f>'2.6 - LABORATORIO - VTOs'!C5</f>
        <v>4631596</v>
      </c>
      <c r="H27" s="758"/>
      <c r="I27" s="201">
        <f>E27*F27*G27</f>
        <v>43422601.978800006</v>
      </c>
      <c r="J27" s="100"/>
      <c r="L27" s="161"/>
    </row>
    <row r="28" spans="1:12" x14ac:dyDescent="0.35">
      <c r="A28" s="100"/>
      <c r="B28" s="759" t="str">
        <f>"2.7. (A)  " &amp;'2.7 - (A,B y C) logis_Monitoreo'!A3</f>
        <v>2.7. (A)  Logística Monitoreo Agua Residual</v>
      </c>
      <c r="C28" s="760"/>
      <c r="D28" s="2" t="s">
        <v>28</v>
      </c>
      <c r="E28" s="541">
        <f>'2.7 - (A,B y C) logis_Monitoreo'!D3</f>
        <v>9</v>
      </c>
      <c r="F28" s="542">
        <f>FM!$D$48</f>
        <v>1.0417000000000001</v>
      </c>
      <c r="G28" s="753">
        <f>'2.7 - (A,B y C) logis_Monitoreo'!C3</f>
        <v>3800333</v>
      </c>
      <c r="H28" s="754"/>
      <c r="I28" s="201">
        <f t="shared" si="3"/>
        <v>35629261.974900007</v>
      </c>
      <c r="J28" s="100"/>
      <c r="L28" s="161"/>
    </row>
    <row r="29" spans="1:12" x14ac:dyDescent="0.35">
      <c r="A29" s="100"/>
      <c r="B29" s="759" t="str">
        <f>"2.7. (B)  " &amp;'2.7 - (A,B y C) logis_Monitoreo'!A4</f>
        <v>2.7. (B)  Logística Monitoreo Biota</v>
      </c>
      <c r="C29" s="760"/>
      <c r="D29" s="2" t="s">
        <v>28</v>
      </c>
      <c r="E29" s="541">
        <f>SUM('2.7 - (A,B y C) logis_Monitoreo'!D4:D5)</f>
        <v>68</v>
      </c>
      <c r="F29" s="542">
        <f>FM!$D$48</f>
        <v>1.0417000000000001</v>
      </c>
      <c r="G29" s="753">
        <f>('2.7 - (A,B y C) logis_Monitoreo'!C4*'2.7 - (A,B y C) logis_Monitoreo'!D4+'2.7 - (A,B y C) logis_Monitoreo'!C5*'2.7 - (A,B y C) logis_Monitoreo'!D5)/68</f>
        <v>1959529.4117647058</v>
      </c>
      <c r="H29" s="754"/>
      <c r="I29" s="201">
        <f t="shared" si="3"/>
        <v>138804441.59999999</v>
      </c>
      <c r="J29" s="100"/>
      <c r="L29" s="161"/>
    </row>
    <row r="30" spans="1:12" x14ac:dyDescent="0.35">
      <c r="A30" s="100"/>
      <c r="B30" s="759" t="str">
        <f>"2.7. (C)  " &amp;'2.7 - (A,B y C) logis_Monitoreo'!A6</f>
        <v>2.7. (C)  Logística Monitoreo Agua Superficial</v>
      </c>
      <c r="C30" s="760"/>
      <c r="D30" s="2" t="s">
        <v>28</v>
      </c>
      <c r="E30" s="541">
        <f>SUM('2.7 - (A,B y C) logis_Monitoreo'!D6:D7)</f>
        <v>68</v>
      </c>
      <c r="F30" s="542">
        <f>FM!$D$48</f>
        <v>1.0417000000000001</v>
      </c>
      <c r="G30" s="753">
        <f>('2.7 - (A,B y C) logis_Monitoreo'!C6*'2.7 - (A,B y C) logis_Monitoreo'!D6+'2.7 - (A,B y C) logis_Monitoreo'!C7*'2.7 - (A,B y C) logis_Monitoreo'!D7)/68</f>
        <v>2904235.0588235296</v>
      </c>
      <c r="H30" s="754"/>
      <c r="I30" s="201">
        <f t="shared" si="3"/>
        <v>205723232.93280002</v>
      </c>
      <c r="J30" s="100"/>
      <c r="L30" s="161"/>
    </row>
    <row r="31" spans="1:12" x14ac:dyDescent="0.35">
      <c r="A31" s="100"/>
      <c r="B31" s="736" t="s">
        <v>506</v>
      </c>
      <c r="C31" s="737"/>
      <c r="D31" s="2" t="s">
        <v>28</v>
      </c>
      <c r="E31" s="91">
        <f>'2.8 - Ofer-Deman-Ind'!E13</f>
        <v>1</v>
      </c>
      <c r="F31" s="68">
        <f>FM!$D$48</f>
        <v>1.0417000000000001</v>
      </c>
      <c r="G31" s="753">
        <f>'2.8 - Ofer-Deman-Ind'!I13</f>
        <v>67000000</v>
      </c>
      <c r="H31" s="754"/>
      <c r="I31" s="201">
        <f t="shared" si="3"/>
        <v>69793900</v>
      </c>
      <c r="J31" s="100"/>
      <c r="L31" s="161"/>
    </row>
    <row r="32" spans="1:12" x14ac:dyDescent="0.35">
      <c r="A32" s="100"/>
      <c r="B32" s="736" t="s">
        <v>577</v>
      </c>
      <c r="C32" s="737"/>
      <c r="D32" s="2" t="s">
        <v>28</v>
      </c>
      <c r="E32" s="91">
        <f>'2.9 - Zonas de Recarga'!E4</f>
        <v>1</v>
      </c>
      <c r="F32" s="68">
        <f>FM!$D$48</f>
        <v>1.0417000000000001</v>
      </c>
      <c r="G32" s="738">
        <f>'2.9 - Zonas de Recarga'!I4</f>
        <v>15000000</v>
      </c>
      <c r="H32" s="766"/>
      <c r="I32" s="201">
        <f t="shared" si="3"/>
        <v>15625500.000000002</v>
      </c>
      <c r="J32" s="100"/>
      <c r="L32" s="161"/>
    </row>
    <row r="33" spans="1:12" x14ac:dyDescent="0.35">
      <c r="A33" s="100"/>
      <c r="B33" s="736" t="s">
        <v>507</v>
      </c>
      <c r="C33" s="737"/>
      <c r="D33" s="2" t="s">
        <v>28</v>
      </c>
      <c r="E33" s="91">
        <f>'2.10 - Impresiones'!G8</f>
        <v>1</v>
      </c>
      <c r="F33" s="68">
        <f>FM!$D$48</f>
        <v>1.0417000000000001</v>
      </c>
      <c r="G33" s="753">
        <f>'2.10 - Impresiones'!I8</f>
        <v>6409115.333333334</v>
      </c>
      <c r="H33" s="754"/>
      <c r="I33" s="201">
        <f t="shared" si="3"/>
        <v>6676375.4427333344</v>
      </c>
      <c r="J33" s="100"/>
      <c r="L33" s="161"/>
    </row>
    <row r="34" spans="1:12" ht="15.4" thickBot="1" x14ac:dyDescent="0.45">
      <c r="A34" s="100"/>
      <c r="B34" s="743" t="s">
        <v>25</v>
      </c>
      <c r="C34" s="744"/>
      <c r="D34" s="744"/>
      <c r="E34" s="744"/>
      <c r="F34" s="744"/>
      <c r="G34" s="744"/>
      <c r="H34" s="744"/>
      <c r="I34" s="510">
        <f>SUM(I17:I33)</f>
        <v>1453906805.1030846</v>
      </c>
      <c r="J34" s="100"/>
      <c r="L34" s="519"/>
    </row>
    <row r="35" spans="1:12" ht="5.25" customHeight="1" thickBot="1" x14ac:dyDescent="0.4">
      <c r="A35" s="100"/>
      <c r="B35" s="520"/>
      <c r="C35" s="520"/>
      <c r="D35" s="520"/>
      <c r="E35" s="520"/>
      <c r="F35" s="520"/>
      <c r="G35" s="520"/>
      <c r="H35" s="521"/>
      <c r="I35" s="522"/>
      <c r="J35" s="100"/>
      <c r="L35" s="507"/>
    </row>
    <row r="36" spans="1:12" ht="15" x14ac:dyDescent="0.35">
      <c r="A36" s="100"/>
      <c r="B36" s="767" t="s">
        <v>606</v>
      </c>
      <c r="C36" s="768"/>
      <c r="D36" s="768"/>
      <c r="E36" s="768"/>
      <c r="F36" s="768"/>
      <c r="G36" s="768"/>
      <c r="H36" s="769">
        <f ca="1">ROUND((I34+I13),0)</f>
        <v>1948779543</v>
      </c>
      <c r="I36" s="770"/>
      <c r="J36" s="100"/>
      <c r="L36" s="507"/>
    </row>
    <row r="37" spans="1:12" ht="15" x14ac:dyDescent="0.35">
      <c r="A37" s="100"/>
      <c r="B37" s="761" t="s">
        <v>542</v>
      </c>
      <c r="C37" s="762"/>
      <c r="D37" s="762"/>
      <c r="E37" s="762"/>
      <c r="F37" s="762"/>
      <c r="G37" s="763"/>
      <c r="H37" s="764">
        <f ca="1">ROUND((H36*1.19),0)</f>
        <v>2319047656</v>
      </c>
      <c r="I37" s="765"/>
      <c r="J37" s="100"/>
      <c r="L37" s="507"/>
    </row>
    <row r="38" spans="1:12" ht="15" x14ac:dyDescent="0.35">
      <c r="A38" s="100"/>
      <c r="B38" s="771" t="s">
        <v>101</v>
      </c>
      <c r="C38" s="772"/>
      <c r="D38" s="772"/>
      <c r="E38" s="772"/>
      <c r="F38" s="772"/>
      <c r="G38" s="772"/>
      <c r="H38" s="773">
        <f>INTERVENTORÍA!G20</f>
        <v>259500835</v>
      </c>
      <c r="I38" s="774"/>
      <c r="J38" s="100"/>
      <c r="K38" s="523"/>
    </row>
    <row r="39" spans="1:12" ht="15" x14ac:dyDescent="0.35">
      <c r="A39" s="100"/>
      <c r="B39" s="771" t="s">
        <v>543</v>
      </c>
      <c r="C39" s="772"/>
      <c r="D39" s="772"/>
      <c r="E39" s="772"/>
      <c r="F39" s="772"/>
      <c r="G39" s="772"/>
      <c r="H39" s="773">
        <f>ROUND((H38*1.19),0)</f>
        <v>308805994</v>
      </c>
      <c r="I39" s="774"/>
      <c r="J39" s="100"/>
    </row>
    <row r="40" spans="1:12" ht="15.4" thickBot="1" x14ac:dyDescent="0.4">
      <c r="A40" s="100"/>
      <c r="B40" s="775" t="s">
        <v>100</v>
      </c>
      <c r="C40" s="776"/>
      <c r="D40" s="776"/>
      <c r="E40" s="776"/>
      <c r="F40" s="776"/>
      <c r="G40" s="776"/>
      <c r="H40" s="777">
        <f ca="1">ROUND((H37+H39),0)</f>
        <v>2627853650</v>
      </c>
      <c r="I40" s="778"/>
      <c r="J40" s="100"/>
    </row>
    <row r="41" spans="1:12" x14ac:dyDescent="0.35">
      <c r="A41" s="100"/>
      <c r="B41" s="100"/>
      <c r="C41" s="97"/>
      <c r="D41" s="98"/>
      <c r="E41" s="97"/>
      <c r="F41" s="97"/>
      <c r="G41" s="97"/>
      <c r="H41" s="779"/>
      <c r="I41" s="779"/>
      <c r="J41" s="100"/>
    </row>
    <row r="42" spans="1:12" x14ac:dyDescent="0.35">
      <c r="A42" s="100"/>
      <c r="B42" s="98"/>
      <c r="C42" s="98"/>
      <c r="D42" s="98"/>
      <c r="E42" s="524" t="s">
        <v>118</v>
      </c>
      <c r="F42" s="525">
        <f ca="1">H46*100/H47</f>
        <v>11.751263012687179</v>
      </c>
      <c r="G42" s="97"/>
      <c r="H42" s="97"/>
      <c r="I42" s="526"/>
      <c r="J42" s="97"/>
    </row>
    <row r="43" spans="1:12" x14ac:dyDescent="0.35">
      <c r="A43" s="100"/>
      <c r="B43" s="98"/>
      <c r="C43" s="98"/>
      <c r="D43" s="98"/>
      <c r="E43" s="97"/>
      <c r="F43" s="97"/>
      <c r="G43" s="527"/>
      <c r="H43" s="97"/>
      <c r="I43" s="528"/>
      <c r="J43" s="97"/>
    </row>
    <row r="44" spans="1:12" ht="14.25" customHeight="1" x14ac:dyDescent="0.35">
      <c r="A44" s="100"/>
      <c r="B44" s="99"/>
      <c r="C44" s="98"/>
      <c r="D44" s="98"/>
      <c r="F44" s="529" t="s">
        <v>152</v>
      </c>
      <c r="G44" s="530" t="s">
        <v>119</v>
      </c>
      <c r="H44" s="780" t="s">
        <v>74</v>
      </c>
      <c r="I44" s="780"/>
      <c r="J44" s="97"/>
    </row>
    <row r="45" spans="1:12" ht="14.25" customHeight="1" x14ac:dyDescent="0.35">
      <c r="A45" s="100"/>
      <c r="B45" s="99"/>
      <c r="C45" s="98"/>
      <c r="D45" s="98"/>
      <c r="E45" s="531" t="s">
        <v>570</v>
      </c>
      <c r="F45" s="532">
        <f ca="1">H36</f>
        <v>1948779543</v>
      </c>
      <c r="G45" s="532">
        <f ca="1">ROUND((F45*0.19),0)</f>
        <v>370268113</v>
      </c>
      <c r="H45" s="781">
        <f ca="1">ROUND(SUM(F45:G45),0)</f>
        <v>2319047656</v>
      </c>
      <c r="I45" s="781"/>
      <c r="J45" s="97"/>
    </row>
    <row r="46" spans="1:12" x14ac:dyDescent="0.35">
      <c r="A46" s="100"/>
      <c r="B46" s="99"/>
      <c r="C46" s="98"/>
      <c r="D46" s="98"/>
      <c r="E46" s="533" t="s">
        <v>101</v>
      </c>
      <c r="F46" s="534">
        <f>H38</f>
        <v>259500835</v>
      </c>
      <c r="G46" s="535">
        <f>ROUND((F46*0.19),0)</f>
        <v>49305159</v>
      </c>
      <c r="H46" s="782">
        <f>SUM(F46:G46)</f>
        <v>308805994</v>
      </c>
      <c r="I46" s="782"/>
      <c r="J46" s="97"/>
    </row>
    <row r="47" spans="1:12" ht="15" customHeight="1" x14ac:dyDescent="0.35">
      <c r="A47" s="100"/>
      <c r="B47" s="99"/>
      <c r="C47" s="98"/>
      <c r="D47" s="98"/>
      <c r="E47" s="536" t="s">
        <v>74</v>
      </c>
      <c r="F47" s="537">
        <f ca="1">SUM(F45:F46)</f>
        <v>2208280378</v>
      </c>
      <c r="G47" s="537">
        <f ca="1">SUM(G45:G46)</f>
        <v>419573272</v>
      </c>
      <c r="H47" s="783">
        <f ca="1">ROUND((SUM(H45:I46)),0)</f>
        <v>2627853650</v>
      </c>
      <c r="I47" s="783"/>
      <c r="J47" s="100"/>
    </row>
    <row r="48" spans="1:12" x14ac:dyDescent="0.35">
      <c r="A48" s="100"/>
      <c r="B48" s="100"/>
      <c r="C48" s="95"/>
      <c r="D48" s="95"/>
      <c r="E48" s="96"/>
      <c r="F48" s="97"/>
      <c r="G48" s="97"/>
      <c r="H48" s="97"/>
      <c r="I48" s="97"/>
      <c r="J48" s="100"/>
    </row>
    <row r="50" spans="4:4" x14ac:dyDescent="0.35">
      <c r="D50" s="538"/>
    </row>
  </sheetData>
  <mergeCells count="55">
    <mergeCell ref="H41:I41"/>
    <mergeCell ref="H44:I44"/>
    <mergeCell ref="H45:I45"/>
    <mergeCell ref="H46:I46"/>
    <mergeCell ref="H47:I47"/>
    <mergeCell ref="B38:G38"/>
    <mergeCell ref="H38:I38"/>
    <mergeCell ref="B39:G39"/>
    <mergeCell ref="H39:I39"/>
    <mergeCell ref="B40:G40"/>
    <mergeCell ref="H40:I40"/>
    <mergeCell ref="B37:G37"/>
    <mergeCell ref="H37:I37"/>
    <mergeCell ref="B30:C30"/>
    <mergeCell ref="G30:H30"/>
    <mergeCell ref="B31:C31"/>
    <mergeCell ref="G31:H31"/>
    <mergeCell ref="B32:C32"/>
    <mergeCell ref="G32:H32"/>
    <mergeCell ref="B33:C33"/>
    <mergeCell ref="G33:H33"/>
    <mergeCell ref="B34:H34"/>
    <mergeCell ref="B36:G36"/>
    <mergeCell ref="H36:I36"/>
    <mergeCell ref="B27:C27"/>
    <mergeCell ref="G27:H27"/>
    <mergeCell ref="B28:C28"/>
    <mergeCell ref="G28:H28"/>
    <mergeCell ref="B29:C29"/>
    <mergeCell ref="G29:H29"/>
    <mergeCell ref="B24:C24"/>
    <mergeCell ref="G24:H24"/>
    <mergeCell ref="B25:C25"/>
    <mergeCell ref="G25:H25"/>
    <mergeCell ref="B26:C26"/>
    <mergeCell ref="G26:H26"/>
    <mergeCell ref="B21:C21"/>
    <mergeCell ref="G21:H21"/>
    <mergeCell ref="B22:C22"/>
    <mergeCell ref="G22:H22"/>
    <mergeCell ref="B23:C23"/>
    <mergeCell ref="G23:H23"/>
    <mergeCell ref="B18:C18"/>
    <mergeCell ref="G18:H18"/>
    <mergeCell ref="B19:C19"/>
    <mergeCell ref="G19:H19"/>
    <mergeCell ref="B20:C20"/>
    <mergeCell ref="G20:H20"/>
    <mergeCell ref="B17:C17"/>
    <mergeCell ref="G17:H17"/>
    <mergeCell ref="B2:I2"/>
    <mergeCell ref="B13:H13"/>
    <mergeCell ref="B14:I14"/>
    <mergeCell ref="B16:C16"/>
    <mergeCell ref="G16:H16"/>
  </mergeCells>
  <hyperlinks>
    <hyperlink ref="B2:I2" location="'TABLERO CONTROL'!A1" display="“FORMULACIÓN DEL PLAN DE ORDENAMIENTO DEL RECURSO HÍDRICO (PORH) DE LA CORRIENTE PRINCIPAL DE LA CUENCA DEL RÍO MEDIO Y BAJO SUÁREZ - NSS Y SUS PRINCIPALES TRIBUTARIOS EN LA JURISDICCIÓN DE LA CORPORACIÓN AUTÓNOMA REGIONAL DE SANTANDER (CAS)”" xr:uid="{7E4898B6-E316-4087-BEC7-8BDD58CDF4B4}"/>
  </hyperlinks>
  <pageMargins left="0.7" right="0.7" top="0.75" bottom="0.75" header="0.3" footer="0.3"/>
  <ignoredErrors>
    <ignoredError sqref="E29:E30"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T114"/>
  <sheetViews>
    <sheetView showGridLines="0" zoomScale="80" zoomScaleNormal="80" workbookViewId="0">
      <pane xSplit="1" ySplit="1" topLeftCell="B2" activePane="bottomRight" state="frozen"/>
      <selection activeCell="K19" sqref="K19"/>
      <selection pane="topRight" activeCell="K19" sqref="K19"/>
      <selection pane="bottomLeft" activeCell="K19" sqref="K19"/>
      <selection pane="bottomRight" activeCell="G45" sqref="G45"/>
    </sheetView>
  </sheetViews>
  <sheetFormatPr defaultColWidth="11.3984375" defaultRowHeight="12.75" x14ac:dyDescent="0.35"/>
  <cols>
    <col min="1" max="1" width="61.1328125" style="1" customWidth="1"/>
    <col min="2" max="2" width="8.86328125" style="63" customWidth="1"/>
    <col min="3" max="3" width="6.265625" style="63" customWidth="1"/>
    <col min="4" max="4" width="10.59765625" style="89" bestFit="1" customWidth="1"/>
    <col min="5" max="5" width="15.86328125" style="62" customWidth="1"/>
    <col min="6" max="6" width="13.265625" style="1" bestFit="1" customWidth="1"/>
    <col min="7" max="8" width="14.265625" style="1" bestFit="1" customWidth="1"/>
    <col min="9" max="12" width="14.3984375" style="1" customWidth="1"/>
    <col min="13" max="15" width="13.265625" style="1" customWidth="1"/>
    <col min="16" max="17" width="13.265625" style="1" bestFit="1" customWidth="1"/>
    <col min="18" max="18" width="16" style="1" bestFit="1" customWidth="1"/>
    <col min="19" max="19" width="12.86328125" style="1" bestFit="1" customWidth="1"/>
    <col min="20" max="20" width="14" style="1" bestFit="1" customWidth="1"/>
    <col min="21" max="16384" width="11.3984375" style="1"/>
  </cols>
  <sheetData>
    <row r="1" spans="1:20" ht="15" customHeight="1" x14ac:dyDescent="0.35">
      <c r="A1" s="400" t="s">
        <v>45</v>
      </c>
      <c r="B1" s="127" t="s">
        <v>36</v>
      </c>
      <c r="C1" s="127" t="s">
        <v>28</v>
      </c>
      <c r="D1" s="128" t="s">
        <v>8</v>
      </c>
      <c r="E1" s="129" t="s">
        <v>24</v>
      </c>
      <c r="F1" s="130" t="s">
        <v>53</v>
      </c>
      <c r="G1" s="130" t="s">
        <v>54</v>
      </c>
      <c r="H1" s="130" t="s">
        <v>55</v>
      </c>
      <c r="I1" s="130" t="s">
        <v>56</v>
      </c>
      <c r="J1" s="130" t="s">
        <v>57</v>
      </c>
      <c r="K1" s="130" t="s">
        <v>58</v>
      </c>
      <c r="L1" s="130" t="s">
        <v>117</v>
      </c>
      <c r="M1" s="130" t="s">
        <v>177</v>
      </c>
      <c r="N1" s="130" t="s">
        <v>178</v>
      </c>
      <c r="O1" s="130" t="s">
        <v>180</v>
      </c>
      <c r="P1" s="130" t="s">
        <v>181</v>
      </c>
      <c r="Q1" s="130" t="s">
        <v>301</v>
      </c>
      <c r="R1" s="130" t="s">
        <v>24</v>
      </c>
    </row>
    <row r="2" spans="1:20" ht="16.5" customHeight="1" x14ac:dyDescent="0.35">
      <c r="A2" s="244" t="str">
        <f>DISTRIBUCIÓN!A46</f>
        <v>FASE 1. Declaratoria y Acciones Previas</v>
      </c>
      <c r="B2" s="245">
        <f ca="1">DISTRIBUCIÓN!BD56</f>
        <v>2.7190125541065938E-2</v>
      </c>
      <c r="C2" s="246"/>
      <c r="D2" s="247"/>
      <c r="E2" s="248">
        <f ca="1">DISTRIBUCIÓN!D37</f>
        <v>52987560.426031113</v>
      </c>
      <c r="F2" s="257"/>
      <c r="G2" s="190"/>
      <c r="H2" s="190"/>
      <c r="I2" s="190"/>
      <c r="J2" s="190"/>
      <c r="K2" s="190"/>
      <c r="L2" s="190"/>
      <c r="M2" s="190"/>
      <c r="N2" s="190"/>
      <c r="O2" s="190"/>
      <c r="P2" s="190"/>
      <c r="Q2" s="190"/>
      <c r="R2" s="186">
        <f ca="1">SUM(R3:R11)</f>
        <v>52987560.426031113</v>
      </c>
      <c r="S2" s="222" t="str">
        <f ca="1">IF(ABS(R2-E2)&lt;0.001,"OK"," ERROR")</f>
        <v>OK</v>
      </c>
    </row>
    <row r="3" spans="1:20" ht="15.75" customHeight="1" x14ac:dyDescent="0.35">
      <c r="A3" s="131" t="str">
        <f>DISTRIBUCIÓN!A47</f>
        <v>Localización del cuerpo de agua</v>
      </c>
      <c r="B3" s="259">
        <f ca="1">DISTRIBUCIÓN!BD47</f>
        <v>9.5582929628141992E-4</v>
      </c>
      <c r="C3" s="132" t="s">
        <v>34</v>
      </c>
      <c r="D3" s="217">
        <v>1</v>
      </c>
      <c r="E3" s="260">
        <f ca="1">B3*$E$2/$B$2</f>
        <v>1862700.5791933173</v>
      </c>
      <c r="F3" s="356">
        <f ca="1">E3</f>
        <v>1862700.5791933173</v>
      </c>
      <c r="G3" s="190"/>
      <c r="H3" s="190"/>
      <c r="I3" s="190"/>
      <c r="J3" s="190"/>
      <c r="K3" s="190"/>
      <c r="L3" s="190"/>
      <c r="M3" s="190"/>
      <c r="N3" s="190"/>
      <c r="O3" s="190"/>
      <c r="P3" s="190"/>
      <c r="Q3" s="190"/>
      <c r="R3" s="195">
        <f ca="1">SUM(F3:Q3)</f>
        <v>1862700.5791933173</v>
      </c>
      <c r="S3" s="277" t="s">
        <v>146</v>
      </c>
    </row>
    <row r="4" spans="1:20" ht="13.5" x14ac:dyDescent="0.35">
      <c r="A4" s="131" t="str">
        <f>DISTRIBUCIÓN!A48</f>
        <v>Alistamiento Institucional</v>
      </c>
      <c r="B4" s="259">
        <f ca="1">DISTRIBUCIÓN!BD48</f>
        <v>2.9900301063162356E-3</v>
      </c>
      <c r="C4" s="132" t="s">
        <v>34</v>
      </c>
      <c r="D4" s="217">
        <v>1</v>
      </c>
      <c r="E4" s="260">
        <f t="shared" ref="E4:E11" ca="1" si="0">B4*$E$2/$B$2</f>
        <v>5826909.5041431962</v>
      </c>
      <c r="F4" s="356">
        <f t="shared" ref="F4:F11" ca="1" si="1">E4</f>
        <v>5826909.5041431962</v>
      </c>
      <c r="G4" s="190"/>
      <c r="H4" s="190"/>
      <c r="I4" s="190"/>
      <c r="J4" s="190"/>
      <c r="K4" s="190"/>
      <c r="L4" s="190"/>
      <c r="M4" s="190"/>
      <c r="N4" s="190"/>
      <c r="O4" s="190"/>
      <c r="P4" s="190"/>
      <c r="Q4" s="190"/>
      <c r="R4" s="195">
        <f t="shared" ref="R4:R11" ca="1" si="2">SUM(F4:Q4)</f>
        <v>5826909.5041431962</v>
      </c>
    </row>
    <row r="5" spans="1:20" ht="13.5" x14ac:dyDescent="0.35">
      <c r="A5" s="131" t="str">
        <f>DISTRIBUCIÓN!A49</f>
        <v>Identificación de actores relevantes para el ordenamiento</v>
      </c>
      <c r="B5" s="259">
        <f ca="1">DISTRIBUCIÓN!BD49</f>
        <v>4.4656675688706897E-3</v>
      </c>
      <c r="C5" s="132" t="s">
        <v>34</v>
      </c>
      <c r="D5" s="217">
        <v>1</v>
      </c>
      <c r="E5" s="260">
        <f t="shared" ca="1" si="0"/>
        <v>8702601.604053745</v>
      </c>
      <c r="F5" s="356">
        <f t="shared" ca="1" si="1"/>
        <v>8702601.604053745</v>
      </c>
      <c r="G5" s="190"/>
      <c r="H5" s="190"/>
      <c r="I5" s="190"/>
      <c r="J5" s="190"/>
      <c r="K5" s="190"/>
      <c r="L5" s="190"/>
      <c r="M5" s="190"/>
      <c r="N5" s="190"/>
      <c r="O5" s="190"/>
      <c r="P5" s="190"/>
      <c r="Q5" s="190"/>
      <c r="R5" s="195">
        <f t="shared" ca="1" si="2"/>
        <v>8702601.604053745</v>
      </c>
    </row>
    <row r="6" spans="1:20" ht="13.5" x14ac:dyDescent="0.35">
      <c r="A6" s="131" t="str">
        <f>DISTRIBUCIÓN!A50</f>
        <v>Recopilación de información de instrumentos existentes</v>
      </c>
      <c r="B6" s="259">
        <f ca="1">DISTRIBUCIÓN!BD50</f>
        <v>3.5292158631929343E-3</v>
      </c>
      <c r="C6" s="132" t="s">
        <v>34</v>
      </c>
      <c r="D6" s="217">
        <v>1</v>
      </c>
      <c r="E6" s="260">
        <f t="shared" ca="1" si="0"/>
        <v>6877663.6770214783</v>
      </c>
      <c r="F6" s="356">
        <f t="shared" ca="1" si="1"/>
        <v>6877663.6770214783</v>
      </c>
      <c r="G6" s="190"/>
      <c r="H6" s="190"/>
      <c r="I6" s="190"/>
      <c r="J6" s="190"/>
      <c r="K6" s="190"/>
      <c r="L6" s="190"/>
      <c r="M6" s="190"/>
      <c r="N6" s="190"/>
      <c r="O6" s="190"/>
      <c r="P6" s="190"/>
      <c r="Q6" s="190"/>
      <c r="R6" s="195">
        <f t="shared" ca="1" si="2"/>
        <v>6877663.6770214783</v>
      </c>
    </row>
    <row r="7" spans="1:20" ht="32.25" customHeight="1" x14ac:dyDescent="0.35">
      <c r="A7" s="131" t="str">
        <f>DISTRIBUCIÓN!A51</f>
        <v>Recopilación de información de redes hidrometeorológicas hidrobiológicas y de calidad</v>
      </c>
      <c r="B7" s="259">
        <f ca="1">DISTRIBUCIÓN!BD51</f>
        <v>1.0783715137533969E-3</v>
      </c>
      <c r="C7" s="132" t="s">
        <v>34</v>
      </c>
      <c r="D7" s="217">
        <v>1</v>
      </c>
      <c r="E7" s="260">
        <f t="shared" ca="1" si="0"/>
        <v>2101508.3457565634</v>
      </c>
      <c r="F7" s="356">
        <f t="shared" ref="F7:F9" ca="1" si="3">E7</f>
        <v>2101508.3457565634</v>
      </c>
      <c r="G7" s="190"/>
      <c r="H7" s="190"/>
      <c r="I7" s="190"/>
      <c r="J7" s="190"/>
      <c r="K7" s="190"/>
      <c r="L7" s="190"/>
      <c r="M7" s="190"/>
      <c r="N7" s="190"/>
      <c r="O7" s="190"/>
      <c r="P7" s="190"/>
      <c r="Q7" s="190"/>
      <c r="R7" s="195">
        <f t="shared" ca="1" si="2"/>
        <v>2101508.3457565634</v>
      </c>
    </row>
    <row r="8" spans="1:20" ht="17.25" customHeight="1" x14ac:dyDescent="0.35">
      <c r="A8" s="131" t="str">
        <f>DISTRIBUCIÓN!A52</f>
        <v>Identificación preliminar de usuarios y clasificación de los usos actuales</v>
      </c>
      <c r="B8" s="259">
        <f ca="1">DISTRIBUCIÓN!BD52</f>
        <v>1.654319935871689E-3</v>
      </c>
      <c r="C8" s="132" t="s">
        <v>34</v>
      </c>
      <c r="D8" s="217">
        <v>1</v>
      </c>
      <c r="E8" s="260">
        <f t="shared" ca="1" si="0"/>
        <v>3223904.84860382</v>
      </c>
      <c r="F8" s="356">
        <f t="shared" ca="1" si="3"/>
        <v>3223904.84860382</v>
      </c>
      <c r="G8" s="190"/>
      <c r="H8" s="190"/>
      <c r="I8" s="190"/>
      <c r="J8" s="190"/>
      <c r="K8" s="190"/>
      <c r="L8" s="190"/>
      <c r="M8" s="190"/>
      <c r="N8" s="190"/>
      <c r="O8" s="190"/>
      <c r="P8" s="190"/>
      <c r="Q8" s="190"/>
      <c r="R8" s="195">
        <f t="shared" ca="1" si="2"/>
        <v>3223904.84860382</v>
      </c>
    </row>
    <row r="9" spans="1:20" ht="17.25" customHeight="1" x14ac:dyDescent="0.35">
      <c r="A9" s="131" t="str">
        <f>DISTRIBUCIÓN!A53</f>
        <v>Revisión de información asociada a los conflictos por uso del recurso hídrico</v>
      </c>
      <c r="B9" s="259">
        <f ca="1">DISTRIBUCIÓN!BD53</f>
        <v>1.5807946053885019E-3</v>
      </c>
      <c r="C9" s="132" t="s">
        <v>34</v>
      </c>
      <c r="D9" s="217">
        <v>1</v>
      </c>
      <c r="E9" s="260">
        <f t="shared" ca="1" si="0"/>
        <v>3080620.1886658701</v>
      </c>
      <c r="F9" s="356">
        <f t="shared" ca="1" si="3"/>
        <v>3080620.1886658701</v>
      </c>
      <c r="G9" s="190"/>
      <c r="H9" s="190"/>
      <c r="I9" s="190"/>
      <c r="J9" s="190"/>
      <c r="K9" s="190"/>
      <c r="L9" s="190"/>
      <c r="M9" s="190"/>
      <c r="N9" s="190"/>
      <c r="O9" s="190"/>
      <c r="P9" s="190"/>
      <c r="Q9" s="190"/>
      <c r="R9" s="195">
        <f t="shared" ca="1" si="2"/>
        <v>3080620.1886658701</v>
      </c>
    </row>
    <row r="10" spans="1:20" ht="17.25" customHeight="1" x14ac:dyDescent="0.35">
      <c r="A10" s="131" t="str">
        <f>DISTRIBUCIÓN!A54</f>
        <v>Prediseño del plan de monitoreo de calidad y cantidad del recurso hídrico</v>
      </c>
      <c r="B10" s="259">
        <f ca="1">DISTRIBUCIÓN!BD54</f>
        <v>5.7891235175680416E-3</v>
      </c>
      <c r="C10" s="132" t="s">
        <v>34</v>
      </c>
      <c r="D10" s="217">
        <v>1</v>
      </c>
      <c r="E10" s="260">
        <f t="shared" ca="1" si="0"/>
        <v>11281725.482936801</v>
      </c>
      <c r="F10" s="356">
        <f t="shared" ca="1" si="1"/>
        <v>11281725.482936801</v>
      </c>
      <c r="G10" s="189"/>
      <c r="H10" s="190"/>
      <c r="I10" s="190"/>
      <c r="J10" s="190"/>
      <c r="K10" s="190"/>
      <c r="L10" s="190"/>
      <c r="M10" s="190"/>
      <c r="N10" s="190"/>
      <c r="O10" s="190"/>
      <c r="P10" s="190"/>
      <c r="Q10" s="190"/>
      <c r="R10" s="195">
        <f t="shared" ca="1" si="2"/>
        <v>11281725.482936801</v>
      </c>
    </row>
    <row r="11" spans="1:20" ht="17.25" customHeight="1" x14ac:dyDescent="0.35">
      <c r="A11" s="131" t="str">
        <f>DISTRIBUCIÓN!A55</f>
        <v>Elaboración del plan de trabajo detallado</v>
      </c>
      <c r="B11" s="259">
        <f ca="1">DISTRIBUCIÓN!BD55</f>
        <v>5.1467731338230302E-3</v>
      </c>
      <c r="C11" s="132" t="s">
        <v>34</v>
      </c>
      <c r="D11" s="217">
        <f>DISTRIBUCIÓN!E56</f>
        <v>0.99999999999999978</v>
      </c>
      <c r="E11" s="260">
        <f t="shared" ca="1" si="0"/>
        <v>10029926.195656326</v>
      </c>
      <c r="F11" s="356">
        <f t="shared" ca="1" si="1"/>
        <v>10029926.195656326</v>
      </c>
      <c r="G11" s="189"/>
      <c r="H11" s="190"/>
      <c r="I11" s="190"/>
      <c r="J11" s="190"/>
      <c r="K11" s="190"/>
      <c r="L11" s="190"/>
      <c r="M11" s="190"/>
      <c r="N11" s="190"/>
      <c r="O11" s="190"/>
      <c r="P11" s="190"/>
      <c r="Q11" s="190"/>
      <c r="R11" s="195">
        <f t="shared" ca="1" si="2"/>
        <v>10029926.195656326</v>
      </c>
    </row>
    <row r="12" spans="1:20" ht="17.25" customHeight="1" x14ac:dyDescent="0.35">
      <c r="A12" s="249" t="str">
        <f>DISTRIBUCIÓN!A59</f>
        <v>FASE 2. Diagnóstico</v>
      </c>
      <c r="B12" s="245">
        <f ca="1">DISTRIBUCIÓN!E38</f>
        <v>0.89410355145456388</v>
      </c>
      <c r="C12" s="246"/>
      <c r="D12" s="247"/>
      <c r="E12" s="248">
        <f ca="1">DISTRIBUCIÓN!D38</f>
        <v>1742410710.3983021</v>
      </c>
      <c r="F12" s="257"/>
      <c r="G12" s="258"/>
      <c r="H12" s="258"/>
      <c r="I12" s="258"/>
      <c r="J12" s="257"/>
      <c r="K12" s="258"/>
      <c r="L12" s="258"/>
      <c r="M12" s="190"/>
      <c r="N12" s="190"/>
      <c r="O12" s="190"/>
      <c r="P12" s="190"/>
      <c r="Q12" s="190"/>
      <c r="R12" s="186">
        <f ca="1">SUM(R13:R32)</f>
        <v>1742410710.3983018</v>
      </c>
      <c r="S12" s="264" t="str">
        <f ca="1">IF(ABS(R12-E12)&lt;0.0001,"OK"," ERROR")</f>
        <v>OK</v>
      </c>
    </row>
    <row r="13" spans="1:20" ht="13.5" x14ac:dyDescent="0.35">
      <c r="A13" s="256" t="str">
        <f>DISTRIBUCIÓN!A60</f>
        <v>Caracterización Inicial</v>
      </c>
      <c r="B13" s="255"/>
      <c r="C13" s="255"/>
      <c r="D13" s="255"/>
      <c r="E13" s="285"/>
      <c r="F13" s="255"/>
      <c r="G13" s="255"/>
      <c r="H13" s="255"/>
      <c r="I13" s="255"/>
      <c r="J13" s="255"/>
      <c r="K13" s="255"/>
      <c r="L13" s="255"/>
      <c r="M13" s="255"/>
      <c r="N13" s="255"/>
      <c r="O13" s="255"/>
      <c r="P13" s="255"/>
      <c r="Q13" s="255"/>
      <c r="R13" s="255"/>
      <c r="S13" s="277" t="s">
        <v>146</v>
      </c>
    </row>
    <row r="14" spans="1:20" ht="13.5" x14ac:dyDescent="0.35">
      <c r="A14" s="353" t="str">
        <f>DISTRIBUCIÓN!A61</f>
        <v xml:space="preserve">Paso 1. Diseño e implementación del proceso de participación </v>
      </c>
      <c r="B14" s="259">
        <f ca="1">DISTRIBUCIÓN!BD61</f>
        <v>1.3792659633226451E-2</v>
      </c>
      <c r="C14" s="132" t="s">
        <v>34</v>
      </c>
      <c r="D14" s="133">
        <v>1</v>
      </c>
      <c r="E14" s="260">
        <f ca="1">B14*$E$2/$B$2</f>
        <v>26878852.936793596</v>
      </c>
      <c r="F14" s="194"/>
      <c r="G14" s="194">
        <f ca="1">$E$14</f>
        <v>26878852.936793596</v>
      </c>
      <c r="H14" s="194"/>
      <c r="I14" s="194"/>
      <c r="J14" s="194"/>
      <c r="K14" s="194"/>
      <c r="L14" s="194"/>
      <c r="M14" s="194"/>
      <c r="N14" s="194"/>
      <c r="O14" s="194"/>
      <c r="P14" s="194"/>
      <c r="Q14" s="194"/>
      <c r="R14" s="195">
        <f ca="1">SUM(F14:Q14)</f>
        <v>26878852.936793596</v>
      </c>
      <c r="S14" s="67"/>
      <c r="T14" s="67"/>
    </row>
    <row r="15" spans="1:20" ht="13.5" x14ac:dyDescent="0.35">
      <c r="A15" s="353" t="str">
        <f>DISTRIBUCIÓN!A62</f>
        <v>Paso 2. Definición de los tramos o sectores de análisis</v>
      </c>
      <c r="B15" s="259">
        <f ca="1">DISTRIBUCIÓN!BD62</f>
        <v>4.9516924187326273E-3</v>
      </c>
      <c r="C15" s="132" t="s">
        <v>34</v>
      </c>
      <c r="D15" s="133">
        <v>1</v>
      </c>
      <c r="E15" s="260">
        <f t="shared" ref="E15:E32" ca="1" si="4">B15*$E$12/$B$12</f>
        <v>9649756.8888543341</v>
      </c>
      <c r="F15" s="194"/>
      <c r="G15" s="194">
        <f ca="1">$E$15</f>
        <v>9649756.8888543341</v>
      </c>
      <c r="H15" s="194"/>
      <c r="I15" s="194"/>
      <c r="J15" s="194"/>
      <c r="K15" s="194"/>
      <c r="L15" s="194"/>
      <c r="M15" s="194"/>
      <c r="N15" s="194"/>
      <c r="O15" s="194"/>
      <c r="P15" s="194"/>
      <c r="Q15" s="194"/>
      <c r="R15" s="195">
        <f t="shared" ref="R15:R32" ca="1" si="5">SUM(F15:Q15)</f>
        <v>9649756.8888543341</v>
      </c>
      <c r="S15" s="67"/>
      <c r="T15" s="67"/>
    </row>
    <row r="16" spans="1:20" ht="27" x14ac:dyDescent="0.35">
      <c r="A16" s="353" t="str">
        <f>DISTRIBUCIÓN!A63</f>
        <v xml:space="preserve">Paso 3. Definición para la estructura conceptual para la modelación de calidad del agua </v>
      </c>
      <c r="B16" s="259">
        <f ca="1">DISTRIBUCIÓN!BD63</f>
        <v>3.2493662502827717E-2</v>
      </c>
      <c r="C16" s="132" t="s">
        <v>34</v>
      </c>
      <c r="D16" s="133">
        <v>1</v>
      </c>
      <c r="E16" s="260">
        <f t="shared" ca="1" si="4"/>
        <v>63322984.762656838</v>
      </c>
      <c r="F16" s="362"/>
      <c r="G16" s="194">
        <f ca="1">$E$16</f>
        <v>63322984.762656838</v>
      </c>
      <c r="H16" s="354"/>
      <c r="I16" s="354"/>
      <c r="J16" s="354"/>
      <c r="K16" s="354"/>
      <c r="L16" s="354"/>
      <c r="M16" s="354"/>
      <c r="N16" s="354"/>
      <c r="O16" s="354"/>
      <c r="P16" s="354"/>
      <c r="Q16" s="354"/>
      <c r="R16" s="195">
        <f t="shared" ca="1" si="5"/>
        <v>63322984.762656838</v>
      </c>
      <c r="S16" s="67"/>
      <c r="T16" s="67"/>
    </row>
    <row r="17" spans="1:20" ht="13.5" x14ac:dyDescent="0.35">
      <c r="A17" s="256" t="str">
        <f>DISTRIBUCIÓN!A64</f>
        <v>Trabajo de campo</v>
      </c>
      <c r="B17" s="200"/>
      <c r="C17" s="256"/>
      <c r="D17" s="256"/>
      <c r="E17" s="187"/>
      <c r="F17" s="256"/>
      <c r="G17" s="256"/>
      <c r="H17" s="256"/>
      <c r="I17" s="256"/>
      <c r="J17" s="256"/>
      <c r="K17" s="256"/>
      <c r="L17" s="256"/>
      <c r="M17" s="256"/>
      <c r="N17" s="256"/>
      <c r="O17" s="256"/>
      <c r="P17" s="256"/>
      <c r="Q17" s="256"/>
      <c r="R17" s="256"/>
      <c r="S17" s="67"/>
      <c r="T17" s="67"/>
    </row>
    <row r="18" spans="1:20" ht="13.5" x14ac:dyDescent="0.35">
      <c r="A18" s="353" t="str">
        <f>DISTRIBUCIÓN!A65</f>
        <v xml:space="preserve">Paso 1. Censo de usuarios y consolidación de información </v>
      </c>
      <c r="B18" s="200">
        <f ca="1">DISTRIBUCIÓN!BD65</f>
        <v>0.11437687755638175</v>
      </c>
      <c r="C18" s="132" t="s">
        <v>34</v>
      </c>
      <c r="D18" s="133">
        <v>1</v>
      </c>
      <c r="E18" s="187">
        <f t="shared" ca="1" si="4"/>
        <v>222895319.17409259</v>
      </c>
      <c r="F18" s="194"/>
      <c r="G18" s="194">
        <f ca="1">$E$18/4</f>
        <v>55723829.793523148</v>
      </c>
      <c r="H18" s="194">
        <f t="shared" ref="H18:J18" ca="1" si="6">$E$18/4</f>
        <v>55723829.793523148</v>
      </c>
      <c r="I18" s="194">
        <f t="shared" ca="1" si="6"/>
        <v>55723829.793523148</v>
      </c>
      <c r="J18" s="194">
        <f t="shared" ca="1" si="6"/>
        <v>55723829.793523148</v>
      </c>
      <c r="K18" s="194"/>
      <c r="L18" s="194"/>
      <c r="M18" s="194"/>
      <c r="N18" s="194"/>
      <c r="O18" s="194"/>
      <c r="P18" s="194"/>
      <c r="Q18" s="194"/>
      <c r="R18" s="195">
        <f t="shared" ca="1" si="5"/>
        <v>222895319.17409259</v>
      </c>
      <c r="S18" s="67"/>
      <c r="T18" s="67"/>
    </row>
    <row r="19" spans="1:20" ht="13.5" x14ac:dyDescent="0.35">
      <c r="A19" s="353" t="str">
        <f>DISTRIBUCIÓN!A66</f>
        <v>Paso 2. Diseño y ejecución del plan de monitoreo</v>
      </c>
      <c r="B19" s="200">
        <f ca="1">DISTRIBUCIÓN!BD66</f>
        <v>0.59127191931018441</v>
      </c>
      <c r="C19" s="132" t="s">
        <v>34</v>
      </c>
      <c r="D19" s="133">
        <v>1</v>
      </c>
      <c r="E19" s="187">
        <f t="shared" ca="1" si="4"/>
        <v>1152258620.702034</v>
      </c>
      <c r="F19" s="194"/>
      <c r="G19" s="194"/>
      <c r="H19" s="194">
        <f ca="1">$E$19/3</f>
        <v>384086206.90067798</v>
      </c>
      <c r="I19" s="194">
        <f ca="1">$E$19/3</f>
        <v>384086206.90067798</v>
      </c>
      <c r="J19" s="194"/>
      <c r="K19" s="194">
        <f ca="1">$E$19/3</f>
        <v>384086206.90067798</v>
      </c>
      <c r="L19" s="194"/>
      <c r="M19" s="194"/>
      <c r="N19" s="194"/>
      <c r="O19" s="194"/>
      <c r="P19" s="194"/>
      <c r="Q19" s="194"/>
      <c r="R19" s="195">
        <f t="shared" ca="1" si="5"/>
        <v>1152258620.702034</v>
      </c>
      <c r="S19" s="67"/>
      <c r="T19" s="67"/>
    </row>
    <row r="20" spans="1:20" ht="13.5" x14ac:dyDescent="0.35">
      <c r="A20" s="256" t="str">
        <f>DISTRIBUCIÓN!A67</f>
        <v>Construcción de línea base</v>
      </c>
      <c r="B20" s="256"/>
      <c r="C20" s="256"/>
      <c r="D20" s="256"/>
      <c r="E20" s="256"/>
      <c r="F20" s="256"/>
      <c r="G20" s="256"/>
      <c r="H20" s="256"/>
      <c r="I20" s="256"/>
      <c r="J20" s="256"/>
      <c r="K20" s="256"/>
      <c r="L20" s="256"/>
      <c r="M20" s="256"/>
      <c r="N20" s="256"/>
      <c r="O20" s="256"/>
      <c r="P20" s="256"/>
      <c r="Q20" s="256"/>
      <c r="R20" s="256"/>
      <c r="S20" s="67"/>
      <c r="T20" s="67"/>
    </row>
    <row r="21" spans="1:20" ht="13.5" x14ac:dyDescent="0.35">
      <c r="A21" s="353" t="str">
        <f>DISTRIBUCIÓN!A68</f>
        <v>Paso 1. Consolidación de usos existentes del recurso hídrico</v>
      </c>
      <c r="B21" s="200">
        <f ca="1">DISTRIBUCIÓN!BD68</f>
        <v>2.858023812154404E-3</v>
      </c>
      <c r="C21" s="132" t="s">
        <v>34</v>
      </c>
      <c r="D21" s="133">
        <v>1</v>
      </c>
      <c r="E21" s="187">
        <f t="shared" ca="1" si="4"/>
        <v>5569658.3385333773</v>
      </c>
      <c r="F21" s="194"/>
      <c r="G21" s="194"/>
      <c r="H21" s="194"/>
      <c r="I21" s="194"/>
      <c r="J21" s="194"/>
      <c r="K21" s="194">
        <f ca="1">$E$21/2</f>
        <v>2784829.1692666886</v>
      </c>
      <c r="L21" s="194">
        <f ca="1">$E$21/2</f>
        <v>2784829.1692666886</v>
      </c>
      <c r="M21" s="194"/>
      <c r="N21" s="194"/>
      <c r="O21" s="194"/>
      <c r="P21" s="194"/>
      <c r="Q21" s="194"/>
      <c r="R21" s="195">
        <f t="shared" ca="1" si="5"/>
        <v>5569658.3385333773</v>
      </c>
      <c r="S21" s="67"/>
      <c r="T21" s="67"/>
    </row>
    <row r="22" spans="1:20" ht="27" x14ac:dyDescent="0.35">
      <c r="A22" s="363" t="str">
        <f>DISTRIBUCIÓN!A69</f>
        <v>Paso 2. Estimación de la oferta hídrica total y oferta hídrica total disponible e indicadores de estado</v>
      </c>
      <c r="B22" s="259">
        <f ca="1">DISTRIBUCIÓN!BD69</f>
        <v>2.1585534910850055E-2</v>
      </c>
      <c r="C22" s="132" t="s">
        <v>34</v>
      </c>
      <c r="D22" s="133">
        <v>1</v>
      </c>
      <c r="E22" s="260">
        <f t="shared" ca="1" si="4"/>
        <v>42065448.858976923</v>
      </c>
      <c r="F22" s="194"/>
      <c r="G22" s="194"/>
      <c r="H22" s="194">
        <f ca="1">$E$22/3</f>
        <v>14021816.286325641</v>
      </c>
      <c r="I22" s="194">
        <f ca="1">$E$22/3</f>
        <v>14021816.286325641</v>
      </c>
      <c r="J22" s="194">
        <f ca="1">$E$22/3</f>
        <v>14021816.286325641</v>
      </c>
      <c r="K22" s="194"/>
      <c r="L22" s="194"/>
      <c r="M22" s="194"/>
      <c r="N22" s="194"/>
      <c r="O22" s="194"/>
      <c r="P22" s="194"/>
      <c r="Q22" s="194"/>
      <c r="R22" s="195">
        <f t="shared" ca="1" si="5"/>
        <v>42065448.858976923</v>
      </c>
      <c r="S22" s="67"/>
      <c r="T22" s="67"/>
    </row>
    <row r="23" spans="1:20" ht="27" x14ac:dyDescent="0.35">
      <c r="A23" s="353" t="str">
        <f>DISTRIBUCIÓN!A70</f>
        <v>Paso 3. Identificación de zonas de recarga del acuífero o interacciones con las aguas superficiales</v>
      </c>
      <c r="B23" s="200">
        <f ca="1">DISTRIBUCIÓN!BD70</f>
        <v>1.2653660137787914E-2</v>
      </c>
      <c r="C23" s="132" t="s">
        <v>34</v>
      </c>
      <c r="D23" s="133">
        <v>1</v>
      </c>
      <c r="E23" s="187">
        <f t="shared" ca="1" si="4"/>
        <v>24659194.020595647</v>
      </c>
      <c r="F23" s="194"/>
      <c r="G23" s="194"/>
      <c r="H23" s="194"/>
      <c r="I23" s="194">
        <f ca="1">$E$23/2</f>
        <v>12329597.010297824</v>
      </c>
      <c r="J23" s="194">
        <f ca="1">$E$23/2</f>
        <v>12329597.010297824</v>
      </c>
      <c r="K23" s="194"/>
      <c r="L23" s="194"/>
      <c r="M23" s="194"/>
      <c r="N23" s="194"/>
      <c r="O23" s="194"/>
      <c r="P23" s="194"/>
      <c r="Q23" s="194"/>
      <c r="R23" s="195">
        <f t="shared" ca="1" si="5"/>
        <v>24659194.020595647</v>
      </c>
      <c r="S23" s="67"/>
      <c r="T23" s="67"/>
    </row>
    <row r="24" spans="1:20" ht="17.25" customHeight="1" x14ac:dyDescent="0.35">
      <c r="A24" s="353" t="str">
        <f>DISTRIBUCIÓN!A71</f>
        <v>Paso 4. Elaboración de perfiles de calidad actual de cada cuerpo de agua</v>
      </c>
      <c r="B24" s="200">
        <f ca="1">DISTRIBUCIÓN!BD71</f>
        <v>5.0513909238077814E-3</v>
      </c>
      <c r="C24" s="132" t="s">
        <v>34</v>
      </c>
      <c r="D24" s="133">
        <v>1</v>
      </c>
      <c r="E24" s="187">
        <f t="shared" ca="1" si="4"/>
        <v>9844047.2960124761</v>
      </c>
      <c r="F24" s="194"/>
      <c r="G24" s="194"/>
      <c r="H24" s="194"/>
      <c r="I24" s="194"/>
      <c r="J24" s="194">
        <f ca="1">$E$24/2</f>
        <v>4922023.648006238</v>
      </c>
      <c r="K24" s="194"/>
      <c r="L24" s="194">
        <f ca="1">$E$24/2</f>
        <v>4922023.648006238</v>
      </c>
      <c r="M24" s="194"/>
      <c r="N24" s="194"/>
      <c r="O24" s="194"/>
      <c r="P24" s="194"/>
      <c r="Q24" s="194"/>
      <c r="R24" s="195">
        <f t="shared" ca="1" si="5"/>
        <v>9844047.2960124761</v>
      </c>
      <c r="S24" s="67"/>
      <c r="T24" s="67"/>
    </row>
    <row r="25" spans="1:20" ht="17.25" customHeight="1" x14ac:dyDescent="0.35">
      <c r="A25" s="353" t="str">
        <f>DISTRIBUCIÓN!A72</f>
        <v>Paso 5. Estimación de indicadores de calidad de agua</v>
      </c>
      <c r="B25" s="200">
        <f ca="1">DISTRIBUCIÓN!BD72</f>
        <v>4.8519939136574732E-3</v>
      </c>
      <c r="C25" s="132" t="s">
        <v>34</v>
      </c>
      <c r="D25" s="133">
        <v>1</v>
      </c>
      <c r="E25" s="187">
        <f t="shared" ca="1" si="4"/>
        <v>9455466.481696194</v>
      </c>
      <c r="F25" s="194"/>
      <c r="G25" s="194"/>
      <c r="H25" s="194"/>
      <c r="I25" s="194"/>
      <c r="J25" s="194">
        <f ca="1">$E$25/2</f>
        <v>4727733.240848097</v>
      </c>
      <c r="K25" s="194"/>
      <c r="L25" s="194">
        <f ca="1">$E$25/2</f>
        <v>4727733.240848097</v>
      </c>
      <c r="M25" s="194"/>
      <c r="N25" s="194"/>
      <c r="O25" s="194"/>
      <c r="P25" s="194"/>
      <c r="Q25" s="194"/>
      <c r="R25" s="195">
        <f t="shared" ca="1" si="5"/>
        <v>9455466.481696194</v>
      </c>
      <c r="S25" s="67"/>
      <c r="T25" s="67"/>
    </row>
    <row r="26" spans="1:20" ht="17.25" customHeight="1" x14ac:dyDescent="0.35">
      <c r="A26" s="353" t="str">
        <f>DISTRIBUCIÓN!A73</f>
        <v xml:space="preserve">Paso 6. Clasificación de los usos actuales </v>
      </c>
      <c r="B26" s="200">
        <f ca="1">DISTRIBUCIÓN!BD73</f>
        <v>3.9879402030061429E-3</v>
      </c>
      <c r="C26" s="132" t="s">
        <v>34</v>
      </c>
      <c r="D26" s="133">
        <v>1</v>
      </c>
      <c r="E26" s="187">
        <f t="shared" ca="1" si="4"/>
        <v>7771616.2863256391</v>
      </c>
      <c r="F26" s="194"/>
      <c r="G26" s="194"/>
      <c r="H26" s="194"/>
      <c r="I26" s="194"/>
      <c r="J26" s="194"/>
      <c r="K26" s="194">
        <f ca="1">$E$26/2</f>
        <v>3885808.1431628196</v>
      </c>
      <c r="L26" s="194">
        <f ca="1">$E$26/2</f>
        <v>3885808.1431628196</v>
      </c>
      <c r="M26" s="194"/>
      <c r="N26" s="194"/>
      <c r="O26" s="194"/>
      <c r="P26" s="194"/>
      <c r="Q26" s="194"/>
      <c r="R26" s="195">
        <f t="shared" ca="1" si="5"/>
        <v>7771616.2863256391</v>
      </c>
      <c r="S26" s="67"/>
      <c r="T26" s="67"/>
    </row>
    <row r="27" spans="1:20" ht="17.25" customHeight="1" x14ac:dyDescent="0.35">
      <c r="A27" s="353" t="str">
        <f>DISTRIBUCIÓN!A74</f>
        <v>Paso 7. Estudio de demanda de agua</v>
      </c>
      <c r="B27" s="200">
        <f ca="1">DISTRIBUCIÓN!BD74</f>
        <v>1.4418499837576088E-2</v>
      </c>
      <c r="C27" s="132" t="s">
        <v>34</v>
      </c>
      <c r="D27" s="133">
        <v>1</v>
      </c>
      <c r="E27" s="187">
        <f t="shared" ca="1" si="4"/>
        <v>28098477.524217106</v>
      </c>
      <c r="F27" s="194"/>
      <c r="G27" s="194"/>
      <c r="H27" s="194"/>
      <c r="I27" s="194"/>
      <c r="J27" s="194"/>
      <c r="K27" s="194">
        <f ca="1">E27</f>
        <v>28098477.524217106</v>
      </c>
      <c r="L27" s="194"/>
      <c r="M27" s="194"/>
      <c r="N27" s="194"/>
      <c r="O27" s="194"/>
      <c r="P27" s="194"/>
      <c r="Q27" s="194"/>
      <c r="R27" s="195">
        <f t="shared" ca="1" si="5"/>
        <v>28098477.524217106</v>
      </c>
      <c r="S27" s="67"/>
      <c r="T27" s="67"/>
    </row>
    <row r="28" spans="1:20" ht="17.25" customHeight="1" x14ac:dyDescent="0.35">
      <c r="A28" s="353" t="str">
        <f>DISTRIBUCIÓN!A75</f>
        <v>Paso 8. Indicadores de presión sobre el recurso hídrico superficial</v>
      </c>
      <c r="B28" s="200">
        <f ca="1">DISTRIBUCIÓN!BD75</f>
        <v>6.0044248887833867E-3</v>
      </c>
      <c r="C28" s="132" t="s">
        <v>34</v>
      </c>
      <c r="D28" s="133">
        <v>1</v>
      </c>
      <c r="E28" s="187">
        <f t="shared" ca="1" si="4"/>
        <v>11701300.390741114</v>
      </c>
      <c r="F28" s="194"/>
      <c r="G28" s="194"/>
      <c r="H28" s="194"/>
      <c r="I28" s="194"/>
      <c r="J28" s="194"/>
      <c r="K28" s="194"/>
      <c r="L28" s="194">
        <f ca="1">E28</f>
        <v>11701300.390741114</v>
      </c>
      <c r="M28" s="194"/>
      <c r="N28" s="194"/>
      <c r="O28" s="194"/>
      <c r="P28" s="194"/>
      <c r="Q28" s="194"/>
      <c r="R28" s="195">
        <f t="shared" ca="1" si="5"/>
        <v>11701300.390741114</v>
      </c>
      <c r="S28" s="67"/>
      <c r="T28" s="67"/>
    </row>
    <row r="29" spans="1:20" ht="17.25" customHeight="1" x14ac:dyDescent="0.35">
      <c r="A29" s="353" t="str">
        <f>DISTRIBUCIÓN!A76</f>
        <v>Paso 9. Estimación cualitativa del riesgo</v>
      </c>
      <c r="B29" s="200">
        <f ca="1">DISTRIBUCIÓN!BD76</f>
        <v>9.5439913396444427E-3</v>
      </c>
      <c r="C29" s="132" t="s">
        <v>34</v>
      </c>
      <c r="D29" s="133">
        <v>1</v>
      </c>
      <c r="E29" s="187">
        <f t="shared" ca="1" si="4"/>
        <v>18599135.081268255</v>
      </c>
      <c r="F29" s="194"/>
      <c r="G29" s="194"/>
      <c r="H29" s="194"/>
      <c r="I29" s="194"/>
      <c r="J29" s="194"/>
      <c r="K29" s="194"/>
      <c r="L29" s="194">
        <f ca="1">E29</f>
        <v>18599135.081268255</v>
      </c>
      <c r="M29" s="194"/>
      <c r="N29" s="194"/>
      <c r="O29" s="194"/>
      <c r="P29" s="194"/>
      <c r="Q29" s="194"/>
      <c r="R29" s="195">
        <f t="shared" ca="1" si="5"/>
        <v>18599135.081268255</v>
      </c>
      <c r="S29" s="67"/>
      <c r="T29" s="67"/>
    </row>
    <row r="30" spans="1:20" ht="17.25" customHeight="1" x14ac:dyDescent="0.35">
      <c r="A30" s="353" t="str">
        <f>DISTRIBUCIÓN!A77</f>
        <v xml:space="preserve">Paso 10. Análisis de problemáticas y conflictos derivados del recurso hídrico </v>
      </c>
      <c r="B30" s="200">
        <f ca="1">DISTRIBUCIÓN!BD77</f>
        <v>1.6749348852625783E-2</v>
      </c>
      <c r="C30" s="132" t="s">
        <v>34</v>
      </c>
      <c r="D30" s="133">
        <v>1</v>
      </c>
      <c r="E30" s="187">
        <f t="shared" ca="1" si="4"/>
        <v>32640788.402567651</v>
      </c>
      <c r="F30" s="194"/>
      <c r="G30" s="194"/>
      <c r="H30" s="194">
        <f ca="1">$E$30/5</f>
        <v>6528157.68051353</v>
      </c>
      <c r="I30" s="194">
        <f t="shared" ref="I30:L30" ca="1" si="7">$E$30/5</f>
        <v>6528157.68051353</v>
      </c>
      <c r="J30" s="194">
        <f t="shared" ca="1" si="7"/>
        <v>6528157.68051353</v>
      </c>
      <c r="K30" s="194">
        <f t="shared" ca="1" si="7"/>
        <v>6528157.68051353</v>
      </c>
      <c r="L30" s="194">
        <f t="shared" ca="1" si="7"/>
        <v>6528157.68051353</v>
      </c>
      <c r="M30" s="194"/>
      <c r="N30" s="194"/>
      <c r="O30" s="194"/>
      <c r="P30" s="194"/>
      <c r="Q30" s="194"/>
      <c r="R30" s="195">
        <f t="shared" ca="1" si="5"/>
        <v>32640788.402567651</v>
      </c>
      <c r="S30" s="67"/>
      <c r="T30" s="67"/>
    </row>
    <row r="31" spans="1:20" ht="17.25" customHeight="1" x14ac:dyDescent="0.35">
      <c r="A31" s="353" t="str">
        <f>DISTRIBUCIÓN!A78</f>
        <v xml:space="preserve">Paso 11. Sistematización de la información resultado de la fase de diagnóstico </v>
      </c>
      <c r="B31" s="200">
        <f ca="1">DISTRIBUCIÓN!BD78</f>
        <v>3.2368781314399804E-2</v>
      </c>
      <c r="C31" s="132" t="s">
        <v>34</v>
      </c>
      <c r="D31" s="133">
        <v>1</v>
      </c>
      <c r="E31" s="187">
        <f t="shared" ca="1" si="4"/>
        <v>63079618.857342996</v>
      </c>
      <c r="F31" s="194"/>
      <c r="G31" s="194">
        <f ca="1">$E$31/6</f>
        <v>10513269.809557166</v>
      </c>
      <c r="H31" s="194">
        <f t="shared" ref="H31:L31" ca="1" si="8">$E$31/6</f>
        <v>10513269.809557166</v>
      </c>
      <c r="I31" s="194">
        <f t="shared" ca="1" si="8"/>
        <v>10513269.809557166</v>
      </c>
      <c r="J31" s="194">
        <f t="shared" ca="1" si="8"/>
        <v>10513269.809557166</v>
      </c>
      <c r="K31" s="194">
        <f t="shared" ca="1" si="8"/>
        <v>10513269.809557166</v>
      </c>
      <c r="L31" s="194">
        <f t="shared" ca="1" si="8"/>
        <v>10513269.809557166</v>
      </c>
      <c r="M31" s="194"/>
      <c r="N31" s="194"/>
      <c r="O31" s="194"/>
      <c r="P31" s="194"/>
      <c r="Q31" s="194"/>
      <c r="R31" s="195">
        <f t="shared" ca="1" si="5"/>
        <v>63079618.857343003</v>
      </c>
      <c r="S31" s="67"/>
      <c r="T31" s="67"/>
    </row>
    <row r="32" spans="1:20" ht="13.5" x14ac:dyDescent="0.35">
      <c r="A32" s="353" t="str">
        <f>DISTRIBUCIÓN!A79</f>
        <v>Paso 12. Socialización de los resultados de la fase de diagnóstico</v>
      </c>
      <c r="B32" s="200">
        <f ca="1">DISTRIBUCIÓN!BD79</f>
        <v>7.1431498989177463E-3</v>
      </c>
      <c r="C32" s="132" t="s">
        <v>34</v>
      </c>
      <c r="D32" s="133">
        <v>1</v>
      </c>
      <c r="E32" s="187">
        <f t="shared" ca="1" si="4"/>
        <v>13920424.395593422</v>
      </c>
      <c r="F32" s="194"/>
      <c r="G32" s="194"/>
      <c r="H32" s="194"/>
      <c r="I32" s="194"/>
      <c r="J32" s="194"/>
      <c r="K32" s="194"/>
      <c r="L32" s="194">
        <f ca="1">E32</f>
        <v>13920424.395593422</v>
      </c>
      <c r="M32" s="194"/>
      <c r="N32" s="194"/>
      <c r="O32" s="194"/>
      <c r="P32" s="194"/>
      <c r="Q32" s="194"/>
      <c r="R32" s="195">
        <f t="shared" ca="1" si="5"/>
        <v>13920424.395593422</v>
      </c>
      <c r="T32" s="67"/>
    </row>
    <row r="33" spans="1:20" ht="13.5" x14ac:dyDescent="0.35">
      <c r="A33" s="250" t="str">
        <f>DISTRIBUCIÓN!A85</f>
        <v>FASE 3. Identificación de usos potenciales</v>
      </c>
      <c r="B33" s="251">
        <f ca="1">DISTRIBUCIÓN!E39</f>
        <v>3.95E-2</v>
      </c>
      <c r="C33" s="252"/>
      <c r="D33" s="252"/>
      <c r="E33" s="248">
        <f ca="1">DISTRIBUCIÓN!D39</f>
        <v>76956034.700000003</v>
      </c>
      <c r="F33" s="261"/>
      <c r="G33" s="261"/>
      <c r="H33" s="261"/>
      <c r="I33" s="261"/>
      <c r="J33" s="261"/>
      <c r="K33" s="261"/>
      <c r="L33" s="261"/>
      <c r="M33" s="261"/>
      <c r="N33" s="261"/>
      <c r="O33" s="194"/>
      <c r="P33" s="194"/>
      <c r="Q33" s="194"/>
      <c r="R33" s="186">
        <f ca="1">ROUND(SUM(R34:R38),4)</f>
        <v>76956034.700000003</v>
      </c>
      <c r="S33" s="264" t="str">
        <f ca="1">IF(ABS(R33-E33)&lt;0.0001,"OK"," ERROR")</f>
        <v>OK</v>
      </c>
      <c r="T33" s="67"/>
    </row>
    <row r="34" spans="1:20" ht="13.5" x14ac:dyDescent="0.35">
      <c r="A34" s="220" t="str">
        <f>DISTRIBUCIÓN!A86</f>
        <v>Paso 1: Proyección de la demanda de agua</v>
      </c>
      <c r="B34" s="259">
        <f ca="1">DISTRIBUCIÓN!BD86</f>
        <v>1.1114758623436931E-2</v>
      </c>
      <c r="C34" s="132" t="s">
        <v>34</v>
      </c>
      <c r="D34" s="133">
        <v>1</v>
      </c>
      <c r="E34" s="260">
        <f ca="1">B34*$E$33/$B$33</f>
        <v>21654373.425502196</v>
      </c>
      <c r="F34" s="134"/>
      <c r="G34" s="134"/>
      <c r="H34" s="134"/>
      <c r="I34" s="134"/>
      <c r="J34" s="194"/>
      <c r="K34" s="194"/>
      <c r="L34" s="194"/>
      <c r="M34" s="194">
        <f ca="1">E34/2</f>
        <v>10827186.712751098</v>
      </c>
      <c r="N34" s="194">
        <f ca="1">E34/2</f>
        <v>10827186.712751098</v>
      </c>
      <c r="O34" s="194"/>
      <c r="P34" s="134"/>
      <c r="Q34" s="134"/>
      <c r="R34" s="195">
        <f ca="1">SUM(F34:Q34)</f>
        <v>21654373.425502196</v>
      </c>
      <c r="S34" s="277" t="s">
        <v>146</v>
      </c>
      <c r="T34" s="67"/>
    </row>
    <row r="35" spans="1:20" ht="13.5" x14ac:dyDescent="0.35">
      <c r="A35" s="220" t="str">
        <f>DISTRIBUCIÓN!A87</f>
        <v>Paso 2: Modelación de la calidad del agua y simulación de escenarios</v>
      </c>
      <c r="B35" s="259">
        <f ca="1">DISTRIBUCIÓN!BD87</f>
        <v>5.871851214560013E-3</v>
      </c>
      <c r="C35" s="132"/>
      <c r="D35" s="133">
        <v>1</v>
      </c>
      <c r="E35" s="260">
        <f t="shared" ref="E35:E38" ca="1" si="9">B35*$E$33/$B$33</f>
        <v>11439857.868883988</v>
      </c>
      <c r="F35" s="134"/>
      <c r="G35" s="134"/>
      <c r="H35" s="134"/>
      <c r="I35" s="134"/>
      <c r="J35" s="194"/>
      <c r="K35" s="194"/>
      <c r="L35" s="194"/>
      <c r="M35" s="194">
        <f t="shared" ref="M35:M37" ca="1" si="10">E35/2</f>
        <v>5719928.9344419939</v>
      </c>
      <c r="N35" s="194">
        <f t="shared" ref="N35:N37" ca="1" si="11">E35/2</f>
        <v>5719928.9344419939</v>
      </c>
      <c r="O35" s="194"/>
      <c r="P35" s="134"/>
      <c r="Q35" s="134"/>
      <c r="R35" s="195">
        <f t="shared" ref="R35:R38" ca="1" si="12">SUM(F35:Q35)</f>
        <v>11439857.868883988</v>
      </c>
      <c r="S35" s="277"/>
      <c r="T35" s="67"/>
    </row>
    <row r="36" spans="1:20" ht="17.25" customHeight="1" x14ac:dyDescent="0.35">
      <c r="A36" s="220" t="str">
        <f>DISTRIBUCIÓN!A88</f>
        <v>Paso 3: Clasificación del cuerpo de agua e identificación de usos potenciales</v>
      </c>
      <c r="B36" s="259">
        <f ca="1">DISTRIBUCIÓN!BD88</f>
        <v>9.2882010121222019E-3</v>
      </c>
      <c r="C36" s="132" t="s">
        <v>34</v>
      </c>
      <c r="D36" s="133">
        <v>1</v>
      </c>
      <c r="E36" s="260">
        <f t="shared" ca="1" si="9"/>
        <v>18095775.17441649</v>
      </c>
      <c r="F36" s="134"/>
      <c r="G36" s="134"/>
      <c r="H36" s="134"/>
      <c r="I36" s="134"/>
      <c r="J36" s="194"/>
      <c r="K36" s="194"/>
      <c r="L36" s="194"/>
      <c r="M36" s="194">
        <f t="shared" ca="1" si="10"/>
        <v>9047887.5872082449</v>
      </c>
      <c r="N36" s="194">
        <f t="shared" ca="1" si="11"/>
        <v>9047887.5872082449</v>
      </c>
      <c r="O36" s="194"/>
      <c r="P36" s="134"/>
      <c r="Q36" s="134"/>
      <c r="R36" s="195">
        <f t="shared" ca="1" si="12"/>
        <v>18095775.17441649</v>
      </c>
      <c r="T36" s="67"/>
    </row>
    <row r="37" spans="1:20" ht="32.25" customHeight="1" x14ac:dyDescent="0.35">
      <c r="A37" s="220" t="str">
        <f>DISTRIBUCIÓN!A89</f>
        <v>Paso 4. Estimación cualitativa de riesgos asociados a reducción de la oferta y disponibilidad del recurso hídrico</v>
      </c>
      <c r="B37" s="259">
        <f ca="1">DISTRIBUCIÓN!BD89</f>
        <v>7.4732651821672888E-3</v>
      </c>
      <c r="C37" s="132" t="s">
        <v>34</v>
      </c>
      <c r="D37" s="133">
        <v>1</v>
      </c>
      <c r="E37" s="260">
        <f t="shared" ca="1" si="9"/>
        <v>14559819.105852349</v>
      </c>
      <c r="F37" s="134"/>
      <c r="G37" s="134"/>
      <c r="H37" s="134"/>
      <c r="I37" s="134"/>
      <c r="J37" s="194"/>
      <c r="K37" s="194"/>
      <c r="L37" s="194"/>
      <c r="M37" s="194">
        <f t="shared" ca="1" si="10"/>
        <v>7279909.5529261744</v>
      </c>
      <c r="N37" s="194">
        <f t="shared" ca="1" si="11"/>
        <v>7279909.5529261744</v>
      </c>
      <c r="O37" s="194"/>
      <c r="P37" s="134"/>
      <c r="Q37" s="134"/>
      <c r="R37" s="195">
        <f t="shared" ca="1" si="12"/>
        <v>14559819.105852349</v>
      </c>
      <c r="T37" s="67"/>
    </row>
    <row r="38" spans="1:20" ht="13.5" x14ac:dyDescent="0.35">
      <c r="A38" s="220" t="str">
        <f>DISTRIBUCIÓN!A90</f>
        <v>Paso 5. Socialización de los resultados de la fase de Usos Potenciales</v>
      </c>
      <c r="B38" s="259">
        <f ca="1">DISTRIBUCIÓN!BD90</f>
        <v>5.7519239677180142E-3</v>
      </c>
      <c r="C38" s="132" t="s">
        <v>34</v>
      </c>
      <c r="D38" s="133">
        <v>1</v>
      </c>
      <c r="E38" s="260">
        <f t="shared" ca="1" si="9"/>
        <v>11206209.125353651</v>
      </c>
      <c r="F38" s="134"/>
      <c r="G38" s="134"/>
      <c r="H38" s="134"/>
      <c r="I38" s="134"/>
      <c r="J38" s="194"/>
      <c r="K38" s="194"/>
      <c r="L38" s="194"/>
      <c r="M38" s="194"/>
      <c r="N38" s="194">
        <f ca="1">E38</f>
        <v>11206209.125353651</v>
      </c>
      <c r="O38" s="194"/>
      <c r="P38" s="134"/>
      <c r="Q38" s="134"/>
      <c r="R38" s="195">
        <f t="shared" ca="1" si="12"/>
        <v>11206209.125353651</v>
      </c>
      <c r="T38" s="67"/>
    </row>
    <row r="39" spans="1:20" ht="13.5" x14ac:dyDescent="0.35">
      <c r="A39" s="250" t="str">
        <f>DISTRIBUCIÓN!A95</f>
        <v>FASE 4. Elaboración del plan</v>
      </c>
      <c r="B39" s="365">
        <f ca="1">DISTRIBUCIÓN!E40</f>
        <v>3.9199999999999999E-2</v>
      </c>
      <c r="C39" s="250" t="s">
        <v>34</v>
      </c>
      <c r="D39" s="250"/>
      <c r="E39" s="254">
        <f ca="1">DISTRIBUCIÓN!D40</f>
        <v>76425237.598700002</v>
      </c>
      <c r="F39" s="250"/>
      <c r="G39" s="250"/>
      <c r="H39" s="250"/>
      <c r="I39" s="250"/>
      <c r="J39" s="250"/>
      <c r="K39" s="250"/>
      <c r="L39" s="250"/>
      <c r="M39" s="250"/>
      <c r="N39" s="250"/>
      <c r="O39" s="250"/>
      <c r="P39" s="250"/>
      <c r="Q39" s="250"/>
      <c r="R39" s="186">
        <f ca="1">ROUND(SUM(R40:R49),4)</f>
        <v>76425237.598700002</v>
      </c>
      <c r="S39" s="264" t="str">
        <f ca="1">IF(ABS(R39-E39)&lt;0.0001,"OK"," ERROR")</f>
        <v>OK</v>
      </c>
      <c r="T39" s="67"/>
    </row>
    <row r="40" spans="1:20" ht="13.5" x14ac:dyDescent="0.35">
      <c r="A40" s="243" t="str">
        <f>DISTRIBUCIÓN!A97</f>
        <v xml:space="preserve">Paso 1: Definición o ajuste de objetivos y criterios de calidad por uso </v>
      </c>
      <c r="B40" s="259">
        <f ca="1">DISTRIBUCIÓN!BD97</f>
        <v>2.1160081140218995E-3</v>
      </c>
      <c r="C40" s="132" t="s">
        <v>34</v>
      </c>
      <c r="D40" s="133">
        <v>1</v>
      </c>
      <c r="E40" s="260">
        <f ca="1">B40*$E$39/$B$39</f>
        <v>4125418.9508903255</v>
      </c>
      <c r="F40" s="134"/>
      <c r="G40" s="134"/>
      <c r="H40" s="134"/>
      <c r="I40" s="134"/>
      <c r="J40" s="134"/>
      <c r="K40" s="134"/>
      <c r="L40" s="134"/>
      <c r="M40" s="134"/>
      <c r="N40" s="134"/>
      <c r="O40" s="134">
        <f ca="1">E40</f>
        <v>4125418.9508903255</v>
      </c>
      <c r="P40" s="134"/>
      <c r="Q40" s="134"/>
      <c r="R40" s="190">
        <f t="shared" ref="R40:R49" ca="1" si="13">SUM(F40:Q40)</f>
        <v>4125418.9508903255</v>
      </c>
      <c r="S40" s="166" t="s">
        <v>146</v>
      </c>
      <c r="T40" s="67"/>
    </row>
    <row r="41" spans="1:20" ht="13.5" x14ac:dyDescent="0.35">
      <c r="A41" s="243" t="str">
        <f>DISTRIBUCIÓN!A98</f>
        <v>Paso 2: Definición de prohibiciones y condicionamientos</v>
      </c>
      <c r="B41" s="259">
        <f ca="1">DISTRIBUCIÓN!BD98</f>
        <v>2.1160081140218995E-3</v>
      </c>
      <c r="C41" s="132" t="s">
        <v>34</v>
      </c>
      <c r="D41" s="133">
        <v>1</v>
      </c>
      <c r="E41" s="260">
        <f t="shared" ref="E41:E49" ca="1" si="14">B41*$E$39/$B$39</f>
        <v>4125418.9508903255</v>
      </c>
      <c r="F41" s="134"/>
      <c r="G41" s="134"/>
      <c r="H41" s="134"/>
      <c r="I41" s="134"/>
      <c r="J41" s="134"/>
      <c r="K41" s="134"/>
      <c r="L41" s="134"/>
      <c r="M41" s="134"/>
      <c r="N41" s="134"/>
      <c r="O41" s="134">
        <f t="shared" ref="O41:O44" ca="1" si="15">E41</f>
        <v>4125418.9508903255</v>
      </c>
      <c r="P41" s="134"/>
      <c r="Q41" s="134"/>
      <c r="R41" s="190">
        <f t="shared" ca="1" si="13"/>
        <v>4125418.9508903255</v>
      </c>
      <c r="S41" s="166"/>
      <c r="T41" s="67"/>
    </row>
    <row r="42" spans="1:20" ht="27" x14ac:dyDescent="0.35">
      <c r="A42" s="355" t="str">
        <f>DISTRIBUCIÓN!A99</f>
        <v>Paso 3: Definición o ajuste de metas quinquenales de reducción de cargas contaminantes</v>
      </c>
      <c r="B42" s="259">
        <f ca="1">DISTRIBUCIÓN!BD99</f>
        <v>2.1160081140218995E-3</v>
      </c>
      <c r="C42" s="132" t="s">
        <v>34</v>
      </c>
      <c r="D42" s="133">
        <v>1</v>
      </c>
      <c r="E42" s="260">
        <f t="shared" ca="1" si="14"/>
        <v>4125418.9508903255</v>
      </c>
      <c r="F42" s="134"/>
      <c r="G42" s="134"/>
      <c r="H42" s="134"/>
      <c r="I42" s="194"/>
      <c r="J42" s="194"/>
      <c r="K42" s="194"/>
      <c r="L42" s="194"/>
      <c r="M42" s="194"/>
      <c r="N42" s="194"/>
      <c r="O42" s="194">
        <f t="shared" ca="1" si="15"/>
        <v>4125418.9508903255</v>
      </c>
      <c r="P42" s="194"/>
      <c r="Q42" s="194"/>
      <c r="R42" s="195">
        <f t="shared" ca="1" si="13"/>
        <v>4125418.9508903255</v>
      </c>
      <c r="S42" s="382"/>
      <c r="T42" s="67"/>
    </row>
    <row r="43" spans="1:20" ht="13.5" x14ac:dyDescent="0.35">
      <c r="A43" s="243" t="str">
        <f>DISTRIBUCIÓN!A100</f>
        <v>Paso 4. Articulación con el POMCA</v>
      </c>
      <c r="B43" s="259">
        <f ca="1">DISTRIBUCIÓN!BD100</f>
        <v>2.1160081140218995E-3</v>
      </c>
      <c r="C43" s="132" t="s">
        <v>34</v>
      </c>
      <c r="D43" s="133">
        <v>1</v>
      </c>
      <c r="E43" s="260">
        <f t="shared" ca="1" si="14"/>
        <v>4125418.9508903255</v>
      </c>
      <c r="F43" s="134"/>
      <c r="G43" s="134"/>
      <c r="H43" s="134"/>
      <c r="I43" s="134"/>
      <c r="J43" s="134"/>
      <c r="K43" s="134"/>
      <c r="L43" s="134"/>
      <c r="M43" s="134"/>
      <c r="N43" s="134"/>
      <c r="O43" s="134">
        <f t="shared" ca="1" si="15"/>
        <v>4125418.9508903255</v>
      </c>
      <c r="P43" s="134"/>
      <c r="Q43" s="134"/>
      <c r="R43" s="190">
        <f t="shared" ca="1" si="13"/>
        <v>4125418.9508903255</v>
      </c>
      <c r="S43" s="166"/>
      <c r="T43" s="67"/>
    </row>
    <row r="44" spans="1:20" ht="13.5" x14ac:dyDescent="0.35">
      <c r="A44" s="243" t="str">
        <f>DISTRIBUCIÓN!A101</f>
        <v>Paso 5: Articulación con otros instrumentos</v>
      </c>
      <c r="B44" s="259">
        <f ca="1">DISTRIBUCIÓN!BD101</f>
        <v>2.1160081140218995E-3</v>
      </c>
      <c r="C44" s="132" t="s">
        <v>34</v>
      </c>
      <c r="D44" s="133">
        <v>1</v>
      </c>
      <c r="E44" s="260">
        <f t="shared" ca="1" si="14"/>
        <v>4125418.9508903255</v>
      </c>
      <c r="F44" s="134"/>
      <c r="G44" s="134"/>
      <c r="H44" s="134"/>
      <c r="I44" s="134"/>
      <c r="J44" s="134"/>
      <c r="K44" s="134"/>
      <c r="L44" s="134"/>
      <c r="M44" s="134"/>
      <c r="N44" s="134"/>
      <c r="O44" s="134">
        <f t="shared" ca="1" si="15"/>
        <v>4125418.9508903255</v>
      </c>
      <c r="P44" s="134"/>
      <c r="Q44" s="134"/>
      <c r="R44" s="190">
        <f t="shared" ca="1" si="13"/>
        <v>4125418.9508903255</v>
      </c>
      <c r="S44" s="166"/>
      <c r="T44" s="67"/>
    </row>
    <row r="45" spans="1:20" ht="17.25" customHeight="1" x14ac:dyDescent="0.35">
      <c r="A45" s="243" t="str">
        <f>DISTRIBUCIÓN!A102</f>
        <v>Paso 6: Elaboración del programa de seguimiento y monitoreo al recurso hídrico</v>
      </c>
      <c r="B45" s="259">
        <f ca="1">DISTRIBUCIÓN!BD102</f>
        <v>3.3755367533206473E-3</v>
      </c>
      <c r="C45" s="132" t="s">
        <v>34</v>
      </c>
      <c r="D45" s="133">
        <v>1</v>
      </c>
      <c r="E45" s="260">
        <f t="shared" ca="1" si="14"/>
        <v>6581025.4692774201</v>
      </c>
      <c r="F45" s="134"/>
      <c r="G45" s="134"/>
      <c r="H45" s="134"/>
      <c r="I45" s="134"/>
      <c r="J45" s="134"/>
      <c r="K45" s="134"/>
      <c r="L45" s="134"/>
      <c r="M45" s="134"/>
      <c r="N45" s="134"/>
      <c r="O45" s="134"/>
      <c r="P45" s="134">
        <f ca="1">E45</f>
        <v>6581025.4692774201</v>
      </c>
      <c r="Q45" s="134"/>
      <c r="R45" s="190">
        <f t="shared" ca="1" si="13"/>
        <v>6581025.4692774201</v>
      </c>
      <c r="S45" s="166"/>
      <c r="T45" s="67"/>
    </row>
    <row r="46" spans="1:20" ht="13.5" x14ac:dyDescent="0.35">
      <c r="A46" s="243" t="str">
        <f>DISTRIBUCIÓN!A103</f>
        <v>Paso 7: Estructuración de proyectos y actividades</v>
      </c>
      <c r="B46" s="259">
        <f ca="1">DISTRIBUCIÓN!BD103</f>
        <v>3.3251556077486966E-3</v>
      </c>
      <c r="C46" s="132" t="s">
        <v>34</v>
      </c>
      <c r="D46" s="133">
        <v>1</v>
      </c>
      <c r="E46" s="260">
        <f t="shared" ca="1" si="14"/>
        <v>6482801.2085419344</v>
      </c>
      <c r="F46" s="134"/>
      <c r="G46" s="134"/>
      <c r="H46" s="134"/>
      <c r="I46" s="134"/>
      <c r="J46" s="134"/>
      <c r="K46" s="134"/>
      <c r="L46" s="134"/>
      <c r="M46" s="134"/>
      <c r="N46" s="134"/>
      <c r="O46" s="134"/>
      <c r="P46" s="134">
        <f t="shared" ref="P46:P48" ca="1" si="16">E46</f>
        <v>6482801.2085419344</v>
      </c>
      <c r="Q46" s="134"/>
      <c r="R46" s="190">
        <f t="shared" ca="1" si="13"/>
        <v>6482801.2085419344</v>
      </c>
      <c r="S46" s="166"/>
      <c r="T46" s="67"/>
    </row>
    <row r="47" spans="1:20" ht="13.5" x14ac:dyDescent="0.35">
      <c r="A47" s="243" t="str">
        <f>DISTRIBUCIÓN!A104</f>
        <v>Paso 8: Elaboración de informes</v>
      </c>
      <c r="B47" s="259">
        <f ca="1">DISTRIBUCIÓN!BD104</f>
        <v>3.4762990444645488E-3</v>
      </c>
      <c r="C47" s="132" t="s">
        <v>34</v>
      </c>
      <c r="D47" s="133">
        <v>1</v>
      </c>
      <c r="E47" s="260">
        <f t="shared" ca="1" si="14"/>
        <v>6777473.9907483906</v>
      </c>
      <c r="F47" s="134"/>
      <c r="G47" s="134"/>
      <c r="H47" s="134"/>
      <c r="I47" s="134"/>
      <c r="J47" s="134"/>
      <c r="K47" s="134"/>
      <c r="L47" s="134"/>
      <c r="M47" s="134"/>
      <c r="N47" s="134"/>
      <c r="O47" s="134"/>
      <c r="P47" s="134">
        <f t="shared" ca="1" si="16"/>
        <v>6777473.9907483906</v>
      </c>
      <c r="Q47" s="134"/>
      <c r="R47" s="190">
        <f t="shared" ca="1" si="13"/>
        <v>6777473.9907483906</v>
      </c>
      <c r="S47" s="166"/>
      <c r="T47" s="67"/>
    </row>
    <row r="48" spans="1:20" ht="13.5" x14ac:dyDescent="0.35">
      <c r="A48" s="243" t="str">
        <f>DISTRIBUCIÓN!A105</f>
        <v>Paso 9: Socialización del PORH</v>
      </c>
      <c r="B48" s="259">
        <f ca="1">DISTRIBUCIÓN!BD105</f>
        <v>5.7234436576216333E-3</v>
      </c>
      <c r="C48" s="132" t="s">
        <v>34</v>
      </c>
      <c r="D48" s="133">
        <v>1</v>
      </c>
      <c r="E48" s="260">
        <f t="shared" ca="1" si="14"/>
        <v>11158559.730012907</v>
      </c>
      <c r="F48" s="134"/>
      <c r="G48" s="134"/>
      <c r="H48" s="134"/>
      <c r="I48" s="134"/>
      <c r="J48" s="134"/>
      <c r="K48" s="134"/>
      <c r="L48" s="134"/>
      <c r="M48" s="134"/>
      <c r="N48" s="134"/>
      <c r="O48" s="134"/>
      <c r="P48" s="134">
        <f t="shared" ca="1" si="16"/>
        <v>11158559.730012907</v>
      </c>
      <c r="Q48" s="134"/>
      <c r="R48" s="190">
        <f t="shared" ca="1" si="13"/>
        <v>11158559.730012907</v>
      </c>
      <c r="T48" s="67"/>
    </row>
    <row r="49" spans="1:20" ht="13.5" x14ac:dyDescent="0.35">
      <c r="A49" s="243" t="str">
        <f>DISTRIBUCIÓN!A106</f>
        <v>Impresiones y publicaciones</v>
      </c>
      <c r="B49" s="259">
        <f ca="1">DISTRIBUCIÓN!BD106</f>
        <v>1.2719524366756645E-2</v>
      </c>
      <c r="C49" s="132" t="s">
        <v>34</v>
      </c>
      <c r="D49" s="133">
        <v>1</v>
      </c>
      <c r="E49" s="260">
        <f t="shared" ca="1" si="14"/>
        <v>24798282.44570997</v>
      </c>
      <c r="F49" s="134"/>
      <c r="G49" s="134"/>
      <c r="H49" s="134"/>
      <c r="I49" s="134"/>
      <c r="J49" s="134"/>
      <c r="K49" s="134"/>
      <c r="L49" s="134"/>
      <c r="M49" s="134"/>
      <c r="N49" s="134"/>
      <c r="O49" s="134"/>
      <c r="P49" s="134"/>
      <c r="Q49" s="134">
        <f ca="1">E49</f>
        <v>24798282.44570997</v>
      </c>
      <c r="R49" s="190">
        <f t="shared" ca="1" si="13"/>
        <v>24798282.44570997</v>
      </c>
      <c r="T49" s="67"/>
    </row>
    <row r="50" spans="1:20" s="64" customFormat="1" ht="13.5" x14ac:dyDescent="0.35">
      <c r="A50" s="135" t="s">
        <v>31</v>
      </c>
      <c r="B50" s="136"/>
      <c r="C50" s="136"/>
      <c r="D50" s="137"/>
      <c r="E50" s="191">
        <f ca="1">ROUND((E2+E12+E33+E39),0)</f>
        <v>1948779543</v>
      </c>
      <c r="F50" s="138">
        <f t="shared" ref="F50:Q50" ca="1" si="17">SUM(F2:F49)</f>
        <v>52987560.426031113</v>
      </c>
      <c r="G50" s="138">
        <f t="shared" ca="1" si="17"/>
        <v>166088694.19138506</v>
      </c>
      <c r="H50" s="138">
        <f t="shared" ca="1" si="17"/>
        <v>470873280.47059739</v>
      </c>
      <c r="I50" s="138">
        <f t="shared" ca="1" si="17"/>
        <v>483202877.48089522</v>
      </c>
      <c r="J50" s="138">
        <f t="shared" ca="1" si="17"/>
        <v>108766427.46907166</v>
      </c>
      <c r="K50" s="138">
        <f t="shared" ca="1" si="17"/>
        <v>435896749.2273953</v>
      </c>
      <c r="L50" s="138">
        <f t="shared" ca="1" si="17"/>
        <v>77582681.558957323</v>
      </c>
      <c r="M50" s="138">
        <f t="shared" ca="1" si="17"/>
        <v>32874912.787327513</v>
      </c>
      <c r="N50" s="138">
        <f t="shared" ca="1" si="17"/>
        <v>44081121.912681162</v>
      </c>
      <c r="O50" s="138">
        <f t="shared" ca="1" si="17"/>
        <v>20627094.754451629</v>
      </c>
      <c r="P50" s="138">
        <f t="shared" ca="1" si="17"/>
        <v>30999860.398580655</v>
      </c>
      <c r="Q50" s="138">
        <f t="shared" ca="1" si="17"/>
        <v>24798282.44570997</v>
      </c>
      <c r="R50" s="188">
        <f ca="1">ROUND((SUM(R2+R12+R33+R39)),0)</f>
        <v>1948779543</v>
      </c>
      <c r="S50" s="222" t="str">
        <f ca="1">IF(ABS(R50-ECONÓMICA!H36)&lt;0.0001,"OK"," ERROR")</f>
        <v>OK</v>
      </c>
    </row>
    <row r="51" spans="1:20" ht="13.5" x14ac:dyDescent="0.35">
      <c r="A51" s="139" t="s">
        <v>59</v>
      </c>
      <c r="B51" s="140"/>
      <c r="C51" s="140"/>
      <c r="D51" s="141"/>
      <c r="E51" s="192">
        <f ca="1">ROUND((E50*0.19),0)</f>
        <v>370268113</v>
      </c>
      <c r="F51" s="142">
        <f ca="1">F50*0.19</f>
        <v>10067636.480945911</v>
      </c>
      <c r="G51" s="142">
        <f t="shared" ref="G51:Q51" ca="1" si="18">G50*0.19</f>
        <v>31556851.896363162</v>
      </c>
      <c r="H51" s="142">
        <f t="shared" ca="1" si="18"/>
        <v>89465923.289413512</v>
      </c>
      <c r="I51" s="142">
        <f t="shared" ca="1" si="18"/>
        <v>91808546.721370086</v>
      </c>
      <c r="J51" s="142">
        <f t="shared" ca="1" si="18"/>
        <v>20665621.219123617</v>
      </c>
      <c r="K51" s="142">
        <f t="shared" ca="1" si="18"/>
        <v>82820382.353205115</v>
      </c>
      <c r="L51" s="142">
        <f t="shared" ca="1" si="18"/>
        <v>14740709.496201891</v>
      </c>
      <c r="M51" s="142">
        <f t="shared" ca="1" si="18"/>
        <v>6246233.4295922276</v>
      </c>
      <c r="N51" s="142">
        <f t="shared" ca="1" si="18"/>
        <v>8375413.1634094212</v>
      </c>
      <c r="O51" s="142">
        <f t="shared" ca="1" si="18"/>
        <v>3919148.0033458094</v>
      </c>
      <c r="P51" s="142">
        <f t="shared" ca="1" si="18"/>
        <v>5889973.4757303242</v>
      </c>
      <c r="Q51" s="142">
        <f t="shared" ca="1" si="18"/>
        <v>4711673.6646848945</v>
      </c>
      <c r="R51" s="161"/>
      <c r="S51" s="166" t="s">
        <v>146</v>
      </c>
    </row>
    <row r="52" spans="1:20" ht="18.75" customHeight="1" x14ac:dyDescent="0.35">
      <c r="A52" s="144" t="s">
        <v>24</v>
      </c>
      <c r="B52" s="145"/>
      <c r="C52" s="145"/>
      <c r="D52" s="146"/>
      <c r="E52" s="193">
        <f ca="1">ROUND((SUM(E50:E51)),0)</f>
        <v>2319047656</v>
      </c>
      <c r="F52" s="147">
        <f ca="1">SUM(F50:F51)</f>
        <v>63055196.906977028</v>
      </c>
      <c r="G52" s="147">
        <f t="shared" ref="G52:Q52" ca="1" si="19">SUM(G50:G51)</f>
        <v>197645546.08774823</v>
      </c>
      <c r="H52" s="147">
        <f t="shared" ca="1" si="19"/>
        <v>560339203.76001096</v>
      </c>
      <c r="I52" s="147">
        <f t="shared" ca="1" si="19"/>
        <v>575011424.20226526</v>
      </c>
      <c r="J52" s="147">
        <f t="shared" ca="1" si="19"/>
        <v>129432048.68819527</v>
      </c>
      <c r="K52" s="147">
        <f t="shared" ca="1" si="19"/>
        <v>518717131.58060038</v>
      </c>
      <c r="L52" s="147">
        <f t="shared" ca="1" si="19"/>
        <v>92323391.055159211</v>
      </c>
      <c r="M52" s="147">
        <f t="shared" ca="1" si="19"/>
        <v>39121146.216919743</v>
      </c>
      <c r="N52" s="147">
        <f t="shared" ca="1" si="19"/>
        <v>52456535.076090582</v>
      </c>
      <c r="O52" s="147">
        <f t="shared" ca="1" si="19"/>
        <v>24546242.757797439</v>
      </c>
      <c r="P52" s="147">
        <f t="shared" ca="1" si="19"/>
        <v>36889833.874310978</v>
      </c>
      <c r="Q52" s="147">
        <f t="shared" ca="1" si="19"/>
        <v>29509956.110394865</v>
      </c>
      <c r="R52" s="178">
        <f ca="1">ROUND(SUM(F52:Q52),0)</f>
        <v>2319047656</v>
      </c>
    </row>
    <row r="53" spans="1:20" ht="15.75" customHeight="1" x14ac:dyDescent="0.35">
      <c r="E53" s="264" t="str">
        <f ca="1">IF(ABS(E52-ECONÓMICA!H37)&lt;0.001,"OK"," ERROR")</f>
        <v>OK</v>
      </c>
      <c r="F53" s="92"/>
      <c r="G53" s="92"/>
      <c r="H53" s="92"/>
      <c r="I53" s="92"/>
      <c r="J53" s="92"/>
      <c r="K53" s="92"/>
      <c r="L53" s="92"/>
      <c r="M53" s="92"/>
      <c r="N53" s="92"/>
      <c r="O53" s="92"/>
      <c r="P53" s="92"/>
      <c r="Q53" s="92"/>
      <c r="R53" s="222" t="str">
        <f ca="1">IF(ABS(E52-ECONÓMICA!H37)&lt;0.001,"OK"," ERROR")</f>
        <v>OK</v>
      </c>
    </row>
    <row r="54" spans="1:20" ht="13.5" x14ac:dyDescent="0.35">
      <c r="A54" s="65"/>
      <c r="E54" s="166" t="s">
        <v>146</v>
      </c>
      <c r="R54" s="166" t="s">
        <v>146</v>
      </c>
    </row>
    <row r="55" spans="1:20" x14ac:dyDescent="0.35">
      <c r="A55" s="65"/>
    </row>
    <row r="56" spans="1:20" x14ac:dyDescent="0.35">
      <c r="A56" s="120"/>
      <c r="B56" s="148"/>
    </row>
    <row r="57" spans="1:20" x14ac:dyDescent="0.35">
      <c r="A57" s="65"/>
      <c r="B57" s="122"/>
    </row>
    <row r="58" spans="1:20" x14ac:dyDescent="0.35">
      <c r="A58" s="65"/>
    </row>
    <row r="60" spans="1:20" x14ac:dyDescent="0.35">
      <c r="A60" s="65"/>
    </row>
    <row r="62" spans="1:20" x14ac:dyDescent="0.35">
      <c r="A62" s="121"/>
    </row>
    <row r="64" spans="1:20" x14ac:dyDescent="0.35">
      <c r="A64" s="65"/>
    </row>
    <row r="66" spans="1:1" x14ac:dyDescent="0.35">
      <c r="A66" s="65"/>
    </row>
    <row r="68" spans="1:1" x14ac:dyDescent="0.35">
      <c r="A68" s="65"/>
    </row>
    <row r="70" spans="1:1" x14ac:dyDescent="0.35">
      <c r="A70" s="65"/>
    </row>
    <row r="72" spans="1:1" x14ac:dyDescent="0.35">
      <c r="A72" s="65"/>
    </row>
    <row r="74" spans="1:1" x14ac:dyDescent="0.35">
      <c r="A74" s="65"/>
    </row>
    <row r="76" spans="1:1" x14ac:dyDescent="0.35">
      <c r="A76" s="65"/>
    </row>
    <row r="78" spans="1:1" x14ac:dyDescent="0.35">
      <c r="A78" s="65"/>
    </row>
    <row r="80" spans="1:1" x14ac:dyDescent="0.35">
      <c r="A80" s="65"/>
    </row>
    <row r="82" spans="1:1" x14ac:dyDescent="0.35">
      <c r="A82" s="65"/>
    </row>
    <row r="84" spans="1:1" x14ac:dyDescent="0.35">
      <c r="A84" s="65"/>
    </row>
    <row r="86" spans="1:1" x14ac:dyDescent="0.35">
      <c r="A86" s="65"/>
    </row>
    <row r="88" spans="1:1" x14ac:dyDescent="0.35">
      <c r="A88" s="65"/>
    </row>
    <row r="90" spans="1:1" x14ac:dyDescent="0.35">
      <c r="A90" s="65"/>
    </row>
    <row r="92" spans="1:1" x14ac:dyDescent="0.35">
      <c r="A92" s="65"/>
    </row>
    <row r="94" spans="1:1" x14ac:dyDescent="0.35">
      <c r="A94" s="65"/>
    </row>
    <row r="96" spans="1:1" x14ac:dyDescent="0.35">
      <c r="A96" s="65"/>
    </row>
    <row r="98" spans="1:1" x14ac:dyDescent="0.35">
      <c r="A98" s="65"/>
    </row>
    <row r="100" spans="1:1" x14ac:dyDescent="0.35">
      <c r="A100" s="65"/>
    </row>
    <row r="102" spans="1:1" x14ac:dyDescent="0.35">
      <c r="A102" s="65"/>
    </row>
    <row r="104" spans="1:1" x14ac:dyDescent="0.35">
      <c r="A104" s="65"/>
    </row>
    <row r="106" spans="1:1" x14ac:dyDescent="0.35">
      <c r="A106" s="65"/>
    </row>
    <row r="108" spans="1:1" x14ac:dyDescent="0.35">
      <c r="A108" s="65"/>
    </row>
    <row r="110" spans="1:1" x14ac:dyDescent="0.35">
      <c r="A110" s="65"/>
    </row>
    <row r="112" spans="1:1" x14ac:dyDescent="0.35">
      <c r="A112" s="65"/>
    </row>
    <row r="114" spans="1:1" x14ac:dyDescent="0.35">
      <c r="A114" s="65"/>
    </row>
  </sheetData>
  <phoneticPr fontId="5" type="noConversion"/>
  <conditionalFormatting sqref="E53">
    <cfRule type="expression" dxfId="114" priority="7">
      <formula>E53="OK"</formula>
    </cfRule>
    <cfRule type="expression" dxfId="113" priority="8">
      <formula>E53=" Error"</formula>
    </cfRule>
  </conditionalFormatting>
  <conditionalFormatting sqref="R2">
    <cfRule type="cellIs" dxfId="112" priority="28" operator="greaterThan">
      <formula>$E$2</formula>
    </cfRule>
    <cfRule type="cellIs" dxfId="111" priority="29" operator="lessThan">
      <formula>$E$2</formula>
    </cfRule>
    <cfRule type="cellIs" dxfId="110" priority="30" operator="equal">
      <formula>$E$2</formula>
    </cfRule>
  </conditionalFormatting>
  <conditionalFormatting sqref="R12">
    <cfRule type="cellIs" dxfId="109" priority="25" operator="equal">
      <formula>$E$12</formula>
    </cfRule>
    <cfRule type="cellIs" dxfId="108" priority="26" operator="lessThan">
      <formula>$E$12</formula>
    </cfRule>
    <cfRule type="cellIs" dxfId="107" priority="27" operator="greaterThan">
      <formula>$E$12</formula>
    </cfRule>
  </conditionalFormatting>
  <conditionalFormatting sqref="R33">
    <cfRule type="cellIs" dxfId="106" priority="22" operator="equal">
      <formula>$E$33</formula>
    </cfRule>
    <cfRule type="cellIs" dxfId="105" priority="23" operator="lessThan">
      <formula>$E$33</formula>
    </cfRule>
    <cfRule type="cellIs" dxfId="104" priority="24" operator="greaterThan">
      <formula>$E$33</formula>
    </cfRule>
  </conditionalFormatting>
  <conditionalFormatting sqref="R39">
    <cfRule type="cellIs" dxfId="103" priority="19" operator="equal">
      <formula>$E$39</formula>
    </cfRule>
    <cfRule type="cellIs" dxfId="102" priority="20" operator="lessThan">
      <formula>$E$39</formula>
    </cfRule>
    <cfRule type="cellIs" dxfId="101" priority="21" operator="greaterThan">
      <formula>$E$33</formula>
    </cfRule>
  </conditionalFormatting>
  <conditionalFormatting sqref="R53">
    <cfRule type="expression" dxfId="100" priority="5">
      <formula>R53="OK"</formula>
    </cfRule>
    <cfRule type="expression" dxfId="99" priority="6">
      <formula>R53=" Error"</formula>
    </cfRule>
  </conditionalFormatting>
  <conditionalFormatting sqref="S2">
    <cfRule type="expression" dxfId="98" priority="9">
      <formula>S2="OK"</formula>
    </cfRule>
    <cfRule type="expression" dxfId="97" priority="10">
      <formula>S2=" Error"</formula>
    </cfRule>
  </conditionalFormatting>
  <conditionalFormatting sqref="S12">
    <cfRule type="expression" dxfId="96" priority="11">
      <formula>S12="OK"</formula>
    </cfRule>
    <cfRule type="expression" dxfId="95" priority="12">
      <formula>S12=" Error"</formula>
    </cfRule>
  </conditionalFormatting>
  <conditionalFormatting sqref="S33">
    <cfRule type="expression" dxfId="94" priority="3">
      <formula>S33="OK"</formula>
    </cfRule>
    <cfRule type="expression" dxfId="93" priority="4">
      <formula>S33=" Error"</formula>
    </cfRule>
  </conditionalFormatting>
  <conditionalFormatting sqref="S39">
    <cfRule type="expression" dxfId="92" priority="1">
      <formula>S39="OK"</formula>
    </cfRule>
    <cfRule type="expression" dxfId="91" priority="2">
      <formula>S39=" Error"</formula>
    </cfRule>
  </conditionalFormatting>
  <conditionalFormatting sqref="S50">
    <cfRule type="expression" dxfId="90" priority="17">
      <formula>S50="OK"</formula>
    </cfRule>
    <cfRule type="expression" dxfId="89" priority="18">
      <formula>S50=" Error"</formula>
    </cfRule>
  </conditionalFormatting>
  <hyperlinks>
    <hyperlink ref="A1" location="'TABLERO CONTROL'!A1" display="ACTIVIDADES" xr:uid="{0FA991BD-D6CA-442F-9258-07C33BB7F4D2}"/>
  </hyperlink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1E2B8-EF77-4866-8B15-660515909086}">
  <sheetPr codeName="Hoja13"/>
  <dimension ref="A1:T114"/>
  <sheetViews>
    <sheetView showGridLines="0" zoomScale="80" zoomScaleNormal="80" workbookViewId="0">
      <pane xSplit="1" ySplit="1" topLeftCell="B2" activePane="bottomRight" state="frozen"/>
      <selection activeCell="K19" sqref="K19"/>
      <selection pane="topRight" activeCell="K19" sqref="K19"/>
      <selection pane="bottomLeft" activeCell="K19" sqref="K19"/>
      <selection pane="bottomRight" activeCell="K19" sqref="K19"/>
    </sheetView>
  </sheetViews>
  <sheetFormatPr defaultColWidth="11.3984375" defaultRowHeight="12.75" x14ac:dyDescent="0.35"/>
  <cols>
    <col min="1" max="1" width="57.86328125" style="1" customWidth="1"/>
    <col min="2" max="2" width="8.86328125" style="63" customWidth="1"/>
    <col min="3" max="3" width="6.265625" style="63" hidden="1" customWidth="1"/>
    <col min="4" max="4" width="10.59765625" style="89" hidden="1" customWidth="1"/>
    <col min="5" max="5" width="15.1328125" style="62" hidden="1" customWidth="1"/>
    <col min="6" max="6" width="6.3984375" style="1" bestFit="1" customWidth="1"/>
    <col min="7" max="7" width="7" style="1" bestFit="1" customWidth="1"/>
    <col min="8" max="9" width="7.265625" style="1" bestFit="1" customWidth="1"/>
    <col min="10" max="10" width="7" style="1" bestFit="1" customWidth="1"/>
    <col min="11" max="11" width="7.265625" style="1" bestFit="1" customWidth="1"/>
    <col min="12" max="14" width="7" style="1" bestFit="1" customWidth="1"/>
    <col min="15" max="16" width="7.265625" style="1" bestFit="1" customWidth="1"/>
    <col min="17" max="17" width="8" style="1" bestFit="1" customWidth="1"/>
    <col min="18" max="18" width="10.73046875" style="1" bestFit="1" customWidth="1"/>
    <col min="19" max="19" width="10.73046875" style="1" customWidth="1"/>
    <col min="20" max="20" width="1.86328125" style="1" customWidth="1"/>
    <col min="21" max="21" width="11.3984375" style="1" customWidth="1"/>
    <col min="22" max="16384" width="11.3984375" style="1"/>
  </cols>
  <sheetData>
    <row r="1" spans="1:20" ht="15" customHeight="1" x14ac:dyDescent="0.35">
      <c r="A1" s="400" t="s">
        <v>45</v>
      </c>
      <c r="B1" s="127" t="s">
        <v>36</v>
      </c>
      <c r="C1" s="127" t="s">
        <v>28</v>
      </c>
      <c r="D1" s="128" t="s">
        <v>8</v>
      </c>
      <c r="E1" s="129" t="s">
        <v>24</v>
      </c>
      <c r="F1" s="130" t="s">
        <v>53</v>
      </c>
      <c r="G1" s="130" t="s">
        <v>54</v>
      </c>
      <c r="H1" s="130" t="s">
        <v>55</v>
      </c>
      <c r="I1" s="130" t="s">
        <v>56</v>
      </c>
      <c r="J1" s="130" t="s">
        <v>57</v>
      </c>
      <c r="K1" s="130" t="s">
        <v>58</v>
      </c>
      <c r="L1" s="130" t="s">
        <v>117</v>
      </c>
      <c r="M1" s="130" t="s">
        <v>177</v>
      </c>
      <c r="N1" s="130" t="s">
        <v>178</v>
      </c>
      <c r="O1" s="130" t="s">
        <v>180</v>
      </c>
      <c r="P1" s="130" t="s">
        <v>181</v>
      </c>
      <c r="Q1" s="130" t="s">
        <v>301</v>
      </c>
      <c r="R1" s="130" t="s">
        <v>308</v>
      </c>
    </row>
    <row r="2" spans="1:20" ht="16.5" customHeight="1" x14ac:dyDescent="0.35">
      <c r="A2" s="244" t="str">
        <f>DISTRIBUCIÓN!A46</f>
        <v>FASE 1. Declaratoria y Acciones Previas</v>
      </c>
      <c r="B2" s="245">
        <f ca="1">DISTRIBUCIÓN!BD56</f>
        <v>2.7190125541065938E-2</v>
      </c>
      <c r="C2" s="246"/>
      <c r="D2" s="247"/>
      <c r="E2" s="248">
        <f ca="1">DISTRIBUCIÓN!D37</f>
        <v>52987560.426031113</v>
      </c>
      <c r="F2" s="245"/>
      <c r="G2" s="366"/>
      <c r="H2" s="366"/>
      <c r="I2" s="366"/>
      <c r="J2" s="366"/>
      <c r="K2" s="366"/>
      <c r="L2" s="366"/>
      <c r="M2" s="366"/>
      <c r="N2" s="366"/>
      <c r="O2" s="366"/>
      <c r="P2" s="366"/>
      <c r="Q2" s="366"/>
      <c r="R2" s="367">
        <f ca="1">SUM(R3:R11)</f>
        <v>2.7190125541065938E-2</v>
      </c>
      <c r="S2" s="222" t="str">
        <f ca="1">IF(ABS(R2-B2)&lt;0.001,"OK"," ERROR")</f>
        <v>OK</v>
      </c>
    </row>
    <row r="3" spans="1:20" ht="15.75" customHeight="1" x14ac:dyDescent="0.35">
      <c r="A3" s="131" t="str">
        <f>DISTRIBUCIÓN!A47</f>
        <v>Localización del cuerpo de agua</v>
      </c>
      <c r="B3" s="259">
        <f ca="1">DISTRIBUCIÓN!BD47</f>
        <v>9.5582929628141992E-4</v>
      </c>
      <c r="C3" s="132" t="s">
        <v>34</v>
      </c>
      <c r="D3" s="217">
        <v>1</v>
      </c>
      <c r="E3" s="260">
        <f ca="1">B3*$E$2/$B$2</f>
        <v>1862700.5791933173</v>
      </c>
      <c r="F3" s="368">
        <f ca="1">B3</f>
        <v>9.5582929628141992E-4</v>
      </c>
      <c r="G3" s="366"/>
      <c r="H3" s="366"/>
      <c r="I3" s="366"/>
      <c r="J3" s="366"/>
      <c r="K3" s="366"/>
      <c r="L3" s="366"/>
      <c r="M3" s="366"/>
      <c r="N3" s="366"/>
      <c r="O3" s="366"/>
      <c r="P3" s="366"/>
      <c r="Q3" s="366"/>
      <c r="R3" s="369">
        <f ca="1">SUM(F3:Q3)</f>
        <v>9.5582929628141992E-4</v>
      </c>
      <c r="S3" s="277" t="s">
        <v>146</v>
      </c>
    </row>
    <row r="4" spans="1:20" ht="13.5" x14ac:dyDescent="0.35">
      <c r="A4" s="131" t="str">
        <f>DISTRIBUCIÓN!A48</f>
        <v>Alistamiento Institucional</v>
      </c>
      <c r="B4" s="259">
        <f ca="1">DISTRIBUCIÓN!BD48</f>
        <v>2.9900301063162356E-3</v>
      </c>
      <c r="C4" s="132" t="s">
        <v>34</v>
      </c>
      <c r="D4" s="217">
        <v>1</v>
      </c>
      <c r="E4" s="260">
        <f t="shared" ref="E4:E11" ca="1" si="0">B4*$E$2/$B$2</f>
        <v>5826909.5041431962</v>
      </c>
      <c r="F4" s="368">
        <f t="shared" ref="F4:F11" ca="1" si="1">B4</f>
        <v>2.9900301063162356E-3</v>
      </c>
      <c r="G4" s="366"/>
      <c r="H4" s="366"/>
      <c r="I4" s="366"/>
      <c r="J4" s="366"/>
      <c r="K4" s="366"/>
      <c r="L4" s="366"/>
      <c r="M4" s="366"/>
      <c r="N4" s="366"/>
      <c r="O4" s="366"/>
      <c r="P4" s="366"/>
      <c r="Q4" s="366"/>
      <c r="R4" s="369">
        <f t="shared" ref="R4:R11" ca="1" si="2">SUM(F4:Q4)</f>
        <v>2.9900301063162356E-3</v>
      </c>
    </row>
    <row r="5" spans="1:20" ht="13.5" x14ac:dyDescent="0.35">
      <c r="A5" s="131" t="str">
        <f>DISTRIBUCIÓN!A49</f>
        <v>Identificación de actores relevantes para el ordenamiento</v>
      </c>
      <c r="B5" s="259">
        <f ca="1">DISTRIBUCIÓN!BD49</f>
        <v>4.4656675688706897E-3</v>
      </c>
      <c r="C5" s="132" t="s">
        <v>34</v>
      </c>
      <c r="D5" s="217">
        <v>1</v>
      </c>
      <c r="E5" s="260">
        <f t="shared" ca="1" si="0"/>
        <v>8702601.604053745</v>
      </c>
      <c r="F5" s="368">
        <f t="shared" ca="1" si="1"/>
        <v>4.4656675688706897E-3</v>
      </c>
      <c r="G5" s="366"/>
      <c r="H5" s="366"/>
      <c r="I5" s="366"/>
      <c r="J5" s="366"/>
      <c r="K5" s="366"/>
      <c r="L5" s="366"/>
      <c r="M5" s="366"/>
      <c r="N5" s="366"/>
      <c r="O5" s="366"/>
      <c r="P5" s="366"/>
      <c r="Q5" s="366"/>
      <c r="R5" s="369">
        <f t="shared" ca="1" si="2"/>
        <v>4.4656675688706897E-3</v>
      </c>
    </row>
    <row r="6" spans="1:20" ht="13.5" x14ac:dyDescent="0.35">
      <c r="A6" s="131" t="str">
        <f>DISTRIBUCIÓN!A50</f>
        <v>Recopilación de información de instrumentos existentes</v>
      </c>
      <c r="B6" s="259">
        <f ca="1">DISTRIBUCIÓN!BD50</f>
        <v>3.5292158631929343E-3</v>
      </c>
      <c r="C6" s="132" t="s">
        <v>34</v>
      </c>
      <c r="D6" s="217">
        <v>1</v>
      </c>
      <c r="E6" s="260">
        <f t="shared" ca="1" si="0"/>
        <v>6877663.6770214783</v>
      </c>
      <c r="F6" s="368">
        <f t="shared" ca="1" si="1"/>
        <v>3.5292158631929343E-3</v>
      </c>
      <c r="G6" s="366"/>
      <c r="H6" s="366"/>
      <c r="I6" s="366"/>
      <c r="J6" s="366"/>
      <c r="K6" s="366"/>
      <c r="L6" s="366"/>
      <c r="M6" s="366"/>
      <c r="N6" s="366"/>
      <c r="O6" s="366"/>
      <c r="P6" s="366"/>
      <c r="Q6" s="366"/>
      <c r="R6" s="369">
        <f t="shared" ca="1" si="2"/>
        <v>3.5292158631929343E-3</v>
      </c>
    </row>
    <row r="7" spans="1:20" ht="32.25" customHeight="1" x14ac:dyDescent="0.35">
      <c r="A7" s="131" t="str">
        <f>DISTRIBUCIÓN!A51</f>
        <v>Recopilación de información de redes hidrometeorológicas hidrobiológicas y de calidad</v>
      </c>
      <c r="B7" s="259">
        <f ca="1">DISTRIBUCIÓN!BD51</f>
        <v>1.0783715137533969E-3</v>
      </c>
      <c r="C7" s="132" t="s">
        <v>34</v>
      </c>
      <c r="D7" s="217">
        <v>1</v>
      </c>
      <c r="E7" s="260">
        <f t="shared" ca="1" si="0"/>
        <v>2101508.3457565634</v>
      </c>
      <c r="F7" s="368">
        <f t="shared" ca="1" si="1"/>
        <v>1.0783715137533969E-3</v>
      </c>
      <c r="G7" s="366"/>
      <c r="H7" s="366"/>
      <c r="I7" s="366"/>
      <c r="J7" s="366"/>
      <c r="K7" s="366"/>
      <c r="L7" s="366"/>
      <c r="M7" s="366"/>
      <c r="N7" s="366"/>
      <c r="O7" s="366"/>
      <c r="P7" s="366"/>
      <c r="Q7" s="366"/>
      <c r="R7" s="369">
        <f t="shared" ca="1" si="2"/>
        <v>1.0783715137533969E-3</v>
      </c>
    </row>
    <row r="8" spans="1:20" ht="17.25" customHeight="1" x14ac:dyDescent="0.35">
      <c r="A8" s="131" t="str">
        <f>DISTRIBUCIÓN!A52</f>
        <v>Identificación preliminar de usuarios y clasificación de los usos actuales</v>
      </c>
      <c r="B8" s="259">
        <f ca="1">DISTRIBUCIÓN!BD52</f>
        <v>1.654319935871689E-3</v>
      </c>
      <c r="C8" s="132" t="s">
        <v>34</v>
      </c>
      <c r="D8" s="217">
        <v>1</v>
      </c>
      <c r="E8" s="260">
        <f t="shared" ca="1" si="0"/>
        <v>3223904.84860382</v>
      </c>
      <c r="F8" s="368">
        <f t="shared" ca="1" si="1"/>
        <v>1.654319935871689E-3</v>
      </c>
      <c r="G8" s="366"/>
      <c r="H8" s="366"/>
      <c r="I8" s="366"/>
      <c r="J8" s="366"/>
      <c r="K8" s="366"/>
      <c r="L8" s="366"/>
      <c r="M8" s="366"/>
      <c r="N8" s="366"/>
      <c r="O8" s="366"/>
      <c r="P8" s="366"/>
      <c r="Q8" s="366"/>
      <c r="R8" s="369">
        <f t="shared" ca="1" si="2"/>
        <v>1.654319935871689E-3</v>
      </c>
    </row>
    <row r="9" spans="1:20" ht="17.25" customHeight="1" x14ac:dyDescent="0.35">
      <c r="A9" s="131" t="str">
        <f>DISTRIBUCIÓN!A53</f>
        <v>Revisión de información asociada a los conflictos por uso del recurso hídrico</v>
      </c>
      <c r="B9" s="259">
        <f ca="1">DISTRIBUCIÓN!BD53</f>
        <v>1.5807946053885019E-3</v>
      </c>
      <c r="C9" s="132" t="s">
        <v>34</v>
      </c>
      <c r="D9" s="217">
        <v>1</v>
      </c>
      <c r="E9" s="260">
        <f t="shared" ca="1" si="0"/>
        <v>3080620.1886658701</v>
      </c>
      <c r="F9" s="368">
        <f t="shared" ca="1" si="1"/>
        <v>1.5807946053885019E-3</v>
      </c>
      <c r="G9" s="366"/>
      <c r="H9" s="366"/>
      <c r="I9" s="366"/>
      <c r="J9" s="366"/>
      <c r="K9" s="366"/>
      <c r="L9" s="366"/>
      <c r="M9" s="366"/>
      <c r="N9" s="366"/>
      <c r="O9" s="366"/>
      <c r="P9" s="366"/>
      <c r="Q9" s="366"/>
      <c r="R9" s="369">
        <f t="shared" ca="1" si="2"/>
        <v>1.5807946053885019E-3</v>
      </c>
    </row>
    <row r="10" spans="1:20" ht="17.25" customHeight="1" x14ac:dyDescent="0.35">
      <c r="A10" s="131" t="str">
        <f>DISTRIBUCIÓN!A54</f>
        <v>Prediseño del plan de monitoreo de calidad y cantidad del recurso hídrico</v>
      </c>
      <c r="B10" s="259">
        <f ca="1">DISTRIBUCIÓN!BD54</f>
        <v>5.7891235175680416E-3</v>
      </c>
      <c r="C10" s="132" t="s">
        <v>34</v>
      </c>
      <c r="D10" s="217">
        <v>1</v>
      </c>
      <c r="E10" s="260">
        <f t="shared" ca="1" si="0"/>
        <v>11281725.482936801</v>
      </c>
      <c r="F10" s="368">
        <f t="shared" ca="1" si="1"/>
        <v>5.7891235175680416E-3</v>
      </c>
      <c r="G10" s="370"/>
      <c r="H10" s="366"/>
      <c r="I10" s="366"/>
      <c r="J10" s="366"/>
      <c r="K10" s="366"/>
      <c r="L10" s="366"/>
      <c r="M10" s="366"/>
      <c r="N10" s="366"/>
      <c r="O10" s="366"/>
      <c r="P10" s="366"/>
      <c r="Q10" s="366"/>
      <c r="R10" s="369">
        <f t="shared" ca="1" si="2"/>
        <v>5.7891235175680416E-3</v>
      </c>
    </row>
    <row r="11" spans="1:20" ht="17.25" customHeight="1" x14ac:dyDescent="0.35">
      <c r="A11" s="131" t="str">
        <f>DISTRIBUCIÓN!A55</f>
        <v>Elaboración del plan de trabajo detallado</v>
      </c>
      <c r="B11" s="259">
        <f ca="1">DISTRIBUCIÓN!BD55</f>
        <v>5.1467731338230302E-3</v>
      </c>
      <c r="C11" s="132" t="s">
        <v>34</v>
      </c>
      <c r="D11" s="217">
        <f>DISTRIBUCIÓN!E56</f>
        <v>0.99999999999999978</v>
      </c>
      <c r="E11" s="260">
        <f t="shared" ca="1" si="0"/>
        <v>10029926.195656326</v>
      </c>
      <c r="F11" s="368">
        <f t="shared" ca="1" si="1"/>
        <v>5.1467731338230302E-3</v>
      </c>
      <c r="G11" s="370"/>
      <c r="H11" s="366"/>
      <c r="I11" s="366"/>
      <c r="J11" s="366"/>
      <c r="K11" s="366"/>
      <c r="L11" s="366"/>
      <c r="M11" s="366"/>
      <c r="N11" s="366"/>
      <c r="O11" s="366"/>
      <c r="P11" s="366"/>
      <c r="Q11" s="366"/>
      <c r="R11" s="369">
        <f t="shared" ca="1" si="2"/>
        <v>5.1467731338230302E-3</v>
      </c>
    </row>
    <row r="12" spans="1:20" ht="17.25" customHeight="1" x14ac:dyDescent="0.35">
      <c r="A12" s="249" t="str">
        <f>DISTRIBUCIÓN!A59</f>
        <v>FASE 2. Diagnóstico</v>
      </c>
      <c r="B12" s="245">
        <f ca="1">DISTRIBUCIÓN!E38</f>
        <v>0.89410355145456388</v>
      </c>
      <c r="C12" s="246"/>
      <c r="D12" s="247"/>
      <c r="E12" s="248">
        <f ca="1">DISTRIBUCIÓN!D38</f>
        <v>1742410710.3983021</v>
      </c>
      <c r="F12" s="245"/>
      <c r="G12" s="371"/>
      <c r="H12" s="371"/>
      <c r="I12" s="371"/>
      <c r="J12" s="245"/>
      <c r="K12" s="371"/>
      <c r="L12" s="371"/>
      <c r="M12" s="366"/>
      <c r="N12" s="366"/>
      <c r="O12" s="366"/>
      <c r="P12" s="366"/>
      <c r="Q12" s="366"/>
      <c r="R12" s="367">
        <f ca="1">SUM(R13:R32)</f>
        <v>0.89410355145456388</v>
      </c>
      <c r="S12" s="222" t="str">
        <f ca="1">IF(ABS(R12-B12)&lt;0.001,"OK"," ERROR")</f>
        <v>OK</v>
      </c>
    </row>
    <row r="13" spans="1:20" ht="13.5" x14ac:dyDescent="0.35">
      <c r="A13" s="256" t="str">
        <f>DISTRIBUCIÓN!A60</f>
        <v>Caracterización Inicial</v>
      </c>
      <c r="B13" s="255"/>
      <c r="C13" s="255"/>
      <c r="D13" s="255"/>
      <c r="E13" s="285"/>
      <c r="F13" s="372"/>
      <c r="G13" s="372"/>
      <c r="H13" s="372"/>
      <c r="I13" s="372"/>
      <c r="J13" s="372"/>
      <c r="K13" s="372"/>
      <c r="L13" s="372"/>
      <c r="M13" s="372"/>
      <c r="N13" s="372"/>
      <c r="O13" s="372"/>
      <c r="P13" s="372"/>
      <c r="Q13" s="372"/>
      <c r="R13" s="372"/>
      <c r="S13" s="277" t="s">
        <v>146</v>
      </c>
    </row>
    <row r="14" spans="1:20" ht="13.5" x14ac:dyDescent="0.35">
      <c r="A14" s="353" t="str">
        <f>DISTRIBUCIÓN!A61</f>
        <v xml:space="preserve">Paso 1. Diseño e implementación del proceso de participación </v>
      </c>
      <c r="B14" s="259">
        <f ca="1">DISTRIBUCIÓN!BD61</f>
        <v>1.3792659633226451E-2</v>
      </c>
      <c r="C14" s="132" t="s">
        <v>34</v>
      </c>
      <c r="D14" s="133">
        <v>1</v>
      </c>
      <c r="E14" s="260">
        <f ca="1">B14*$E$12/$B$12</f>
        <v>26878852.936793592</v>
      </c>
      <c r="F14" s="373"/>
      <c r="G14" s="373">
        <f ca="1">$B$14</f>
        <v>1.3792659633226451E-2</v>
      </c>
      <c r="H14" s="373"/>
      <c r="I14" s="373"/>
      <c r="J14" s="373"/>
      <c r="K14" s="373"/>
      <c r="L14" s="373"/>
      <c r="M14" s="373"/>
      <c r="N14" s="373"/>
      <c r="O14" s="373"/>
      <c r="P14" s="373"/>
      <c r="Q14" s="373"/>
      <c r="R14" s="369">
        <f ca="1">SUM(F14:Q14)</f>
        <v>1.3792659633226451E-2</v>
      </c>
      <c r="S14" s="67"/>
      <c r="T14" s="67"/>
    </row>
    <row r="15" spans="1:20" ht="13.5" x14ac:dyDescent="0.35">
      <c r="A15" s="353" t="str">
        <f>DISTRIBUCIÓN!A62</f>
        <v>Paso 2. Definición de los tramos o sectores de análisis</v>
      </c>
      <c r="B15" s="259">
        <f ca="1">DISTRIBUCIÓN!BD62</f>
        <v>4.9516924187326273E-3</v>
      </c>
      <c r="C15" s="132" t="s">
        <v>34</v>
      </c>
      <c r="D15" s="133">
        <v>1</v>
      </c>
      <c r="E15" s="260">
        <f t="shared" ref="E15:E32" ca="1" si="3">B15*$E$12/$B$12</f>
        <v>9649756.8888543341</v>
      </c>
      <c r="F15" s="373"/>
      <c r="G15" s="373">
        <f ca="1">$B$15</f>
        <v>4.9516924187326273E-3</v>
      </c>
      <c r="H15" s="373"/>
      <c r="I15" s="373"/>
      <c r="J15" s="373"/>
      <c r="K15" s="373"/>
      <c r="L15" s="373"/>
      <c r="M15" s="373"/>
      <c r="N15" s="373"/>
      <c r="O15" s="373"/>
      <c r="P15" s="373"/>
      <c r="Q15" s="373"/>
      <c r="R15" s="369">
        <f t="shared" ref="R15:R32" ca="1" si="4">SUM(F15:Q15)</f>
        <v>4.9516924187326273E-3</v>
      </c>
      <c r="S15" s="67"/>
      <c r="T15" s="67"/>
    </row>
    <row r="16" spans="1:20" ht="27" x14ac:dyDescent="0.35">
      <c r="A16" s="353" t="str">
        <f>DISTRIBUCIÓN!A63</f>
        <v xml:space="preserve">Paso 3. Definición para la estructura conceptual para la modelación de calidad del agua </v>
      </c>
      <c r="B16" s="259">
        <f ca="1">DISTRIBUCIÓN!BD63</f>
        <v>3.2493662502827717E-2</v>
      </c>
      <c r="C16" s="132" t="s">
        <v>34</v>
      </c>
      <c r="D16" s="133">
        <v>1</v>
      </c>
      <c r="E16" s="260">
        <f t="shared" ca="1" si="3"/>
        <v>63322984.762656838</v>
      </c>
      <c r="F16" s="374"/>
      <c r="G16" s="373">
        <f ca="1">$B$16</f>
        <v>3.2493662502827717E-2</v>
      </c>
      <c r="H16" s="375"/>
      <c r="I16" s="375"/>
      <c r="J16" s="375"/>
      <c r="K16" s="375"/>
      <c r="L16" s="375"/>
      <c r="M16" s="375"/>
      <c r="N16" s="375"/>
      <c r="O16" s="375"/>
      <c r="P16" s="375"/>
      <c r="Q16" s="375"/>
      <c r="R16" s="369">
        <f t="shared" ca="1" si="4"/>
        <v>3.2493662502827717E-2</v>
      </c>
      <c r="S16" s="67"/>
      <c r="T16" s="67"/>
    </row>
    <row r="17" spans="1:20" ht="13.5" x14ac:dyDescent="0.35">
      <c r="A17" s="256" t="str">
        <f>DISTRIBUCIÓN!A64</f>
        <v>Trabajo de campo</v>
      </c>
      <c r="B17" s="200"/>
      <c r="C17" s="256"/>
      <c r="D17" s="256"/>
      <c r="E17" s="187"/>
      <c r="F17" s="376"/>
      <c r="G17" s="376"/>
      <c r="H17" s="376"/>
      <c r="I17" s="376"/>
      <c r="J17" s="376"/>
      <c r="K17" s="376"/>
      <c r="L17" s="376"/>
      <c r="M17" s="376"/>
      <c r="N17" s="376"/>
      <c r="O17" s="376"/>
      <c r="P17" s="376"/>
      <c r="Q17" s="376"/>
      <c r="R17" s="376"/>
      <c r="S17" s="67"/>
      <c r="T17" s="67"/>
    </row>
    <row r="18" spans="1:20" ht="13.5" x14ac:dyDescent="0.35">
      <c r="A18" s="353" t="str">
        <f>DISTRIBUCIÓN!A65</f>
        <v xml:space="preserve">Paso 1. Censo de usuarios y consolidación de información </v>
      </c>
      <c r="B18" s="200">
        <f ca="1">DISTRIBUCIÓN!BD65</f>
        <v>0.11437687755638175</v>
      </c>
      <c r="C18" s="132" t="s">
        <v>34</v>
      </c>
      <c r="D18" s="133">
        <v>1</v>
      </c>
      <c r="E18" s="187">
        <f t="shared" ca="1" si="3"/>
        <v>222895319.17409259</v>
      </c>
      <c r="F18" s="373"/>
      <c r="G18" s="373">
        <f ca="1">$B$18/4</f>
        <v>2.8594219389095437E-2</v>
      </c>
      <c r="H18" s="373">
        <f t="shared" ref="H18:J18" ca="1" si="5">$B$18/4</f>
        <v>2.8594219389095437E-2</v>
      </c>
      <c r="I18" s="373">
        <f t="shared" ca="1" si="5"/>
        <v>2.8594219389095437E-2</v>
      </c>
      <c r="J18" s="373">
        <f t="shared" ca="1" si="5"/>
        <v>2.8594219389095437E-2</v>
      </c>
      <c r="K18" s="373"/>
      <c r="L18" s="373"/>
      <c r="M18" s="373"/>
      <c r="N18" s="373"/>
      <c r="O18" s="373"/>
      <c r="P18" s="373"/>
      <c r="Q18" s="373"/>
      <c r="R18" s="369">
        <f t="shared" ca="1" si="4"/>
        <v>0.11437687755638175</v>
      </c>
      <c r="S18" s="67"/>
      <c r="T18" s="67"/>
    </row>
    <row r="19" spans="1:20" ht="13.5" x14ac:dyDescent="0.35">
      <c r="A19" s="353" t="str">
        <f>DISTRIBUCIÓN!A66</f>
        <v>Paso 2. Diseño y ejecución del plan de monitoreo</v>
      </c>
      <c r="B19" s="200">
        <f ca="1">DISTRIBUCIÓN!BD66</f>
        <v>0.59127191931018441</v>
      </c>
      <c r="C19" s="132" t="s">
        <v>34</v>
      </c>
      <c r="D19" s="133">
        <v>1</v>
      </c>
      <c r="E19" s="187">
        <f t="shared" ca="1" si="3"/>
        <v>1152258620.702034</v>
      </c>
      <c r="F19" s="373"/>
      <c r="G19" s="373"/>
      <c r="H19" s="373">
        <f ca="1">$B$19/3</f>
        <v>0.19709063977006147</v>
      </c>
      <c r="I19" s="373">
        <f ca="1">$B$19/3</f>
        <v>0.19709063977006147</v>
      </c>
      <c r="J19" s="373"/>
      <c r="K19" s="373">
        <f ca="1">$B$19/3</f>
        <v>0.19709063977006147</v>
      </c>
      <c r="L19" s="373"/>
      <c r="M19" s="373"/>
      <c r="N19" s="373"/>
      <c r="O19" s="373"/>
      <c r="P19" s="373"/>
      <c r="Q19" s="373"/>
      <c r="R19" s="369">
        <f t="shared" ca="1" si="4"/>
        <v>0.59127191931018441</v>
      </c>
      <c r="S19" s="67"/>
      <c r="T19" s="67"/>
    </row>
    <row r="20" spans="1:20" ht="13.5" x14ac:dyDescent="0.35">
      <c r="A20" s="256" t="str">
        <f>DISTRIBUCIÓN!A67</f>
        <v>Construcción de línea base</v>
      </c>
      <c r="B20" s="256"/>
      <c r="C20" s="256"/>
      <c r="D20" s="256"/>
      <c r="E20" s="256"/>
      <c r="F20" s="376"/>
      <c r="G20" s="376"/>
      <c r="H20" s="376"/>
      <c r="I20" s="376"/>
      <c r="J20" s="376"/>
      <c r="K20" s="376"/>
      <c r="L20" s="376"/>
      <c r="M20" s="376"/>
      <c r="N20" s="376"/>
      <c r="O20" s="376"/>
      <c r="P20" s="376"/>
      <c r="Q20" s="376"/>
      <c r="R20" s="376"/>
      <c r="S20" s="67"/>
      <c r="T20" s="67"/>
    </row>
    <row r="21" spans="1:20" ht="13.5" x14ac:dyDescent="0.35">
      <c r="A21" s="353" t="str">
        <f>DISTRIBUCIÓN!A68</f>
        <v>Paso 1. Consolidación de usos existentes del recurso hídrico</v>
      </c>
      <c r="B21" s="200">
        <f ca="1">DISTRIBUCIÓN!BD68</f>
        <v>2.858023812154404E-3</v>
      </c>
      <c r="C21" s="132" t="s">
        <v>34</v>
      </c>
      <c r="D21" s="133">
        <v>1</v>
      </c>
      <c r="E21" s="187">
        <f t="shared" ca="1" si="3"/>
        <v>5569658.3385333773</v>
      </c>
      <c r="F21" s="373"/>
      <c r="G21" s="373"/>
      <c r="H21" s="373"/>
      <c r="I21" s="373"/>
      <c r="J21" s="373"/>
      <c r="K21" s="373">
        <f ca="1">$B$21/2</f>
        <v>1.429011906077202E-3</v>
      </c>
      <c r="L21" s="373">
        <f ca="1">$B$21/2</f>
        <v>1.429011906077202E-3</v>
      </c>
      <c r="M21" s="373"/>
      <c r="N21" s="373"/>
      <c r="O21" s="373"/>
      <c r="P21" s="373"/>
      <c r="Q21" s="373"/>
      <c r="R21" s="369">
        <f t="shared" ca="1" si="4"/>
        <v>2.858023812154404E-3</v>
      </c>
      <c r="S21" s="67"/>
      <c r="T21" s="67"/>
    </row>
    <row r="22" spans="1:20" ht="27" x14ac:dyDescent="0.35">
      <c r="A22" s="363" t="str">
        <f>DISTRIBUCIÓN!A69</f>
        <v>Paso 2. Estimación de la oferta hídrica total y oferta hídrica total disponible e indicadores de estado</v>
      </c>
      <c r="B22" s="259">
        <f ca="1">DISTRIBUCIÓN!BD69</f>
        <v>2.1585534910850055E-2</v>
      </c>
      <c r="C22" s="132" t="s">
        <v>34</v>
      </c>
      <c r="D22" s="133">
        <v>1</v>
      </c>
      <c r="E22" s="260">
        <f t="shared" ca="1" si="3"/>
        <v>42065448.858976923</v>
      </c>
      <c r="F22" s="373"/>
      <c r="G22" s="373"/>
      <c r="H22" s="373">
        <f ca="1">$B$22/3</f>
        <v>7.1951783036166847E-3</v>
      </c>
      <c r="I22" s="373">
        <f t="shared" ref="I22:J22" ca="1" si="6">$B$22/3</f>
        <v>7.1951783036166847E-3</v>
      </c>
      <c r="J22" s="373">
        <f t="shared" ca="1" si="6"/>
        <v>7.1951783036166847E-3</v>
      </c>
      <c r="K22" s="373"/>
      <c r="L22" s="373"/>
      <c r="M22" s="373"/>
      <c r="N22" s="373"/>
      <c r="O22" s="373"/>
      <c r="P22" s="373"/>
      <c r="Q22" s="373"/>
      <c r="R22" s="369">
        <f t="shared" ca="1" si="4"/>
        <v>2.1585534910850055E-2</v>
      </c>
      <c r="S22" s="67"/>
      <c r="T22" s="67"/>
    </row>
    <row r="23" spans="1:20" ht="27" x14ac:dyDescent="0.35">
      <c r="A23" s="353" t="str">
        <f>DISTRIBUCIÓN!A70</f>
        <v>Paso 3. Identificación de zonas de recarga del acuífero o interacciones con las aguas superficiales</v>
      </c>
      <c r="B23" s="259">
        <f ca="1">DISTRIBUCIÓN!BD70</f>
        <v>1.2653660137787914E-2</v>
      </c>
      <c r="C23" s="132" t="s">
        <v>34</v>
      </c>
      <c r="D23" s="133">
        <v>1</v>
      </c>
      <c r="E23" s="260">
        <f t="shared" ca="1" si="3"/>
        <v>24659194.020595647</v>
      </c>
      <c r="F23" s="373"/>
      <c r="G23" s="373"/>
      <c r="H23" s="373"/>
      <c r="I23" s="373">
        <f ca="1">$B$23/2</f>
        <v>6.3268300688939568E-3</v>
      </c>
      <c r="J23" s="373">
        <f ca="1">$B$23/2</f>
        <v>6.3268300688939568E-3</v>
      </c>
      <c r="K23" s="373"/>
      <c r="L23" s="373"/>
      <c r="M23" s="373"/>
      <c r="N23" s="373"/>
      <c r="O23" s="373"/>
      <c r="P23" s="373"/>
      <c r="Q23" s="373"/>
      <c r="R23" s="369">
        <f t="shared" ca="1" si="4"/>
        <v>1.2653660137787914E-2</v>
      </c>
      <c r="S23" s="67"/>
      <c r="T23" s="67"/>
    </row>
    <row r="24" spans="1:20" ht="17.25" customHeight="1" x14ac:dyDescent="0.35">
      <c r="A24" s="353" t="str">
        <f>DISTRIBUCIÓN!A71</f>
        <v>Paso 4. Elaboración de perfiles de calidad actual de cada cuerpo de agua</v>
      </c>
      <c r="B24" s="200">
        <f ca="1">DISTRIBUCIÓN!BD71</f>
        <v>5.0513909238077814E-3</v>
      </c>
      <c r="C24" s="132" t="s">
        <v>34</v>
      </c>
      <c r="D24" s="133">
        <v>1</v>
      </c>
      <c r="E24" s="187">
        <f t="shared" ca="1" si="3"/>
        <v>9844047.2960124761</v>
      </c>
      <c r="F24" s="373"/>
      <c r="G24" s="373"/>
      <c r="H24" s="373"/>
      <c r="I24" s="373"/>
      <c r="J24" s="373">
        <f ca="1">$B$24/2</f>
        <v>2.5256954619038907E-3</v>
      </c>
      <c r="K24" s="373"/>
      <c r="L24" s="373">
        <f ca="1">$B$24/2</f>
        <v>2.5256954619038907E-3</v>
      </c>
      <c r="M24" s="373"/>
      <c r="N24" s="373"/>
      <c r="O24" s="373"/>
      <c r="P24" s="373"/>
      <c r="Q24" s="373"/>
      <c r="R24" s="369">
        <f t="shared" ca="1" si="4"/>
        <v>5.0513909238077814E-3</v>
      </c>
      <c r="S24" s="67"/>
      <c r="T24" s="67"/>
    </row>
    <row r="25" spans="1:20" ht="17.25" customHeight="1" x14ac:dyDescent="0.35">
      <c r="A25" s="353" t="str">
        <f>DISTRIBUCIÓN!A72</f>
        <v>Paso 5. Estimación de indicadores de calidad de agua</v>
      </c>
      <c r="B25" s="200">
        <f ca="1">DISTRIBUCIÓN!BD72</f>
        <v>4.8519939136574732E-3</v>
      </c>
      <c r="C25" s="132" t="s">
        <v>34</v>
      </c>
      <c r="D25" s="133">
        <v>1</v>
      </c>
      <c r="E25" s="187">
        <f t="shared" ca="1" si="3"/>
        <v>9455466.481696194</v>
      </c>
      <c r="F25" s="373"/>
      <c r="G25" s="373"/>
      <c r="H25" s="373"/>
      <c r="I25" s="373"/>
      <c r="J25" s="373">
        <f ca="1">$B$25/2</f>
        <v>2.4259969568287366E-3</v>
      </c>
      <c r="K25" s="373"/>
      <c r="L25" s="373">
        <f ca="1">$B$25/2</f>
        <v>2.4259969568287366E-3</v>
      </c>
      <c r="M25" s="373"/>
      <c r="N25" s="373"/>
      <c r="O25" s="373"/>
      <c r="P25" s="373"/>
      <c r="Q25" s="373"/>
      <c r="R25" s="369">
        <f t="shared" ca="1" si="4"/>
        <v>4.8519939136574732E-3</v>
      </c>
      <c r="S25" s="67"/>
      <c r="T25" s="67"/>
    </row>
    <row r="26" spans="1:20" ht="17.25" customHeight="1" x14ac:dyDescent="0.35">
      <c r="A26" s="353" t="str">
        <f>DISTRIBUCIÓN!A73</f>
        <v xml:space="preserve">Paso 6. Clasificación de los usos actuales </v>
      </c>
      <c r="B26" s="200">
        <f ca="1">DISTRIBUCIÓN!BD73</f>
        <v>3.9879402030061429E-3</v>
      </c>
      <c r="C26" s="132" t="s">
        <v>34</v>
      </c>
      <c r="D26" s="133">
        <v>1</v>
      </c>
      <c r="E26" s="187">
        <f t="shared" ca="1" si="3"/>
        <v>7771616.2863256391</v>
      </c>
      <c r="F26" s="373"/>
      <c r="G26" s="373"/>
      <c r="H26" s="373"/>
      <c r="I26" s="373"/>
      <c r="J26" s="373"/>
      <c r="K26" s="373">
        <f ca="1">$B$26/2</f>
        <v>1.9939701015030714E-3</v>
      </c>
      <c r="L26" s="373">
        <f ca="1">$B$26/2</f>
        <v>1.9939701015030714E-3</v>
      </c>
      <c r="M26" s="373"/>
      <c r="N26" s="373"/>
      <c r="O26" s="373"/>
      <c r="P26" s="373"/>
      <c r="Q26" s="373"/>
      <c r="R26" s="369">
        <f t="shared" ca="1" si="4"/>
        <v>3.9879402030061429E-3</v>
      </c>
      <c r="S26" s="67"/>
      <c r="T26" s="67"/>
    </row>
    <row r="27" spans="1:20" ht="17.25" customHeight="1" x14ac:dyDescent="0.35">
      <c r="A27" s="353" t="str">
        <f>DISTRIBUCIÓN!A74</f>
        <v>Paso 7. Estudio de demanda de agua</v>
      </c>
      <c r="B27" s="200">
        <f ca="1">DISTRIBUCIÓN!BD74</f>
        <v>1.4418499837576088E-2</v>
      </c>
      <c r="C27" s="132" t="s">
        <v>34</v>
      </c>
      <c r="D27" s="133">
        <v>1</v>
      </c>
      <c r="E27" s="187">
        <f t="shared" ca="1" si="3"/>
        <v>28098477.524217106</v>
      </c>
      <c r="F27" s="373"/>
      <c r="G27" s="373"/>
      <c r="H27" s="373"/>
      <c r="I27" s="373"/>
      <c r="J27" s="373"/>
      <c r="K27" s="373">
        <f ca="1">B27</f>
        <v>1.4418499837576088E-2</v>
      </c>
      <c r="L27" s="373"/>
      <c r="M27" s="373"/>
      <c r="N27" s="373"/>
      <c r="O27" s="373"/>
      <c r="P27" s="373"/>
      <c r="Q27" s="373"/>
      <c r="R27" s="369">
        <f t="shared" ca="1" si="4"/>
        <v>1.4418499837576088E-2</v>
      </c>
      <c r="S27" s="67"/>
      <c r="T27" s="67"/>
    </row>
    <row r="28" spans="1:20" ht="17.25" customHeight="1" x14ac:dyDescent="0.35">
      <c r="A28" s="353" t="str">
        <f>DISTRIBUCIÓN!A75</f>
        <v>Paso 8. Indicadores de presión sobre el recurso hídrico superficial</v>
      </c>
      <c r="B28" s="200">
        <f ca="1">DISTRIBUCIÓN!BD75</f>
        <v>6.0044248887833867E-3</v>
      </c>
      <c r="C28" s="132" t="s">
        <v>34</v>
      </c>
      <c r="D28" s="133">
        <v>1</v>
      </c>
      <c r="E28" s="187">
        <f t="shared" ca="1" si="3"/>
        <v>11701300.390741114</v>
      </c>
      <c r="F28" s="373"/>
      <c r="G28" s="373"/>
      <c r="H28" s="373"/>
      <c r="I28" s="373"/>
      <c r="J28" s="373"/>
      <c r="K28" s="373"/>
      <c r="L28" s="373">
        <f ca="1">B28</f>
        <v>6.0044248887833867E-3</v>
      </c>
      <c r="M28" s="373"/>
      <c r="N28" s="373"/>
      <c r="O28" s="373"/>
      <c r="P28" s="373"/>
      <c r="Q28" s="373"/>
      <c r="R28" s="369">
        <f t="shared" ca="1" si="4"/>
        <v>6.0044248887833867E-3</v>
      </c>
      <c r="S28" s="67"/>
      <c r="T28" s="67"/>
    </row>
    <row r="29" spans="1:20" ht="17.25" customHeight="1" x14ac:dyDescent="0.35">
      <c r="A29" s="353" t="str">
        <f>DISTRIBUCIÓN!A76</f>
        <v>Paso 9. Estimación cualitativa del riesgo</v>
      </c>
      <c r="B29" s="200">
        <f ca="1">DISTRIBUCIÓN!BD76</f>
        <v>9.5439913396444427E-3</v>
      </c>
      <c r="C29" s="132" t="s">
        <v>34</v>
      </c>
      <c r="D29" s="133">
        <v>1</v>
      </c>
      <c r="E29" s="187">
        <f t="shared" ca="1" si="3"/>
        <v>18599135.081268255</v>
      </c>
      <c r="F29" s="373"/>
      <c r="G29" s="373"/>
      <c r="H29" s="373"/>
      <c r="I29" s="373"/>
      <c r="J29" s="373"/>
      <c r="K29" s="373"/>
      <c r="L29" s="373">
        <f ca="1">B29</f>
        <v>9.5439913396444427E-3</v>
      </c>
      <c r="M29" s="373"/>
      <c r="N29" s="373"/>
      <c r="O29" s="373"/>
      <c r="P29" s="373"/>
      <c r="Q29" s="373"/>
      <c r="R29" s="369">
        <f t="shared" ca="1" si="4"/>
        <v>9.5439913396444427E-3</v>
      </c>
      <c r="S29" s="67"/>
      <c r="T29" s="67"/>
    </row>
    <row r="30" spans="1:20" ht="17.25" customHeight="1" x14ac:dyDescent="0.35">
      <c r="A30" s="353" t="str">
        <f>DISTRIBUCIÓN!A77</f>
        <v xml:space="preserve">Paso 10. Análisis de problemáticas y conflictos derivados del recurso hídrico </v>
      </c>
      <c r="B30" s="200">
        <f ca="1">DISTRIBUCIÓN!BD77</f>
        <v>1.6749348852625783E-2</v>
      </c>
      <c r="C30" s="132" t="s">
        <v>34</v>
      </c>
      <c r="D30" s="133">
        <v>1</v>
      </c>
      <c r="E30" s="187">
        <f t="shared" ca="1" si="3"/>
        <v>32640788.402567651</v>
      </c>
      <c r="F30" s="373"/>
      <c r="G30" s="373"/>
      <c r="H30" s="373">
        <f ca="1">$B$30/5</f>
        <v>3.3498697705251568E-3</v>
      </c>
      <c r="I30" s="373">
        <f t="shared" ref="I30:L30" ca="1" si="7">$B$30/5</f>
        <v>3.3498697705251568E-3</v>
      </c>
      <c r="J30" s="373">
        <f t="shared" ca="1" si="7"/>
        <v>3.3498697705251568E-3</v>
      </c>
      <c r="K30" s="373">
        <f t="shared" ca="1" si="7"/>
        <v>3.3498697705251568E-3</v>
      </c>
      <c r="L30" s="373">
        <f t="shared" ca="1" si="7"/>
        <v>3.3498697705251568E-3</v>
      </c>
      <c r="M30" s="373"/>
      <c r="N30" s="373"/>
      <c r="O30" s="373"/>
      <c r="P30" s="373"/>
      <c r="Q30" s="373"/>
      <c r="R30" s="369">
        <f t="shared" ca="1" si="4"/>
        <v>1.6749348852625783E-2</v>
      </c>
      <c r="S30" s="67"/>
      <c r="T30" s="67"/>
    </row>
    <row r="31" spans="1:20" ht="17.25" customHeight="1" x14ac:dyDescent="0.35">
      <c r="A31" s="353" t="str">
        <f>DISTRIBUCIÓN!A78</f>
        <v xml:space="preserve">Paso 11. Sistematización de la información resultado de la fase de diagnóstico </v>
      </c>
      <c r="B31" s="200">
        <f ca="1">DISTRIBUCIÓN!BD78</f>
        <v>3.2368781314399804E-2</v>
      </c>
      <c r="C31" s="132" t="s">
        <v>34</v>
      </c>
      <c r="D31" s="133">
        <v>1</v>
      </c>
      <c r="E31" s="187">
        <f t="shared" ca="1" si="3"/>
        <v>63079618.857342996</v>
      </c>
      <c r="F31" s="373"/>
      <c r="G31" s="373">
        <f ca="1">$B$31/6</f>
        <v>5.3947968857333004E-3</v>
      </c>
      <c r="H31" s="373">
        <f t="shared" ref="H31:L31" ca="1" si="8">$B$31/6</f>
        <v>5.3947968857333004E-3</v>
      </c>
      <c r="I31" s="373">
        <f t="shared" ca="1" si="8"/>
        <v>5.3947968857333004E-3</v>
      </c>
      <c r="J31" s="373">
        <f t="shared" ca="1" si="8"/>
        <v>5.3947968857333004E-3</v>
      </c>
      <c r="K31" s="373">
        <f t="shared" ca="1" si="8"/>
        <v>5.3947968857333004E-3</v>
      </c>
      <c r="L31" s="373">
        <f t="shared" ca="1" si="8"/>
        <v>5.3947968857333004E-3</v>
      </c>
      <c r="M31" s="373"/>
      <c r="N31" s="373"/>
      <c r="O31" s="373"/>
      <c r="P31" s="373"/>
      <c r="Q31" s="373"/>
      <c r="R31" s="369">
        <f t="shared" ca="1" si="4"/>
        <v>3.2368781314399804E-2</v>
      </c>
      <c r="S31" s="67"/>
      <c r="T31" s="67"/>
    </row>
    <row r="32" spans="1:20" ht="13.5" x14ac:dyDescent="0.35">
      <c r="A32" s="353" t="str">
        <f>DISTRIBUCIÓN!A79</f>
        <v>Paso 12. Socialización de los resultados de la fase de diagnóstico</v>
      </c>
      <c r="B32" s="200">
        <f ca="1">DISTRIBUCIÓN!BD79</f>
        <v>7.1431498989177463E-3</v>
      </c>
      <c r="C32" s="132" t="s">
        <v>34</v>
      </c>
      <c r="D32" s="133">
        <v>1</v>
      </c>
      <c r="E32" s="187">
        <f t="shared" ca="1" si="3"/>
        <v>13920424.395593422</v>
      </c>
      <c r="F32" s="373"/>
      <c r="G32" s="373"/>
      <c r="H32" s="373"/>
      <c r="I32" s="373"/>
      <c r="J32" s="373"/>
      <c r="K32" s="373"/>
      <c r="L32" s="373">
        <f ca="1">B32</f>
        <v>7.1431498989177463E-3</v>
      </c>
      <c r="M32" s="373"/>
      <c r="N32" s="373"/>
      <c r="O32" s="373"/>
      <c r="P32" s="373"/>
      <c r="Q32" s="373"/>
      <c r="R32" s="369">
        <f t="shared" ca="1" si="4"/>
        <v>7.1431498989177463E-3</v>
      </c>
      <c r="T32" s="67"/>
    </row>
    <row r="33" spans="1:20" ht="13.5" x14ac:dyDescent="0.35">
      <c r="A33" s="250" t="str">
        <f>DISTRIBUCIÓN!A85</f>
        <v>FASE 3. Identificación de usos potenciales</v>
      </c>
      <c r="B33" s="251">
        <f ca="1">DISTRIBUCIÓN!E39</f>
        <v>3.95E-2</v>
      </c>
      <c r="C33" s="252"/>
      <c r="D33" s="252"/>
      <c r="E33" s="248">
        <f ca="1">DISTRIBUCIÓN!D39</f>
        <v>76956034.700000003</v>
      </c>
      <c r="F33" s="251"/>
      <c r="G33" s="251"/>
      <c r="H33" s="251"/>
      <c r="I33" s="251"/>
      <c r="J33" s="251"/>
      <c r="K33" s="251"/>
      <c r="L33" s="251"/>
      <c r="M33" s="251"/>
      <c r="N33" s="251"/>
      <c r="O33" s="373"/>
      <c r="P33" s="373"/>
      <c r="Q33" s="373"/>
      <c r="R33" s="367">
        <f ca="1">ROUND(SUM(R34:R38),4)</f>
        <v>3.95E-2</v>
      </c>
      <c r="S33" s="222" t="str">
        <f ca="1">IF(ABS(R33-B33)&lt;0.001,"OK"," ERROR")</f>
        <v>OK</v>
      </c>
      <c r="T33" s="67"/>
    </row>
    <row r="34" spans="1:20" ht="13.5" x14ac:dyDescent="0.35">
      <c r="A34" s="220" t="str">
        <f>DISTRIBUCIÓN!A86</f>
        <v>Paso 1: Proyección de la demanda de agua</v>
      </c>
      <c r="B34" s="259">
        <f ca="1">DISTRIBUCIÓN!BD86</f>
        <v>1.1114758623436931E-2</v>
      </c>
      <c r="C34" s="132" t="s">
        <v>34</v>
      </c>
      <c r="D34" s="133">
        <v>1</v>
      </c>
      <c r="E34" s="260">
        <f ca="1">B34*$E$33/$B$33</f>
        <v>21654373.425502196</v>
      </c>
      <c r="F34" s="377"/>
      <c r="G34" s="377"/>
      <c r="H34" s="377"/>
      <c r="I34" s="377"/>
      <c r="J34" s="373"/>
      <c r="K34" s="373"/>
      <c r="L34" s="373"/>
      <c r="M34" s="373">
        <f ca="1">B34/2</f>
        <v>5.5573793117184656E-3</v>
      </c>
      <c r="N34" s="373">
        <f ca="1">B34/2</f>
        <v>5.5573793117184656E-3</v>
      </c>
      <c r="O34" s="373"/>
      <c r="P34" s="377"/>
      <c r="Q34" s="377"/>
      <c r="R34" s="369">
        <f ca="1">SUM(F34:Q34)</f>
        <v>1.1114758623436931E-2</v>
      </c>
      <c r="S34" s="277" t="s">
        <v>146</v>
      </c>
      <c r="T34" s="67"/>
    </row>
    <row r="35" spans="1:20" ht="13.5" x14ac:dyDescent="0.35">
      <c r="A35" s="220" t="str">
        <f>DISTRIBUCIÓN!A87</f>
        <v>Paso 2: Modelación de la calidad del agua y simulación de escenarios</v>
      </c>
      <c r="B35" s="259">
        <f ca="1">DISTRIBUCIÓN!BD87</f>
        <v>5.871851214560013E-3</v>
      </c>
      <c r="C35" s="132"/>
      <c r="D35" s="133">
        <v>1</v>
      </c>
      <c r="E35" s="260">
        <f t="shared" ref="E35:E38" ca="1" si="9">B35*$E$33/$B$33</f>
        <v>11439857.868883988</v>
      </c>
      <c r="F35" s="377"/>
      <c r="G35" s="377"/>
      <c r="H35" s="377"/>
      <c r="I35" s="377"/>
      <c r="J35" s="373"/>
      <c r="K35" s="373"/>
      <c r="L35" s="373"/>
      <c r="M35" s="373">
        <f t="shared" ref="M35:M37" ca="1" si="10">B35/2</f>
        <v>2.9359256072800065E-3</v>
      </c>
      <c r="N35" s="373">
        <f t="shared" ref="N35:N37" ca="1" si="11">B35/2</f>
        <v>2.9359256072800065E-3</v>
      </c>
      <c r="O35" s="373"/>
      <c r="P35" s="377"/>
      <c r="Q35" s="377"/>
      <c r="R35" s="369">
        <f t="shared" ref="R35:R38" ca="1" si="12">SUM(F35:Q35)</f>
        <v>5.871851214560013E-3</v>
      </c>
      <c r="S35" s="277"/>
      <c r="T35" s="67"/>
    </row>
    <row r="36" spans="1:20" ht="17.25" customHeight="1" x14ac:dyDescent="0.35">
      <c r="A36" s="220" t="str">
        <f>DISTRIBUCIÓN!A88</f>
        <v>Paso 3: Clasificación del cuerpo de agua e identificación de usos potenciales</v>
      </c>
      <c r="B36" s="259">
        <f ca="1">DISTRIBUCIÓN!BD88</f>
        <v>9.2882010121222019E-3</v>
      </c>
      <c r="C36" s="132" t="s">
        <v>34</v>
      </c>
      <c r="D36" s="133">
        <v>1</v>
      </c>
      <c r="E36" s="260">
        <f t="shared" ca="1" si="9"/>
        <v>18095775.17441649</v>
      </c>
      <c r="F36" s="377"/>
      <c r="G36" s="377"/>
      <c r="H36" s="377"/>
      <c r="I36" s="377"/>
      <c r="J36" s="373"/>
      <c r="K36" s="373"/>
      <c r="L36" s="373"/>
      <c r="M36" s="373">
        <f t="shared" ca="1" si="10"/>
        <v>4.644100506061101E-3</v>
      </c>
      <c r="N36" s="373">
        <f t="shared" ca="1" si="11"/>
        <v>4.644100506061101E-3</v>
      </c>
      <c r="O36" s="373"/>
      <c r="P36" s="377"/>
      <c r="Q36" s="377"/>
      <c r="R36" s="369">
        <f t="shared" ca="1" si="12"/>
        <v>9.2882010121222019E-3</v>
      </c>
      <c r="T36" s="67"/>
    </row>
    <row r="37" spans="1:20" ht="32.25" customHeight="1" x14ac:dyDescent="0.35">
      <c r="A37" s="220" t="str">
        <f>DISTRIBUCIÓN!A89</f>
        <v>Paso 4. Estimación cualitativa de riesgos asociados a reducción de la oferta y disponibilidad del recurso hídrico</v>
      </c>
      <c r="B37" s="259">
        <f ca="1">DISTRIBUCIÓN!BD89</f>
        <v>7.4732651821672888E-3</v>
      </c>
      <c r="C37" s="132" t="s">
        <v>34</v>
      </c>
      <c r="D37" s="133">
        <v>1</v>
      </c>
      <c r="E37" s="260">
        <f t="shared" ca="1" si="9"/>
        <v>14559819.105852349</v>
      </c>
      <c r="F37" s="377"/>
      <c r="G37" s="377"/>
      <c r="H37" s="377"/>
      <c r="I37" s="377"/>
      <c r="J37" s="373"/>
      <c r="K37" s="373"/>
      <c r="L37" s="373"/>
      <c r="M37" s="373">
        <f t="shared" ca="1" si="10"/>
        <v>3.7366325910836444E-3</v>
      </c>
      <c r="N37" s="373">
        <f t="shared" ca="1" si="11"/>
        <v>3.7366325910836444E-3</v>
      </c>
      <c r="O37" s="373"/>
      <c r="P37" s="377"/>
      <c r="Q37" s="377"/>
      <c r="R37" s="369">
        <f t="shared" ca="1" si="12"/>
        <v>7.4732651821672888E-3</v>
      </c>
      <c r="T37" s="67"/>
    </row>
    <row r="38" spans="1:20" ht="13.5" x14ac:dyDescent="0.35">
      <c r="A38" s="220" t="str">
        <f>DISTRIBUCIÓN!A90</f>
        <v>Paso 5. Socialización de los resultados de la fase de Usos Potenciales</v>
      </c>
      <c r="B38" s="259">
        <f ca="1">DISTRIBUCIÓN!BD90</f>
        <v>5.7519239677180142E-3</v>
      </c>
      <c r="C38" s="132" t="s">
        <v>34</v>
      </c>
      <c r="D38" s="133">
        <v>1</v>
      </c>
      <c r="E38" s="260">
        <f t="shared" ca="1" si="9"/>
        <v>11206209.125353651</v>
      </c>
      <c r="F38" s="377"/>
      <c r="G38" s="377"/>
      <c r="H38" s="377"/>
      <c r="I38" s="377"/>
      <c r="J38" s="373"/>
      <c r="K38" s="373"/>
      <c r="L38" s="373"/>
      <c r="M38" s="373"/>
      <c r="N38" s="373">
        <f ca="1">B38</f>
        <v>5.7519239677180142E-3</v>
      </c>
      <c r="O38" s="373"/>
      <c r="P38" s="377"/>
      <c r="Q38" s="377"/>
      <c r="R38" s="369">
        <f t="shared" ca="1" si="12"/>
        <v>5.7519239677180142E-3</v>
      </c>
      <c r="T38" s="67"/>
    </row>
    <row r="39" spans="1:20" ht="13.5" x14ac:dyDescent="0.35">
      <c r="A39" s="250" t="str">
        <f>DISTRIBUCIÓN!A95</f>
        <v>FASE 4. Elaboración del plan</v>
      </c>
      <c r="B39" s="365">
        <f ca="1">DISTRIBUCIÓN!E40</f>
        <v>3.9199999999999999E-2</v>
      </c>
      <c r="C39" s="250" t="s">
        <v>34</v>
      </c>
      <c r="D39" s="250"/>
      <c r="E39" s="254">
        <f ca="1">DISTRIBUCIÓN!D40</f>
        <v>76425237.598700002</v>
      </c>
      <c r="F39" s="253"/>
      <c r="G39" s="253"/>
      <c r="H39" s="253"/>
      <c r="I39" s="253"/>
      <c r="J39" s="253"/>
      <c r="K39" s="253"/>
      <c r="L39" s="253"/>
      <c r="M39" s="253"/>
      <c r="N39" s="253"/>
      <c r="O39" s="253"/>
      <c r="P39" s="253"/>
      <c r="Q39" s="253"/>
      <c r="R39" s="367">
        <f ca="1">ROUND(SUM(R40:R49),4)</f>
        <v>3.9199999999999999E-2</v>
      </c>
      <c r="S39" s="222" t="str">
        <f ca="1">IF(ABS(R39-B39)&lt;0.001,"OK"," ERROR")</f>
        <v>OK</v>
      </c>
      <c r="T39" s="67"/>
    </row>
    <row r="40" spans="1:20" ht="13.5" x14ac:dyDescent="0.35">
      <c r="A40" s="243" t="str">
        <f>DISTRIBUCIÓN!A97</f>
        <v xml:space="preserve">Paso 1: Definición o ajuste de objetivos y criterios de calidad por uso </v>
      </c>
      <c r="B40" s="259">
        <f ca="1">DISTRIBUCIÓN!BD97</f>
        <v>2.1160081140218995E-3</v>
      </c>
      <c r="C40" s="132" t="s">
        <v>34</v>
      </c>
      <c r="D40" s="133">
        <v>1</v>
      </c>
      <c r="E40" s="260">
        <f ca="1">B40*$E$39/$B$39</f>
        <v>4125418.9508903255</v>
      </c>
      <c r="F40" s="377"/>
      <c r="G40" s="377"/>
      <c r="H40" s="377"/>
      <c r="I40" s="377"/>
      <c r="J40" s="377"/>
      <c r="K40" s="377"/>
      <c r="L40" s="377"/>
      <c r="M40" s="377"/>
      <c r="N40" s="377"/>
      <c r="O40" s="377">
        <f ca="1">B40</f>
        <v>2.1160081140218995E-3</v>
      </c>
      <c r="P40" s="377"/>
      <c r="Q40" s="377"/>
      <c r="R40" s="366">
        <f t="shared" ref="R40:R49" ca="1" si="13">SUM(F40:Q40)</f>
        <v>2.1160081140218995E-3</v>
      </c>
      <c r="S40" s="166" t="s">
        <v>146</v>
      </c>
      <c r="T40" s="67"/>
    </row>
    <row r="41" spans="1:20" ht="13.5" x14ac:dyDescent="0.35">
      <c r="A41" s="243" t="str">
        <f>DISTRIBUCIÓN!A98</f>
        <v>Paso 2: Definición de prohibiciones y condicionamientos</v>
      </c>
      <c r="B41" s="259">
        <f ca="1">DISTRIBUCIÓN!BD98</f>
        <v>2.1160081140218995E-3</v>
      </c>
      <c r="C41" s="132" t="s">
        <v>34</v>
      </c>
      <c r="D41" s="133">
        <v>1</v>
      </c>
      <c r="E41" s="260">
        <f t="shared" ref="E41:E49" ca="1" si="14">B41*$E$39/$B$39</f>
        <v>4125418.9508903255</v>
      </c>
      <c r="F41" s="377"/>
      <c r="G41" s="377"/>
      <c r="H41" s="377"/>
      <c r="I41" s="377"/>
      <c r="J41" s="377"/>
      <c r="K41" s="377"/>
      <c r="L41" s="377"/>
      <c r="M41" s="377"/>
      <c r="N41" s="377"/>
      <c r="O41" s="377">
        <f t="shared" ref="O41:O44" ca="1" si="15">B41</f>
        <v>2.1160081140218995E-3</v>
      </c>
      <c r="P41" s="377"/>
      <c r="Q41" s="377"/>
      <c r="R41" s="366">
        <f t="shared" ca="1" si="13"/>
        <v>2.1160081140218995E-3</v>
      </c>
      <c r="S41" s="166"/>
      <c r="T41" s="67"/>
    </row>
    <row r="42" spans="1:20" ht="27" x14ac:dyDescent="0.35">
      <c r="A42" s="355" t="str">
        <f>DISTRIBUCIÓN!A99</f>
        <v>Paso 3: Definición o ajuste de metas quinquenales de reducción de cargas contaminantes</v>
      </c>
      <c r="B42" s="259">
        <f ca="1">DISTRIBUCIÓN!BD99</f>
        <v>2.1160081140218995E-3</v>
      </c>
      <c r="C42" s="132" t="s">
        <v>34</v>
      </c>
      <c r="D42" s="133">
        <v>1</v>
      </c>
      <c r="E42" s="260">
        <f t="shared" ca="1" si="14"/>
        <v>4125418.9508903255</v>
      </c>
      <c r="F42" s="377"/>
      <c r="G42" s="377"/>
      <c r="H42" s="377"/>
      <c r="I42" s="373"/>
      <c r="J42" s="373"/>
      <c r="K42" s="373"/>
      <c r="L42" s="373"/>
      <c r="M42" s="373"/>
      <c r="N42" s="373"/>
      <c r="O42" s="377">
        <f t="shared" ca="1" si="15"/>
        <v>2.1160081140218995E-3</v>
      </c>
      <c r="P42" s="373"/>
      <c r="Q42" s="373"/>
      <c r="R42" s="369">
        <f t="shared" ca="1" si="13"/>
        <v>2.1160081140218995E-3</v>
      </c>
      <c r="S42" s="382"/>
      <c r="T42" s="67"/>
    </row>
    <row r="43" spans="1:20" ht="13.5" x14ac:dyDescent="0.35">
      <c r="A43" s="243" t="str">
        <f>DISTRIBUCIÓN!A100</f>
        <v>Paso 4. Articulación con el POMCA</v>
      </c>
      <c r="B43" s="259">
        <f ca="1">DISTRIBUCIÓN!BD100</f>
        <v>2.1160081140218995E-3</v>
      </c>
      <c r="C43" s="132" t="s">
        <v>34</v>
      </c>
      <c r="D43" s="133">
        <v>1</v>
      </c>
      <c r="E43" s="260">
        <f t="shared" ca="1" si="14"/>
        <v>4125418.9508903255</v>
      </c>
      <c r="F43" s="377"/>
      <c r="G43" s="377"/>
      <c r="H43" s="377"/>
      <c r="I43" s="377"/>
      <c r="J43" s="377"/>
      <c r="K43" s="377"/>
      <c r="L43" s="377"/>
      <c r="M43" s="377"/>
      <c r="N43" s="377"/>
      <c r="O43" s="377">
        <f t="shared" ca="1" si="15"/>
        <v>2.1160081140218995E-3</v>
      </c>
      <c r="P43" s="377"/>
      <c r="Q43" s="377"/>
      <c r="R43" s="366">
        <f t="shared" ca="1" si="13"/>
        <v>2.1160081140218995E-3</v>
      </c>
      <c r="S43" s="166"/>
      <c r="T43" s="67"/>
    </row>
    <row r="44" spans="1:20" ht="13.5" x14ac:dyDescent="0.35">
      <c r="A44" s="243" t="str">
        <f>DISTRIBUCIÓN!A101</f>
        <v>Paso 5: Articulación con otros instrumentos</v>
      </c>
      <c r="B44" s="259">
        <f ca="1">DISTRIBUCIÓN!BD101</f>
        <v>2.1160081140218995E-3</v>
      </c>
      <c r="C44" s="132" t="s">
        <v>34</v>
      </c>
      <c r="D44" s="133">
        <v>1</v>
      </c>
      <c r="E44" s="260">
        <f t="shared" ca="1" si="14"/>
        <v>4125418.9508903255</v>
      </c>
      <c r="F44" s="377"/>
      <c r="G44" s="377"/>
      <c r="H44" s="377"/>
      <c r="I44" s="377"/>
      <c r="J44" s="377"/>
      <c r="K44" s="377"/>
      <c r="L44" s="377"/>
      <c r="M44" s="377"/>
      <c r="N44" s="377"/>
      <c r="O44" s="377">
        <f t="shared" ca="1" si="15"/>
        <v>2.1160081140218995E-3</v>
      </c>
      <c r="P44" s="377"/>
      <c r="Q44" s="377"/>
      <c r="R44" s="366">
        <f t="shared" ca="1" si="13"/>
        <v>2.1160081140218995E-3</v>
      </c>
      <c r="S44" s="166"/>
      <c r="T44" s="67"/>
    </row>
    <row r="45" spans="1:20" ht="17.25" customHeight="1" x14ac:dyDescent="0.35">
      <c r="A45" s="243" t="str">
        <f>DISTRIBUCIÓN!A102</f>
        <v>Paso 6: Elaboración del programa de seguimiento y monitoreo al recurso hídrico</v>
      </c>
      <c r="B45" s="259">
        <f ca="1">DISTRIBUCIÓN!BD102</f>
        <v>3.3755367533206473E-3</v>
      </c>
      <c r="C45" s="132" t="s">
        <v>34</v>
      </c>
      <c r="D45" s="133">
        <v>1</v>
      </c>
      <c r="E45" s="260">
        <f t="shared" ca="1" si="14"/>
        <v>6581025.4692774201</v>
      </c>
      <c r="F45" s="377"/>
      <c r="G45" s="377"/>
      <c r="H45" s="377"/>
      <c r="I45" s="377"/>
      <c r="J45" s="377"/>
      <c r="K45" s="377"/>
      <c r="L45" s="377"/>
      <c r="M45" s="377"/>
      <c r="N45" s="377"/>
      <c r="O45" s="377"/>
      <c r="P45" s="377">
        <f ca="1">B45</f>
        <v>3.3755367533206473E-3</v>
      </c>
      <c r="Q45" s="377"/>
      <c r="R45" s="366">
        <f t="shared" ca="1" si="13"/>
        <v>3.3755367533206473E-3</v>
      </c>
      <c r="S45" s="166"/>
      <c r="T45" s="67"/>
    </row>
    <row r="46" spans="1:20" ht="13.5" x14ac:dyDescent="0.35">
      <c r="A46" s="243" t="str">
        <f>DISTRIBUCIÓN!A103</f>
        <v>Paso 7: Estructuración de proyectos y actividades</v>
      </c>
      <c r="B46" s="259">
        <f ca="1">DISTRIBUCIÓN!BD103</f>
        <v>3.3251556077486966E-3</v>
      </c>
      <c r="C46" s="132" t="s">
        <v>34</v>
      </c>
      <c r="D46" s="133">
        <v>1</v>
      </c>
      <c r="E46" s="260">
        <f t="shared" ca="1" si="14"/>
        <v>6482801.2085419344</v>
      </c>
      <c r="F46" s="377"/>
      <c r="G46" s="377"/>
      <c r="H46" s="377"/>
      <c r="I46" s="377"/>
      <c r="J46" s="377"/>
      <c r="K46" s="377"/>
      <c r="L46" s="377"/>
      <c r="M46" s="377"/>
      <c r="N46" s="377"/>
      <c r="O46" s="377"/>
      <c r="P46" s="377">
        <f t="shared" ref="P46:P48" ca="1" si="16">B46</f>
        <v>3.3251556077486966E-3</v>
      </c>
      <c r="Q46" s="377"/>
      <c r="R46" s="366">
        <f t="shared" ca="1" si="13"/>
        <v>3.3251556077486966E-3</v>
      </c>
      <c r="S46" s="166"/>
      <c r="T46" s="67"/>
    </row>
    <row r="47" spans="1:20" ht="13.5" x14ac:dyDescent="0.35">
      <c r="A47" s="243" t="str">
        <f>DISTRIBUCIÓN!A104</f>
        <v>Paso 8: Elaboración de informes</v>
      </c>
      <c r="B47" s="259">
        <f ca="1">DISTRIBUCIÓN!BD104</f>
        <v>3.4762990444645488E-3</v>
      </c>
      <c r="C47" s="132" t="s">
        <v>34</v>
      </c>
      <c r="D47" s="133">
        <v>1</v>
      </c>
      <c r="E47" s="260">
        <f t="shared" ca="1" si="14"/>
        <v>6777473.9907483906</v>
      </c>
      <c r="F47" s="377"/>
      <c r="G47" s="377"/>
      <c r="H47" s="377"/>
      <c r="I47" s="377"/>
      <c r="J47" s="377"/>
      <c r="K47" s="377"/>
      <c r="L47" s="377"/>
      <c r="M47" s="377"/>
      <c r="N47" s="377"/>
      <c r="O47" s="377"/>
      <c r="P47" s="377">
        <f t="shared" ca="1" si="16"/>
        <v>3.4762990444645488E-3</v>
      </c>
      <c r="Q47" s="377"/>
      <c r="R47" s="366">
        <f t="shared" ca="1" si="13"/>
        <v>3.4762990444645488E-3</v>
      </c>
      <c r="S47" s="166"/>
      <c r="T47" s="67"/>
    </row>
    <row r="48" spans="1:20" ht="13.5" x14ac:dyDescent="0.35">
      <c r="A48" s="243" t="str">
        <f>DISTRIBUCIÓN!A105</f>
        <v>Paso 9: Socialización del PORH</v>
      </c>
      <c r="B48" s="259">
        <f ca="1">DISTRIBUCIÓN!BD105</f>
        <v>5.7234436576216333E-3</v>
      </c>
      <c r="C48" s="132" t="s">
        <v>34</v>
      </c>
      <c r="D48" s="133">
        <v>1</v>
      </c>
      <c r="E48" s="260">
        <f t="shared" ca="1" si="14"/>
        <v>11158559.730012907</v>
      </c>
      <c r="F48" s="377"/>
      <c r="G48" s="377"/>
      <c r="H48" s="377"/>
      <c r="I48" s="377"/>
      <c r="J48" s="377"/>
      <c r="K48" s="377"/>
      <c r="L48" s="377"/>
      <c r="M48" s="377"/>
      <c r="N48" s="377"/>
      <c r="O48" s="377"/>
      <c r="P48" s="377">
        <f t="shared" ca="1" si="16"/>
        <v>5.7234436576216333E-3</v>
      </c>
      <c r="Q48" s="377"/>
      <c r="R48" s="366">
        <f t="shared" ca="1" si="13"/>
        <v>5.7234436576216333E-3</v>
      </c>
      <c r="T48" s="67"/>
    </row>
    <row r="49" spans="1:20" ht="13.5" x14ac:dyDescent="0.35">
      <c r="A49" s="243" t="str">
        <f>DISTRIBUCIÓN!A106</f>
        <v>Impresiones y publicaciones</v>
      </c>
      <c r="B49" s="259">
        <f ca="1">DISTRIBUCIÓN!BD106</f>
        <v>1.2719524366756645E-2</v>
      </c>
      <c r="C49" s="132" t="s">
        <v>34</v>
      </c>
      <c r="D49" s="133">
        <v>1</v>
      </c>
      <c r="E49" s="260">
        <f t="shared" ca="1" si="14"/>
        <v>24798282.44570997</v>
      </c>
      <c r="F49" s="377"/>
      <c r="G49" s="377"/>
      <c r="H49" s="377"/>
      <c r="I49" s="377"/>
      <c r="J49" s="377"/>
      <c r="K49" s="377"/>
      <c r="L49" s="377"/>
      <c r="M49" s="377"/>
      <c r="N49" s="377"/>
      <c r="O49" s="377"/>
      <c r="P49" s="377"/>
      <c r="Q49" s="377">
        <f ca="1">B49</f>
        <v>1.2719524366756645E-2</v>
      </c>
      <c r="R49" s="366">
        <f t="shared" ca="1" si="13"/>
        <v>1.2719524366756645E-2</v>
      </c>
      <c r="T49" s="67"/>
    </row>
    <row r="50" spans="1:20" s="64" customFormat="1" ht="13.5" x14ac:dyDescent="0.35">
      <c r="A50" s="135" t="s">
        <v>309</v>
      </c>
      <c r="B50" s="136"/>
      <c r="C50" s="136"/>
      <c r="D50" s="137"/>
      <c r="E50" s="191">
        <f ca="1">ROUND((E2+E12+E33+E39),0)</f>
        <v>1948779543</v>
      </c>
      <c r="F50" s="378">
        <f ca="1">SUM(F2:F49)</f>
        <v>2.7190125541065938E-2</v>
      </c>
      <c r="G50" s="378">
        <f t="shared" ref="G50:Q50" ca="1" si="17">SUM(G2:G49)</f>
        <v>8.5227030829615538E-2</v>
      </c>
      <c r="H50" s="378">
        <f t="shared" ca="1" si="17"/>
        <v>0.24162470411903203</v>
      </c>
      <c r="I50" s="378">
        <f t="shared" ca="1" si="17"/>
        <v>0.24795153418792598</v>
      </c>
      <c r="J50" s="378">
        <f t="shared" ca="1" si="17"/>
        <v>5.5812586836597164E-2</v>
      </c>
      <c r="K50" s="378">
        <f t="shared" ca="1" si="17"/>
        <v>0.22367678827147627</v>
      </c>
      <c r="L50" s="378">
        <f t="shared" ca="1" si="17"/>
        <v>3.9810907209916931E-2</v>
      </c>
      <c r="M50" s="378">
        <f t="shared" ca="1" si="17"/>
        <v>1.6874038016143216E-2</v>
      </c>
      <c r="N50" s="378">
        <f t="shared" ca="1" si="17"/>
        <v>2.2625961983861229E-2</v>
      </c>
      <c r="O50" s="378">
        <f t="shared" ca="1" si="17"/>
        <v>1.0580040570109497E-2</v>
      </c>
      <c r="P50" s="378">
        <f t="shared" ca="1" si="17"/>
        <v>1.5900435063155527E-2</v>
      </c>
      <c r="Q50" s="378">
        <f t="shared" ca="1" si="17"/>
        <v>1.2719524366756645E-2</v>
      </c>
      <c r="R50" s="379">
        <f ca="1">ROUND((SUM(R2+R12+R33+R39)),0)</f>
        <v>1</v>
      </c>
      <c r="S50" s="1"/>
    </row>
    <row r="51" spans="1:20" ht="13.5" x14ac:dyDescent="0.35">
      <c r="A51" s="139" t="s">
        <v>310</v>
      </c>
      <c r="B51" s="140"/>
      <c r="C51" s="140"/>
      <c r="D51" s="141"/>
      <c r="E51" s="192">
        <f ca="1">ROUND((E50*0.19),0)</f>
        <v>370268113</v>
      </c>
      <c r="F51" s="380">
        <f ca="1">F50</f>
        <v>2.7190125541065938E-2</v>
      </c>
      <c r="G51" s="380">
        <f ca="1">F51+G50</f>
        <v>0.11241715637068148</v>
      </c>
      <c r="H51" s="380">
        <f t="shared" ref="H51:Q51" ca="1" si="18">G51+H50</f>
        <v>0.35404186048971353</v>
      </c>
      <c r="I51" s="380">
        <f t="shared" ca="1" si="18"/>
        <v>0.60199339467763946</v>
      </c>
      <c r="J51" s="380">
        <f t="shared" ca="1" si="18"/>
        <v>0.65780598151423664</v>
      </c>
      <c r="K51" s="380">
        <f t="shared" ca="1" si="18"/>
        <v>0.88148276978571294</v>
      </c>
      <c r="L51" s="380">
        <f t="shared" ca="1" si="18"/>
        <v>0.92129367699562992</v>
      </c>
      <c r="M51" s="380">
        <f t="shared" ca="1" si="18"/>
        <v>0.9381677150117731</v>
      </c>
      <c r="N51" s="380">
        <f t="shared" ca="1" si="18"/>
        <v>0.96079367699563434</v>
      </c>
      <c r="O51" s="380">
        <f t="shared" ca="1" si="18"/>
        <v>0.97137371756574387</v>
      </c>
      <c r="P51" s="380">
        <f t="shared" ca="1" si="18"/>
        <v>0.98727415262889939</v>
      </c>
      <c r="Q51" s="380">
        <f t="shared" ca="1" si="18"/>
        <v>0.999993676995656</v>
      </c>
      <c r="R51" s="161"/>
    </row>
    <row r="52" spans="1:20" ht="18.75" customHeight="1" x14ac:dyDescent="0.35">
      <c r="A52" s="144" t="s">
        <v>29</v>
      </c>
      <c r="B52" s="145"/>
      <c r="C52" s="145"/>
      <c r="D52" s="146"/>
      <c r="E52" s="193">
        <f ca="1">ROUND((SUM(E50:E51)),0)</f>
        <v>2319047656</v>
      </c>
      <c r="F52" s="381" t="s">
        <v>53</v>
      </c>
      <c r="G52" s="381" t="s">
        <v>54</v>
      </c>
      <c r="H52" s="381" t="s">
        <v>55</v>
      </c>
      <c r="I52" s="381" t="s">
        <v>56</v>
      </c>
      <c r="J52" s="381" t="s">
        <v>57</v>
      </c>
      <c r="K52" s="381" t="s">
        <v>58</v>
      </c>
      <c r="L52" s="381" t="s">
        <v>117</v>
      </c>
      <c r="M52" s="381" t="s">
        <v>177</v>
      </c>
      <c r="N52" s="381" t="s">
        <v>178</v>
      </c>
      <c r="O52" s="381" t="s">
        <v>180</v>
      </c>
      <c r="P52" s="381" t="s">
        <v>181</v>
      </c>
      <c r="Q52" s="381" t="s">
        <v>301</v>
      </c>
      <c r="R52" s="178"/>
    </row>
    <row r="53" spans="1:20" ht="15.75" customHeight="1" x14ac:dyDescent="0.35">
      <c r="E53" s="264" t="str">
        <f ca="1">IF(ABS(E52-ECONÓMICA!H37)&lt;0.001,"OK"," ERROR")</f>
        <v>OK</v>
      </c>
      <c r="F53" s="92"/>
      <c r="G53" s="92"/>
      <c r="H53" s="92"/>
      <c r="I53" s="92"/>
      <c r="J53" s="92"/>
      <c r="K53" s="92"/>
      <c r="L53" s="92"/>
      <c r="M53" s="92"/>
      <c r="N53" s="92"/>
      <c r="O53" s="92"/>
      <c r="P53" s="92"/>
      <c r="Q53" s="92"/>
      <c r="R53" s="222"/>
    </row>
    <row r="54" spans="1:20" ht="13.5" x14ac:dyDescent="0.35">
      <c r="A54" s="65"/>
      <c r="E54" s="166" t="s">
        <v>146</v>
      </c>
      <c r="R54" s="166"/>
    </row>
    <row r="55" spans="1:20" x14ac:dyDescent="0.35">
      <c r="A55" s="65"/>
    </row>
    <row r="56" spans="1:20" x14ac:dyDescent="0.35">
      <c r="A56" s="120"/>
      <c r="B56" s="148"/>
    </row>
    <row r="57" spans="1:20" x14ac:dyDescent="0.35">
      <c r="A57" s="65"/>
      <c r="B57" s="122"/>
    </row>
    <row r="58" spans="1:20" x14ac:dyDescent="0.35">
      <c r="A58" s="65"/>
    </row>
    <row r="60" spans="1:20" x14ac:dyDescent="0.35">
      <c r="A60" s="65"/>
    </row>
    <row r="62" spans="1:20" x14ac:dyDescent="0.35">
      <c r="A62" s="121"/>
    </row>
    <row r="64" spans="1:20" x14ac:dyDescent="0.35">
      <c r="A64" s="65"/>
    </row>
    <row r="66" spans="1:1" x14ac:dyDescent="0.35">
      <c r="A66" s="65"/>
    </row>
    <row r="68" spans="1:1" x14ac:dyDescent="0.35">
      <c r="A68" s="65"/>
    </row>
    <row r="70" spans="1:1" x14ac:dyDescent="0.35">
      <c r="A70" s="65"/>
    </row>
    <row r="72" spans="1:1" x14ac:dyDescent="0.35">
      <c r="A72" s="65"/>
    </row>
    <row r="74" spans="1:1" x14ac:dyDescent="0.35">
      <c r="A74" s="65"/>
    </row>
    <row r="76" spans="1:1" x14ac:dyDescent="0.35">
      <c r="A76" s="65"/>
    </row>
    <row r="78" spans="1:1" x14ac:dyDescent="0.35">
      <c r="A78" s="65"/>
    </row>
    <row r="80" spans="1:1" x14ac:dyDescent="0.35">
      <c r="A80" s="65"/>
    </row>
    <row r="82" spans="1:1" x14ac:dyDescent="0.35">
      <c r="A82" s="65"/>
    </row>
    <row r="84" spans="1:1" x14ac:dyDescent="0.35">
      <c r="A84" s="65"/>
    </row>
    <row r="86" spans="1:1" x14ac:dyDescent="0.35">
      <c r="A86" s="65"/>
    </row>
    <row r="88" spans="1:1" x14ac:dyDescent="0.35">
      <c r="A88" s="65"/>
    </row>
    <row r="90" spans="1:1" x14ac:dyDescent="0.35">
      <c r="A90" s="65"/>
    </row>
    <row r="92" spans="1:1" x14ac:dyDescent="0.35">
      <c r="A92" s="65"/>
    </row>
    <row r="94" spans="1:1" x14ac:dyDescent="0.35">
      <c r="A94" s="65"/>
    </row>
    <row r="96" spans="1:1" x14ac:dyDescent="0.35">
      <c r="A96" s="65"/>
    </row>
    <row r="98" spans="1:1" x14ac:dyDescent="0.35">
      <c r="A98" s="65"/>
    </row>
    <row r="100" spans="1:1" x14ac:dyDescent="0.35">
      <c r="A100" s="65"/>
    </row>
    <row r="102" spans="1:1" x14ac:dyDescent="0.35">
      <c r="A102" s="65"/>
    </row>
    <row r="104" spans="1:1" x14ac:dyDescent="0.35">
      <c r="A104" s="65"/>
    </row>
    <row r="106" spans="1:1" x14ac:dyDescent="0.35">
      <c r="A106" s="65"/>
    </row>
    <row r="108" spans="1:1" x14ac:dyDescent="0.35">
      <c r="A108" s="65"/>
    </row>
    <row r="110" spans="1:1" x14ac:dyDescent="0.35">
      <c r="A110" s="65"/>
    </row>
    <row r="112" spans="1:1" x14ac:dyDescent="0.35">
      <c r="A112" s="65"/>
    </row>
    <row r="114" spans="1:1" x14ac:dyDescent="0.35">
      <c r="A114" s="65"/>
    </row>
  </sheetData>
  <phoneticPr fontId="5" type="noConversion"/>
  <conditionalFormatting sqref="E53">
    <cfRule type="expression" dxfId="88" priority="9">
      <formula>E53="OK"</formula>
    </cfRule>
    <cfRule type="expression" dxfId="87" priority="10">
      <formula>E53=" Error"</formula>
    </cfRule>
  </conditionalFormatting>
  <conditionalFormatting sqref="R2">
    <cfRule type="cellIs" dxfId="86" priority="30" operator="greaterThan">
      <formula>$B$2</formula>
    </cfRule>
    <cfRule type="cellIs" dxfId="85" priority="31" operator="lessThan">
      <formula>$B$2</formula>
    </cfRule>
    <cfRule type="cellIs" dxfId="84" priority="32" operator="equal">
      <formula>$B$2</formula>
    </cfRule>
  </conditionalFormatting>
  <conditionalFormatting sqref="R12">
    <cfRule type="cellIs" dxfId="83" priority="27" operator="equal">
      <formula>$B$12</formula>
    </cfRule>
    <cfRule type="cellIs" dxfId="82" priority="28" operator="lessThan">
      <formula>$B$12</formula>
    </cfRule>
    <cfRule type="cellIs" dxfId="81" priority="29" operator="greaterThan">
      <formula>$B$12</formula>
    </cfRule>
  </conditionalFormatting>
  <conditionalFormatting sqref="R33">
    <cfRule type="cellIs" dxfId="80" priority="24" operator="equal">
      <formula>$B$33</formula>
    </cfRule>
    <cfRule type="cellIs" dxfId="79" priority="25" operator="lessThan">
      <formula>$B$33</formula>
    </cfRule>
    <cfRule type="cellIs" dxfId="78" priority="26" operator="greaterThan">
      <formula>$B$33</formula>
    </cfRule>
  </conditionalFormatting>
  <conditionalFormatting sqref="R39">
    <cfRule type="cellIs" dxfId="77" priority="21" operator="equal">
      <formula>$B$39</formula>
    </cfRule>
    <cfRule type="cellIs" dxfId="76" priority="22" operator="lessThan">
      <formula>$B$39</formula>
    </cfRule>
    <cfRule type="cellIs" dxfId="75" priority="23" operator="greaterThan">
      <formula>$B$39</formula>
    </cfRule>
  </conditionalFormatting>
  <conditionalFormatting sqref="R53">
    <cfRule type="expression" dxfId="74" priority="7">
      <formula>R53="OK"</formula>
    </cfRule>
    <cfRule type="expression" dxfId="73" priority="8">
      <formula>R53=" Error"</formula>
    </cfRule>
  </conditionalFormatting>
  <conditionalFormatting sqref="S2">
    <cfRule type="expression" dxfId="72" priority="11">
      <formula>S2="OK"</formula>
    </cfRule>
    <cfRule type="expression" dxfId="71" priority="12">
      <formula>S2=" Error"</formula>
    </cfRule>
  </conditionalFormatting>
  <conditionalFormatting sqref="S12">
    <cfRule type="expression" dxfId="70" priority="5">
      <formula>S12="OK"</formula>
    </cfRule>
    <cfRule type="expression" dxfId="69" priority="6">
      <formula>S12=" Error"</formula>
    </cfRule>
  </conditionalFormatting>
  <conditionalFormatting sqref="S33">
    <cfRule type="expression" dxfId="68" priority="3">
      <formula>S33="OK"</formula>
    </cfRule>
    <cfRule type="expression" dxfId="67" priority="4">
      <formula>S33=" Error"</formula>
    </cfRule>
  </conditionalFormatting>
  <conditionalFormatting sqref="S39">
    <cfRule type="expression" dxfId="66" priority="1">
      <formula>S39="OK"</formula>
    </cfRule>
    <cfRule type="expression" dxfId="65" priority="2">
      <formula>S39=" Error"</formula>
    </cfRule>
  </conditionalFormatting>
  <hyperlinks>
    <hyperlink ref="A1" location="'TABLERO CONTROL'!A1" display="ACTIVIDADES" xr:uid="{875C1861-F16D-4FE9-8334-F426719BAD71}"/>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AX50"/>
  <sheetViews>
    <sheetView showGridLines="0" workbookViewId="0">
      <pane xSplit="2" ySplit="2" topLeftCell="C3" activePane="bottomRight" state="frozen"/>
      <selection pane="topRight" activeCell="C1" sqref="C1"/>
      <selection pane="bottomLeft" activeCell="A3" sqref="A3"/>
      <selection pane="bottomRight" activeCell="B1" sqref="B1:B2"/>
    </sheetView>
  </sheetViews>
  <sheetFormatPr defaultColWidth="10.6640625" defaultRowHeight="12.75" x14ac:dyDescent="0.35"/>
  <cols>
    <col min="1" max="1" width="1" customWidth="1"/>
    <col min="2" max="2" width="60" customWidth="1"/>
    <col min="3" max="46" width="3.265625" customWidth="1"/>
    <col min="47" max="58" width="2.73046875" customWidth="1"/>
  </cols>
  <sheetData>
    <row r="1" spans="1:50" x14ac:dyDescent="0.35">
      <c r="A1" s="57"/>
      <c r="B1" s="785" t="s">
        <v>45</v>
      </c>
      <c r="C1" s="784" t="s">
        <v>46</v>
      </c>
      <c r="D1" s="784"/>
      <c r="E1" s="784"/>
      <c r="F1" s="784"/>
      <c r="G1" s="784" t="s">
        <v>47</v>
      </c>
      <c r="H1" s="784"/>
      <c r="I1" s="784"/>
      <c r="J1" s="784"/>
      <c r="K1" s="784" t="s">
        <v>48</v>
      </c>
      <c r="L1" s="784"/>
      <c r="M1" s="784"/>
      <c r="N1" s="784"/>
      <c r="O1" s="784" t="s">
        <v>49</v>
      </c>
      <c r="P1" s="784"/>
      <c r="Q1" s="784"/>
      <c r="R1" s="784"/>
      <c r="S1" s="784" t="s">
        <v>50</v>
      </c>
      <c r="T1" s="784"/>
      <c r="U1" s="784"/>
      <c r="V1" s="784"/>
      <c r="W1" s="784" t="s">
        <v>51</v>
      </c>
      <c r="X1" s="784"/>
      <c r="Y1" s="784"/>
      <c r="Z1" s="784"/>
      <c r="AA1" s="784" t="s">
        <v>52</v>
      </c>
      <c r="AB1" s="784"/>
      <c r="AC1" s="784"/>
      <c r="AD1" s="784"/>
      <c r="AE1" s="784" t="s">
        <v>166</v>
      </c>
      <c r="AF1" s="784"/>
      <c r="AG1" s="784"/>
      <c r="AH1" s="784"/>
      <c r="AI1" s="784" t="s">
        <v>167</v>
      </c>
      <c r="AJ1" s="784"/>
      <c r="AK1" s="784"/>
      <c r="AL1" s="784"/>
      <c r="AM1" s="784" t="s">
        <v>168</v>
      </c>
      <c r="AN1" s="784"/>
      <c r="AO1" s="784"/>
      <c r="AP1" s="784"/>
      <c r="AQ1" s="784" t="s">
        <v>169</v>
      </c>
      <c r="AR1" s="784"/>
      <c r="AS1" s="784"/>
      <c r="AT1" s="784"/>
      <c r="AU1" s="784" t="s">
        <v>170</v>
      </c>
      <c r="AV1" s="784"/>
      <c r="AW1" s="784"/>
      <c r="AX1" s="784"/>
    </row>
    <row r="2" spans="1:50" x14ac:dyDescent="0.35">
      <c r="A2" s="57"/>
      <c r="B2" s="786"/>
      <c r="C2" s="90">
        <v>1</v>
      </c>
      <c r="D2" s="90">
        <v>2</v>
      </c>
      <c r="E2" s="90">
        <v>3</v>
      </c>
      <c r="F2" s="90">
        <v>4</v>
      </c>
      <c r="G2" s="90">
        <v>5</v>
      </c>
      <c r="H2" s="90">
        <v>6</v>
      </c>
      <c r="I2" s="90">
        <v>7</v>
      </c>
      <c r="J2" s="90">
        <v>8</v>
      </c>
      <c r="K2" s="90">
        <v>9</v>
      </c>
      <c r="L2" s="90">
        <v>10</v>
      </c>
      <c r="M2" s="90">
        <v>11</v>
      </c>
      <c r="N2" s="90">
        <v>12</v>
      </c>
      <c r="O2" s="90">
        <v>13</v>
      </c>
      <c r="P2" s="90">
        <v>14</v>
      </c>
      <c r="Q2" s="90">
        <v>15</v>
      </c>
      <c r="R2" s="90">
        <v>16</v>
      </c>
      <c r="S2" s="90">
        <v>17</v>
      </c>
      <c r="T2" s="90">
        <v>18</v>
      </c>
      <c r="U2" s="90">
        <v>19</v>
      </c>
      <c r="V2" s="90">
        <v>20</v>
      </c>
      <c r="W2" s="90">
        <v>21</v>
      </c>
      <c r="X2" s="90">
        <v>22</v>
      </c>
      <c r="Y2" s="90">
        <v>23</v>
      </c>
      <c r="Z2" s="90">
        <v>24</v>
      </c>
      <c r="AA2" s="90">
        <v>25</v>
      </c>
      <c r="AB2" s="90">
        <v>26</v>
      </c>
      <c r="AC2" s="90">
        <v>27</v>
      </c>
      <c r="AD2" s="90">
        <v>28</v>
      </c>
      <c r="AE2" s="90">
        <v>29</v>
      </c>
      <c r="AF2" s="90">
        <v>30</v>
      </c>
      <c r="AG2" s="90">
        <v>31</v>
      </c>
      <c r="AH2" s="90">
        <v>32</v>
      </c>
      <c r="AI2" s="90">
        <v>33</v>
      </c>
      <c r="AJ2" s="90">
        <v>34</v>
      </c>
      <c r="AK2" s="90">
        <v>35</v>
      </c>
      <c r="AL2" s="90">
        <v>36</v>
      </c>
      <c r="AM2" s="90">
        <v>37</v>
      </c>
      <c r="AN2" s="90">
        <v>38</v>
      </c>
      <c r="AO2" s="90">
        <v>39</v>
      </c>
      <c r="AP2" s="90">
        <v>40</v>
      </c>
      <c r="AQ2" s="90">
        <v>41</v>
      </c>
      <c r="AR2" s="90">
        <v>42</v>
      </c>
      <c r="AS2" s="90">
        <v>43</v>
      </c>
      <c r="AT2" s="90">
        <v>44</v>
      </c>
      <c r="AU2" s="90">
        <v>45</v>
      </c>
      <c r="AV2" s="90">
        <v>46</v>
      </c>
      <c r="AW2" s="90">
        <v>47</v>
      </c>
      <c r="AX2" s="90">
        <v>48</v>
      </c>
    </row>
    <row r="3" spans="1:50" x14ac:dyDescent="0.35">
      <c r="A3" s="69"/>
      <c r="B3" s="267" t="str">
        <f>ENTREGABLES!A2</f>
        <v>FASE 1. Declaratoria y Acciones Previas</v>
      </c>
      <c r="C3" s="268"/>
      <c r="D3" s="268"/>
      <c r="E3" s="268"/>
      <c r="F3" s="268"/>
      <c r="G3" s="58"/>
      <c r="H3" s="58"/>
      <c r="I3" s="58"/>
      <c r="J3" s="58"/>
      <c r="K3" s="5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row>
    <row r="4" spans="1:50" x14ac:dyDescent="0.35">
      <c r="A4" s="57"/>
      <c r="B4" s="70" t="str">
        <f>DISTRIBUCIÓN!A47</f>
        <v>Localización del cuerpo de agua</v>
      </c>
      <c r="C4" s="61"/>
      <c r="D4" s="270"/>
      <c r="E4" s="270"/>
      <c r="F4" s="271"/>
      <c r="G4" s="60"/>
      <c r="H4" s="60"/>
      <c r="I4" s="60"/>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row>
    <row r="5" spans="1:50" x14ac:dyDescent="0.35">
      <c r="A5" s="57"/>
      <c r="B5" s="70" t="str">
        <f>DISTRIBUCIÓN!A48</f>
        <v>Alistamiento Institucional</v>
      </c>
      <c r="C5" s="59"/>
      <c r="D5" s="59"/>
      <c r="E5" s="59"/>
      <c r="F5" s="59"/>
      <c r="G5" s="60"/>
      <c r="H5" s="60"/>
      <c r="I5" s="60"/>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row>
    <row r="6" spans="1:50" x14ac:dyDescent="0.35">
      <c r="A6" s="57"/>
      <c r="B6" s="70" t="str">
        <f>DISTRIBUCIÓN!A49</f>
        <v>Identificación de actores relevantes para el ordenamiento</v>
      </c>
      <c r="C6" s="59"/>
      <c r="D6" s="59"/>
      <c r="E6" s="59"/>
      <c r="F6" s="59"/>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row>
    <row r="7" spans="1:50" x14ac:dyDescent="0.35">
      <c r="A7" s="57"/>
      <c r="B7" s="70" t="str">
        <f>DISTRIBUCIÓN!A50</f>
        <v>Recopilación de información de instrumentos existentes</v>
      </c>
      <c r="C7" s="59"/>
      <c r="D7" s="59"/>
      <c r="E7" s="59"/>
      <c r="F7" s="59"/>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row>
    <row r="8" spans="1:50" x14ac:dyDescent="0.35">
      <c r="A8" s="57"/>
      <c r="B8" s="70" t="str">
        <f>DISTRIBUCIÓN!A51</f>
        <v>Recopilación de información de redes hidrometeorológicas hidrobiológicas y de calidad</v>
      </c>
      <c r="C8" s="61"/>
      <c r="D8" s="61"/>
      <c r="E8" s="59"/>
      <c r="F8" s="59"/>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row>
    <row r="9" spans="1:50" x14ac:dyDescent="0.35">
      <c r="A9" s="57"/>
      <c r="B9" s="70" t="str">
        <f>DISTRIBUCIÓN!A52</f>
        <v>Identificación preliminar de usuarios y clasificación de los usos actuales</v>
      </c>
      <c r="C9" s="61"/>
      <c r="D9" s="59"/>
      <c r="E9" s="59"/>
      <c r="F9" s="59"/>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row>
    <row r="10" spans="1:50" x14ac:dyDescent="0.35">
      <c r="A10" s="57"/>
      <c r="B10" s="70" t="str">
        <f>DISTRIBUCIÓN!A53</f>
        <v>Revisión de información asociada a los conflictos por uso del recurso hídrico</v>
      </c>
      <c r="C10" s="61"/>
      <c r="D10" s="59"/>
      <c r="E10" s="59"/>
      <c r="F10" s="59"/>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row>
    <row r="11" spans="1:50" x14ac:dyDescent="0.35">
      <c r="A11" s="57"/>
      <c r="B11" s="70" t="str">
        <f>DISTRIBUCIÓN!A54</f>
        <v>Prediseño del plan de monitoreo de calidad y cantidad del recurso hídrico</v>
      </c>
      <c r="C11" s="61"/>
      <c r="D11" s="59"/>
      <c r="E11" s="59"/>
      <c r="F11" s="59"/>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row>
    <row r="12" spans="1:50" x14ac:dyDescent="0.35">
      <c r="A12" s="57"/>
      <c r="B12" s="70" t="str">
        <f>DISTRIBUCIÓN!A55</f>
        <v>Elaboración del plan de trabajo detallado</v>
      </c>
      <c r="C12" s="273"/>
      <c r="D12" s="273"/>
      <c r="E12" s="273"/>
      <c r="F12" s="273"/>
      <c r="G12" s="272"/>
      <c r="H12" s="272"/>
      <c r="I12" s="272"/>
      <c r="J12" s="272"/>
      <c r="K12" s="272"/>
      <c r="L12" s="272"/>
      <c r="M12" s="272"/>
      <c r="N12" s="272"/>
      <c r="O12" s="272"/>
      <c r="P12" s="272"/>
      <c r="Q12" s="272"/>
      <c r="R12" s="272"/>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row>
    <row r="13" spans="1:50" x14ac:dyDescent="0.35">
      <c r="A13" s="69"/>
      <c r="B13" s="267" t="str">
        <f>ENTREGABLES!A12</f>
        <v>FASE 2. Diagnóstico</v>
      </c>
      <c r="C13" s="268"/>
      <c r="D13" s="268"/>
      <c r="E13" s="268"/>
      <c r="F13" s="268"/>
      <c r="G13" s="268"/>
      <c r="H13" s="268"/>
      <c r="I13" s="268"/>
      <c r="J13" s="268"/>
      <c r="K13" s="268"/>
      <c r="L13" s="268"/>
      <c r="M13" s="269"/>
      <c r="N13" s="269"/>
      <c r="O13" s="269"/>
      <c r="P13" s="269"/>
      <c r="Q13" s="269"/>
      <c r="R13" s="269"/>
      <c r="S13" s="269"/>
      <c r="T13" s="269"/>
      <c r="U13" s="269"/>
      <c r="V13" s="269"/>
      <c r="W13" s="269"/>
      <c r="X13" s="269"/>
      <c r="Y13" s="269"/>
      <c r="Z13" s="269"/>
      <c r="AA13" s="269"/>
      <c r="AB13" s="269"/>
      <c r="AC13" s="269"/>
      <c r="AD13" s="269"/>
      <c r="AE13" s="61"/>
      <c r="AF13" s="61"/>
      <c r="AG13" s="61"/>
      <c r="AH13" s="61"/>
      <c r="AI13" s="61"/>
      <c r="AJ13" s="61"/>
      <c r="AK13" s="61"/>
      <c r="AL13" s="61"/>
      <c r="AM13" s="61"/>
      <c r="AN13" s="61"/>
      <c r="AO13" s="61"/>
      <c r="AP13" s="61"/>
      <c r="AQ13" s="61"/>
      <c r="AR13" s="61"/>
      <c r="AS13" s="61"/>
      <c r="AT13" s="61"/>
      <c r="AU13" s="61"/>
      <c r="AV13" s="61"/>
      <c r="AW13" s="61"/>
      <c r="AX13" s="61"/>
    </row>
    <row r="14" spans="1:50" x14ac:dyDescent="0.35">
      <c r="A14" s="57"/>
      <c r="B14" s="278" t="str">
        <f>DISTRIBUCIÓN!A60</f>
        <v>Caracterización Inicial</v>
      </c>
      <c r="C14" s="275"/>
      <c r="D14" s="275"/>
      <c r="E14" s="275"/>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61"/>
      <c r="AF14" s="61"/>
      <c r="AG14" s="61"/>
      <c r="AH14" s="61"/>
      <c r="AI14" s="61"/>
      <c r="AJ14" s="61"/>
      <c r="AK14" s="61"/>
      <c r="AL14" s="61"/>
      <c r="AM14" s="61"/>
      <c r="AN14" s="61"/>
      <c r="AO14" s="61"/>
      <c r="AP14" s="61"/>
      <c r="AQ14" s="61"/>
      <c r="AR14" s="61"/>
      <c r="AS14" s="61"/>
      <c r="AT14" s="61"/>
      <c r="AU14" s="61"/>
      <c r="AV14" s="61"/>
      <c r="AW14" s="61"/>
      <c r="AX14" s="61"/>
    </row>
    <row r="15" spans="1:50" x14ac:dyDescent="0.35">
      <c r="A15" s="57"/>
      <c r="B15" s="70" t="str">
        <f>ENTREGABLES!A14</f>
        <v xml:space="preserve">Paso 1. Diseño e implementación del proceso de participación </v>
      </c>
      <c r="C15" s="61"/>
      <c r="D15" s="61"/>
      <c r="E15" s="61"/>
      <c r="F15" s="61"/>
      <c r="G15" s="59"/>
      <c r="H15" s="59"/>
      <c r="I15" s="59"/>
      <c r="J15" s="59"/>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row>
    <row r="16" spans="1:50" x14ac:dyDescent="0.35">
      <c r="A16" s="57"/>
      <c r="B16" s="70" t="str">
        <f>ENTREGABLES!A15</f>
        <v>Paso 2. Definición de los tramos o sectores de análisis</v>
      </c>
      <c r="C16" s="61"/>
      <c r="D16" s="61"/>
      <c r="E16" s="61"/>
      <c r="F16" s="61"/>
      <c r="G16" s="59"/>
      <c r="H16" s="59"/>
      <c r="I16" s="59"/>
      <c r="J16" s="59"/>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row>
    <row r="17" spans="1:50" x14ac:dyDescent="0.35">
      <c r="A17" s="57"/>
      <c r="B17" s="70" t="str">
        <f>ENTREGABLES!A16</f>
        <v xml:space="preserve">Paso 3. Definición para la estructura conceptual para la modelación de calidad del agua </v>
      </c>
      <c r="C17" s="61"/>
      <c r="D17" s="61"/>
      <c r="E17" s="61"/>
      <c r="F17" s="61"/>
      <c r="G17" s="59"/>
      <c r="H17" s="59"/>
      <c r="I17" s="59"/>
      <c r="J17" s="59"/>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row>
    <row r="18" spans="1:50" x14ac:dyDescent="0.35">
      <c r="A18" s="57"/>
      <c r="B18" s="278" t="str">
        <f>DISTRIBUCIÓN!A64</f>
        <v>Trabajo de campo</v>
      </c>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61"/>
      <c r="AF18" s="61"/>
      <c r="AG18" s="61"/>
      <c r="AH18" s="61"/>
      <c r="AI18" s="61"/>
      <c r="AJ18" s="61"/>
      <c r="AK18" s="61"/>
      <c r="AL18" s="61"/>
      <c r="AM18" s="61"/>
      <c r="AN18" s="61"/>
      <c r="AO18" s="61"/>
      <c r="AP18" s="61"/>
      <c r="AQ18" s="61"/>
      <c r="AR18" s="61"/>
      <c r="AS18" s="61"/>
      <c r="AT18" s="61"/>
      <c r="AU18" s="61"/>
      <c r="AV18" s="61"/>
      <c r="AW18" s="61"/>
      <c r="AX18" s="61"/>
    </row>
    <row r="19" spans="1:50" x14ac:dyDescent="0.35">
      <c r="A19" s="57"/>
      <c r="B19" s="70" t="str">
        <f>DISTRIBUCIÓN!A65</f>
        <v xml:space="preserve">Paso 1. Censo de usuarios y consolidación de información </v>
      </c>
      <c r="C19" s="61"/>
      <c r="D19" s="61"/>
      <c r="E19" s="61"/>
      <c r="F19" s="61"/>
      <c r="G19" s="59"/>
      <c r="H19" s="59"/>
      <c r="I19" s="59"/>
      <c r="J19" s="59"/>
      <c r="K19" s="59"/>
      <c r="L19" s="59"/>
      <c r="M19" s="59"/>
      <c r="N19" s="59"/>
      <c r="O19" s="59"/>
      <c r="P19" s="59"/>
      <c r="Q19" s="59"/>
      <c r="R19" s="59"/>
      <c r="S19" s="59"/>
      <c r="T19" s="59"/>
      <c r="U19" s="59"/>
      <c r="V19" s="59"/>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row>
    <row r="20" spans="1:50" x14ac:dyDescent="0.35">
      <c r="A20" s="57"/>
      <c r="B20" s="70" t="str">
        <f>DISTRIBUCIÓN!A66</f>
        <v>Paso 2. Diseño y ejecución del plan de monitoreo</v>
      </c>
      <c r="C20" s="61"/>
      <c r="D20" s="61"/>
      <c r="E20" s="61"/>
      <c r="F20" s="61"/>
      <c r="G20" s="61"/>
      <c r="H20" s="61"/>
      <c r="I20" s="61"/>
      <c r="J20" s="61"/>
      <c r="K20" s="59"/>
      <c r="L20" s="59"/>
      <c r="M20" s="59"/>
      <c r="N20" s="59"/>
      <c r="O20" s="59"/>
      <c r="P20" s="59"/>
      <c r="Q20" s="59"/>
      <c r="R20" s="59"/>
      <c r="S20" s="61"/>
      <c r="T20" s="61"/>
      <c r="U20" s="61"/>
      <c r="V20" s="61"/>
      <c r="W20" s="59"/>
      <c r="X20" s="59"/>
      <c r="Y20" s="59"/>
      <c r="Z20" s="59"/>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row>
    <row r="21" spans="1:50" x14ac:dyDescent="0.35">
      <c r="A21" s="57"/>
      <c r="B21" s="278" t="str">
        <f>DISTRIBUCIÓN!A67</f>
        <v>Construcción de línea base</v>
      </c>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6"/>
      <c r="AA21" s="276"/>
      <c r="AB21" s="276"/>
      <c r="AC21" s="276"/>
      <c r="AD21" s="276"/>
      <c r="AE21" s="61"/>
      <c r="AF21" s="61"/>
      <c r="AG21" s="61"/>
      <c r="AH21" s="61"/>
      <c r="AI21" s="61"/>
      <c r="AJ21" s="61"/>
      <c r="AK21" s="61"/>
      <c r="AL21" s="61"/>
      <c r="AM21" s="61"/>
      <c r="AN21" s="61"/>
      <c r="AO21" s="61"/>
      <c r="AP21" s="61"/>
      <c r="AQ21" s="61"/>
      <c r="AR21" s="61"/>
      <c r="AS21" s="61"/>
      <c r="AT21" s="61"/>
      <c r="AU21" s="61"/>
      <c r="AV21" s="61"/>
      <c r="AW21" s="61"/>
      <c r="AX21" s="61"/>
    </row>
    <row r="22" spans="1:50" ht="15" customHeight="1" x14ac:dyDescent="0.35">
      <c r="A22" s="57"/>
      <c r="B22" s="70" t="str">
        <f>DISTRIBUCIÓN!A68</f>
        <v>Paso 1. Consolidación de usos existentes del recurso hídrico</v>
      </c>
      <c r="C22" s="61"/>
      <c r="D22" s="61"/>
      <c r="E22" s="61"/>
      <c r="F22" s="61"/>
      <c r="G22" s="61"/>
      <c r="H22" s="61"/>
      <c r="I22" s="61"/>
      <c r="J22" s="61"/>
      <c r="K22" s="61"/>
      <c r="L22" s="61"/>
      <c r="M22" s="61"/>
      <c r="N22" s="61"/>
      <c r="O22" s="61"/>
      <c r="P22" s="61"/>
      <c r="Q22" s="61"/>
      <c r="R22" s="61"/>
      <c r="S22" s="61"/>
      <c r="T22" s="61"/>
      <c r="U22" s="61"/>
      <c r="V22" s="61"/>
      <c r="W22" s="59"/>
      <c r="X22" s="59"/>
      <c r="Y22" s="59"/>
      <c r="Z22" s="59"/>
      <c r="AA22" s="59"/>
      <c r="AB22" s="59"/>
      <c r="AC22" s="59"/>
      <c r="AD22" s="59"/>
      <c r="AE22" s="61"/>
      <c r="AF22" s="61"/>
      <c r="AG22" s="61"/>
      <c r="AH22" s="61"/>
      <c r="AI22" s="61"/>
      <c r="AJ22" s="61"/>
      <c r="AK22" s="61"/>
      <c r="AL22" s="61"/>
      <c r="AM22" s="61"/>
      <c r="AN22" s="61"/>
      <c r="AO22" s="61"/>
      <c r="AP22" s="61"/>
      <c r="AQ22" s="61"/>
      <c r="AR22" s="61"/>
      <c r="AS22" s="61"/>
      <c r="AT22" s="61"/>
      <c r="AU22" s="61"/>
      <c r="AV22" s="61"/>
      <c r="AW22" s="61"/>
      <c r="AX22" s="61"/>
    </row>
    <row r="23" spans="1:50" ht="15" customHeight="1" x14ac:dyDescent="0.35">
      <c r="B23" s="70" t="str">
        <f>DISTRIBUCIÓN!A69</f>
        <v>Paso 2. Estimación de la oferta hídrica total y oferta hídrica total disponible e indicadores de estado</v>
      </c>
      <c r="C23" s="61"/>
      <c r="D23" s="61"/>
      <c r="E23" s="61"/>
      <c r="F23" s="61"/>
      <c r="G23" s="61"/>
      <c r="H23" s="61"/>
      <c r="I23" s="61"/>
      <c r="J23" s="61"/>
      <c r="K23" s="59"/>
      <c r="L23" s="59"/>
      <c r="M23" s="59"/>
      <c r="N23" s="59"/>
      <c r="O23" s="59"/>
      <c r="P23" s="59"/>
      <c r="Q23" s="59"/>
      <c r="R23" s="59"/>
      <c r="S23" s="59"/>
      <c r="T23" s="59"/>
      <c r="U23" s="59"/>
      <c r="V23" s="59"/>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row>
    <row r="24" spans="1:50" ht="15" customHeight="1" x14ac:dyDescent="0.35">
      <c r="B24" s="70" t="str">
        <f>DISTRIBUCIÓN!A70</f>
        <v>Paso 3. Identificación de zonas de recarga del acuífero o interacciones con las aguas superficiales</v>
      </c>
      <c r="C24" s="61"/>
      <c r="D24" s="61"/>
      <c r="E24" s="61"/>
      <c r="F24" s="61"/>
      <c r="G24" s="61"/>
      <c r="H24" s="61"/>
      <c r="I24" s="61"/>
      <c r="J24" s="61"/>
      <c r="K24" s="61"/>
      <c r="L24" s="61"/>
      <c r="M24" s="61"/>
      <c r="N24" s="61"/>
      <c r="O24" s="61"/>
      <c r="P24" s="61"/>
      <c r="Q24" s="61"/>
      <c r="R24" s="61"/>
      <c r="S24" s="59"/>
      <c r="T24" s="59"/>
      <c r="U24" s="59"/>
      <c r="V24" s="59"/>
      <c r="W24" s="59"/>
      <c r="X24" s="59"/>
      <c r="Y24" s="59"/>
      <c r="Z24" s="59"/>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row>
    <row r="25" spans="1:50" x14ac:dyDescent="0.35">
      <c r="B25" s="70" t="str">
        <f>DISTRIBUCIÓN!A71</f>
        <v>Paso 4. Elaboración de perfiles de calidad actual de cada cuerpo de agua</v>
      </c>
      <c r="C25" s="61"/>
      <c r="D25" s="61"/>
      <c r="E25" s="61"/>
      <c r="F25" s="61"/>
      <c r="G25" s="61"/>
      <c r="H25" s="61"/>
      <c r="I25" s="61"/>
      <c r="J25" s="61"/>
      <c r="K25" s="61"/>
      <c r="L25" s="61"/>
      <c r="M25" s="61"/>
      <c r="N25" s="61"/>
      <c r="O25" s="61"/>
      <c r="P25" s="61"/>
      <c r="Q25" s="61"/>
      <c r="R25" s="61"/>
      <c r="S25" s="59"/>
      <c r="T25" s="59"/>
      <c r="U25" s="59"/>
      <c r="V25" s="59"/>
      <c r="W25" s="61"/>
      <c r="X25" s="61"/>
      <c r="Y25" s="61"/>
      <c r="Z25" s="61"/>
      <c r="AA25" s="59"/>
      <c r="AB25" s="59"/>
      <c r="AC25" s="59"/>
      <c r="AD25" s="59"/>
      <c r="AE25" s="61"/>
      <c r="AF25" s="61"/>
      <c r="AG25" s="61"/>
      <c r="AH25" s="61"/>
      <c r="AI25" s="61"/>
      <c r="AJ25" s="61"/>
      <c r="AK25" s="61"/>
      <c r="AL25" s="61"/>
      <c r="AM25" s="61"/>
      <c r="AN25" s="61"/>
      <c r="AO25" s="61"/>
      <c r="AP25" s="61"/>
      <c r="AQ25" s="61"/>
      <c r="AR25" s="61"/>
      <c r="AS25" s="61"/>
      <c r="AT25" s="61"/>
      <c r="AU25" s="61"/>
      <c r="AV25" s="61"/>
      <c r="AW25" s="61"/>
      <c r="AX25" s="61"/>
    </row>
    <row r="26" spans="1:50" x14ac:dyDescent="0.35">
      <c r="B26" s="70" t="str">
        <f>DISTRIBUCIÓN!A72</f>
        <v>Paso 5. Estimación de indicadores de calidad de agua</v>
      </c>
      <c r="C26" s="61"/>
      <c r="D26" s="61"/>
      <c r="E26" s="61"/>
      <c r="F26" s="61"/>
      <c r="G26" s="61"/>
      <c r="H26" s="61"/>
      <c r="I26" s="61"/>
      <c r="J26" s="61"/>
      <c r="K26" s="61"/>
      <c r="L26" s="61"/>
      <c r="M26" s="61"/>
      <c r="N26" s="61"/>
      <c r="O26" s="61"/>
      <c r="P26" s="61"/>
      <c r="Q26" s="61"/>
      <c r="R26" s="61"/>
      <c r="S26" s="59"/>
      <c r="T26" s="59"/>
      <c r="U26" s="59"/>
      <c r="V26" s="59"/>
      <c r="W26" s="61"/>
      <c r="X26" s="61"/>
      <c r="Y26" s="61"/>
      <c r="Z26" s="61"/>
      <c r="AA26" s="59"/>
      <c r="AB26" s="59"/>
      <c r="AC26" s="59"/>
      <c r="AD26" s="59"/>
      <c r="AE26" s="61"/>
      <c r="AF26" s="61"/>
      <c r="AG26" s="61"/>
      <c r="AH26" s="61"/>
      <c r="AI26" s="61"/>
      <c r="AJ26" s="61"/>
      <c r="AK26" s="61"/>
      <c r="AL26" s="61"/>
      <c r="AM26" s="61"/>
      <c r="AN26" s="61"/>
      <c r="AO26" s="61"/>
      <c r="AP26" s="61"/>
      <c r="AQ26" s="61"/>
      <c r="AR26" s="61"/>
      <c r="AS26" s="61"/>
      <c r="AT26" s="61"/>
      <c r="AU26" s="61"/>
      <c r="AV26" s="61"/>
      <c r="AW26" s="61"/>
      <c r="AX26" s="61"/>
    </row>
    <row r="27" spans="1:50" x14ac:dyDescent="0.35">
      <c r="B27" s="70" t="str">
        <f>DISTRIBUCIÓN!A73</f>
        <v xml:space="preserve">Paso 6. Clasificación de los usos actuales </v>
      </c>
      <c r="C27" s="61"/>
      <c r="D27" s="61"/>
      <c r="E27" s="61"/>
      <c r="F27" s="61"/>
      <c r="G27" s="61"/>
      <c r="H27" s="61"/>
      <c r="I27" s="61"/>
      <c r="J27" s="61"/>
      <c r="K27" s="61"/>
      <c r="L27" s="61"/>
      <c r="M27" s="61"/>
      <c r="N27" s="61"/>
      <c r="O27" s="61"/>
      <c r="P27" s="61"/>
      <c r="Q27" s="61"/>
      <c r="R27" s="61"/>
      <c r="S27" s="61"/>
      <c r="T27" s="61"/>
      <c r="U27" s="61"/>
      <c r="V27" s="61"/>
      <c r="W27" s="59"/>
      <c r="X27" s="59"/>
      <c r="Y27" s="59"/>
      <c r="Z27" s="59"/>
      <c r="AA27" s="59"/>
      <c r="AB27" s="59"/>
      <c r="AC27" s="59"/>
      <c r="AD27" s="59"/>
      <c r="AE27" s="61"/>
      <c r="AF27" s="61"/>
      <c r="AG27" s="61"/>
      <c r="AH27" s="61"/>
      <c r="AI27" s="61"/>
      <c r="AJ27" s="61"/>
      <c r="AK27" s="61"/>
      <c r="AL27" s="61"/>
      <c r="AM27" s="61"/>
      <c r="AN27" s="61"/>
      <c r="AO27" s="61"/>
      <c r="AP27" s="61"/>
      <c r="AQ27" s="61"/>
      <c r="AR27" s="61"/>
      <c r="AS27" s="61"/>
      <c r="AT27" s="61"/>
      <c r="AU27" s="61"/>
      <c r="AV27" s="61"/>
      <c r="AW27" s="61"/>
      <c r="AX27" s="61"/>
    </row>
    <row r="28" spans="1:50" x14ac:dyDescent="0.35">
      <c r="B28" s="70" t="str">
        <f>DISTRIBUCIÓN!A74</f>
        <v>Paso 7. Estudio de demanda de agua</v>
      </c>
      <c r="C28" s="61"/>
      <c r="D28" s="61"/>
      <c r="E28" s="61"/>
      <c r="F28" s="61"/>
      <c r="G28" s="61"/>
      <c r="H28" s="61"/>
      <c r="I28" s="61"/>
      <c r="J28" s="61"/>
      <c r="K28" s="61"/>
      <c r="L28" s="61"/>
      <c r="M28" s="61"/>
      <c r="N28" s="61"/>
      <c r="O28" s="61"/>
      <c r="P28" s="61"/>
      <c r="Q28" s="61"/>
      <c r="R28" s="61"/>
      <c r="S28" s="61"/>
      <c r="T28" s="61"/>
      <c r="U28" s="61"/>
      <c r="V28" s="61"/>
      <c r="W28" s="59"/>
      <c r="X28" s="59"/>
      <c r="Y28" s="59"/>
      <c r="Z28" s="59"/>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row>
    <row r="29" spans="1:50" x14ac:dyDescent="0.35">
      <c r="B29" s="70" t="str">
        <f>DISTRIBUCIÓN!A75</f>
        <v>Paso 8. Indicadores de presión sobre el recurso hídrico superficial</v>
      </c>
      <c r="C29" s="61"/>
      <c r="D29" s="61"/>
      <c r="E29" s="61"/>
      <c r="F29" s="61"/>
      <c r="G29" s="61"/>
      <c r="H29" s="61"/>
      <c r="I29" s="61"/>
      <c r="J29" s="61"/>
      <c r="K29" s="61"/>
      <c r="L29" s="61"/>
      <c r="M29" s="61"/>
      <c r="N29" s="61"/>
      <c r="O29" s="61"/>
      <c r="P29" s="61"/>
      <c r="Q29" s="61"/>
      <c r="R29" s="61"/>
      <c r="S29" s="61"/>
      <c r="T29" s="61"/>
      <c r="U29" s="61"/>
      <c r="V29" s="61"/>
      <c r="W29" s="61"/>
      <c r="X29" s="61"/>
      <c r="Y29" s="61"/>
      <c r="Z29" s="61"/>
      <c r="AA29" s="59"/>
      <c r="AB29" s="59"/>
      <c r="AC29" s="59"/>
      <c r="AD29" s="59"/>
      <c r="AE29" s="61"/>
      <c r="AF29" s="61"/>
      <c r="AG29" s="61"/>
      <c r="AH29" s="61"/>
      <c r="AI29" s="61"/>
      <c r="AJ29" s="61"/>
      <c r="AK29" s="61"/>
      <c r="AL29" s="61"/>
      <c r="AM29" s="61"/>
      <c r="AN29" s="61"/>
      <c r="AO29" s="61"/>
      <c r="AP29" s="61"/>
      <c r="AQ29" s="61"/>
      <c r="AR29" s="61"/>
      <c r="AS29" s="61"/>
      <c r="AT29" s="61"/>
      <c r="AU29" s="61"/>
      <c r="AV29" s="61"/>
      <c r="AW29" s="61"/>
      <c r="AX29" s="61"/>
    </row>
    <row r="30" spans="1:50" x14ac:dyDescent="0.35">
      <c r="B30" s="70" t="str">
        <f>DISTRIBUCIÓN!A76</f>
        <v>Paso 9. Estimación cualitativa del riesgo</v>
      </c>
      <c r="C30" s="61"/>
      <c r="D30" s="61"/>
      <c r="E30" s="61"/>
      <c r="F30" s="61"/>
      <c r="G30" s="61"/>
      <c r="H30" s="61"/>
      <c r="I30" s="61"/>
      <c r="J30" s="61"/>
      <c r="K30" s="61"/>
      <c r="L30" s="61"/>
      <c r="M30" s="61"/>
      <c r="N30" s="61"/>
      <c r="O30" s="61"/>
      <c r="P30" s="61"/>
      <c r="Q30" s="61"/>
      <c r="R30" s="61"/>
      <c r="S30" s="61"/>
      <c r="T30" s="61"/>
      <c r="U30" s="61"/>
      <c r="V30" s="61"/>
      <c r="W30" s="61"/>
      <c r="X30" s="61"/>
      <c r="Y30" s="61"/>
      <c r="Z30" s="61"/>
      <c r="AA30" s="59"/>
      <c r="AB30" s="59"/>
      <c r="AC30" s="59"/>
      <c r="AD30" s="59"/>
      <c r="AE30" s="61"/>
      <c r="AF30" s="61"/>
      <c r="AG30" s="61"/>
      <c r="AH30" s="61"/>
      <c r="AI30" s="61"/>
      <c r="AJ30" s="61"/>
      <c r="AK30" s="61"/>
      <c r="AL30" s="61"/>
      <c r="AM30" s="61"/>
      <c r="AN30" s="61"/>
      <c r="AO30" s="61"/>
      <c r="AP30" s="61"/>
      <c r="AQ30" s="61"/>
      <c r="AR30" s="61"/>
      <c r="AS30" s="61"/>
      <c r="AT30" s="61"/>
      <c r="AU30" s="61"/>
      <c r="AV30" s="61"/>
      <c r="AW30" s="61"/>
      <c r="AX30" s="61"/>
    </row>
    <row r="31" spans="1:50" x14ac:dyDescent="0.35">
      <c r="B31" s="70" t="str">
        <f>DISTRIBUCIÓN!A77</f>
        <v xml:space="preserve">Paso 10. Análisis de problemáticas y conflictos derivados del recurso hídrico </v>
      </c>
      <c r="C31" s="61"/>
      <c r="D31" s="61"/>
      <c r="E31" s="61"/>
      <c r="F31" s="61"/>
      <c r="G31" s="61"/>
      <c r="H31" s="61"/>
      <c r="I31" s="61"/>
      <c r="J31" s="61"/>
      <c r="K31" s="59"/>
      <c r="L31" s="59"/>
      <c r="M31" s="59"/>
      <c r="N31" s="59"/>
      <c r="O31" s="59"/>
      <c r="P31" s="59"/>
      <c r="Q31" s="59"/>
      <c r="R31" s="59"/>
      <c r="S31" s="59"/>
      <c r="T31" s="59"/>
      <c r="U31" s="59"/>
      <c r="V31" s="59"/>
      <c r="W31" s="59"/>
      <c r="X31" s="59"/>
      <c r="Y31" s="59"/>
      <c r="Z31" s="59"/>
      <c r="AA31" s="59"/>
      <c r="AB31" s="59"/>
      <c r="AC31" s="59"/>
      <c r="AD31" s="59"/>
      <c r="AE31" s="61"/>
      <c r="AF31" s="61"/>
      <c r="AG31" s="61"/>
      <c r="AH31" s="61"/>
      <c r="AI31" s="61"/>
      <c r="AJ31" s="61"/>
      <c r="AK31" s="61"/>
      <c r="AL31" s="61"/>
      <c r="AM31" s="61"/>
      <c r="AN31" s="61"/>
      <c r="AO31" s="61"/>
      <c r="AP31" s="61"/>
      <c r="AQ31" s="61"/>
      <c r="AR31" s="61"/>
      <c r="AS31" s="61"/>
      <c r="AT31" s="61"/>
      <c r="AU31" s="61"/>
      <c r="AV31" s="61"/>
      <c r="AW31" s="61"/>
      <c r="AX31" s="61"/>
    </row>
    <row r="32" spans="1:50" x14ac:dyDescent="0.35">
      <c r="B32" s="70" t="str">
        <f>DISTRIBUCIÓN!A78</f>
        <v xml:space="preserve">Paso 11. Sistematización de la información resultado de la fase de diagnóstico </v>
      </c>
      <c r="C32" s="61"/>
      <c r="D32" s="61"/>
      <c r="E32" s="61"/>
      <c r="F32" s="61"/>
      <c r="G32" s="59"/>
      <c r="H32" s="59"/>
      <c r="I32" s="59"/>
      <c r="J32" s="59"/>
      <c r="K32" s="59"/>
      <c r="L32" s="59"/>
      <c r="M32" s="59"/>
      <c r="N32" s="59"/>
      <c r="O32" s="59"/>
      <c r="P32" s="59"/>
      <c r="Q32" s="59"/>
      <c r="R32" s="59"/>
      <c r="S32" s="59"/>
      <c r="T32" s="59"/>
      <c r="U32" s="59"/>
      <c r="V32" s="59"/>
      <c r="W32" s="59"/>
      <c r="X32" s="59"/>
      <c r="Y32" s="59"/>
      <c r="Z32" s="59"/>
      <c r="AA32" s="59"/>
      <c r="AB32" s="59"/>
      <c r="AC32" s="59"/>
      <c r="AD32" s="59"/>
      <c r="AE32" s="61"/>
      <c r="AF32" s="61"/>
      <c r="AG32" s="61"/>
      <c r="AH32" s="61"/>
      <c r="AI32" s="61"/>
      <c r="AJ32" s="61"/>
      <c r="AK32" s="61"/>
      <c r="AL32" s="61"/>
      <c r="AM32" s="61"/>
      <c r="AN32" s="61"/>
      <c r="AO32" s="61"/>
      <c r="AP32" s="61"/>
      <c r="AQ32" s="61"/>
      <c r="AR32" s="61"/>
      <c r="AS32" s="61"/>
      <c r="AT32" s="61"/>
      <c r="AU32" s="61"/>
      <c r="AV32" s="61"/>
      <c r="AW32" s="61"/>
      <c r="AX32" s="61"/>
    </row>
    <row r="33" spans="2:50" x14ac:dyDescent="0.35">
      <c r="B33" s="70" t="str">
        <f>DISTRIBUCIÓN!A79</f>
        <v>Paso 12. Socialización de los resultados de la fase de diagnóstico</v>
      </c>
      <c r="C33" s="61"/>
      <c r="D33" s="61"/>
      <c r="E33" s="61"/>
      <c r="F33" s="61"/>
      <c r="G33" s="61"/>
      <c r="H33" s="61"/>
      <c r="I33" s="61"/>
      <c r="J33" s="61"/>
      <c r="K33" s="61"/>
      <c r="L33" s="61"/>
      <c r="M33" s="61"/>
      <c r="N33" s="61"/>
      <c r="O33" s="61"/>
      <c r="P33" s="61"/>
      <c r="Q33" s="61"/>
      <c r="R33" s="61"/>
      <c r="S33" s="61"/>
      <c r="T33" s="61"/>
      <c r="U33" s="61"/>
      <c r="V33" s="61"/>
      <c r="W33" s="61"/>
      <c r="X33" s="61"/>
      <c r="Y33" s="61"/>
      <c r="Z33" s="61"/>
      <c r="AA33" s="59"/>
      <c r="AB33" s="59"/>
      <c r="AC33" s="59"/>
      <c r="AD33" s="59"/>
      <c r="AE33" s="61"/>
      <c r="AF33" s="61"/>
      <c r="AG33" s="61"/>
      <c r="AH33" s="61"/>
      <c r="AI33" s="61"/>
      <c r="AJ33" s="61"/>
      <c r="AK33" s="61"/>
      <c r="AL33" s="61"/>
      <c r="AM33" s="61"/>
      <c r="AN33" s="61"/>
      <c r="AO33" s="61"/>
      <c r="AP33" s="61"/>
      <c r="AQ33" s="61"/>
      <c r="AR33" s="61"/>
      <c r="AS33" s="61"/>
      <c r="AT33" s="61"/>
      <c r="AU33" s="61"/>
      <c r="AV33" s="61"/>
      <c r="AW33" s="61"/>
      <c r="AX33" s="61"/>
    </row>
    <row r="34" spans="2:50" x14ac:dyDescent="0.35">
      <c r="B34" s="267" t="str">
        <f>DISTRIBUCIÓN!A85</f>
        <v>FASE 3. Identificación de usos potenciales</v>
      </c>
      <c r="C34" s="274"/>
      <c r="D34" s="274"/>
      <c r="E34" s="274"/>
      <c r="F34" s="274"/>
      <c r="G34" s="274"/>
      <c r="H34" s="274"/>
      <c r="I34" s="274"/>
      <c r="J34" s="274"/>
      <c r="K34" s="274"/>
      <c r="L34" s="274"/>
      <c r="M34" s="274"/>
      <c r="N34" s="274"/>
      <c r="O34" s="274"/>
      <c r="P34" s="274"/>
      <c r="Q34" s="274"/>
      <c r="R34" s="274"/>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74"/>
      <c r="AR34" s="274"/>
      <c r="AS34" s="274"/>
      <c r="AT34" s="274"/>
      <c r="AU34" s="61"/>
      <c r="AV34" s="57"/>
      <c r="AW34" s="61"/>
      <c r="AX34" s="61"/>
    </row>
    <row r="35" spans="2:50" x14ac:dyDescent="0.35">
      <c r="B35" s="70" t="str">
        <f>DISTRIBUCIÓN!A86</f>
        <v>Paso 1: Proyección de la demanda de agua</v>
      </c>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9"/>
      <c r="AF35" s="59"/>
      <c r="AG35" s="59"/>
      <c r="AH35" s="59"/>
      <c r="AI35" s="59"/>
      <c r="AJ35" s="59"/>
      <c r="AK35" s="59"/>
      <c r="AL35" s="59"/>
      <c r="AM35" s="57"/>
      <c r="AN35" s="57"/>
      <c r="AO35" s="57"/>
      <c r="AP35" s="57"/>
      <c r="AQ35" s="57"/>
      <c r="AR35" s="57"/>
      <c r="AS35" s="57"/>
      <c r="AT35" s="57"/>
      <c r="AU35" s="57"/>
      <c r="AV35" s="61"/>
      <c r="AW35" s="57"/>
      <c r="AX35" s="57"/>
    </row>
    <row r="36" spans="2:50" x14ac:dyDescent="0.35">
      <c r="B36" s="70" t="str">
        <f>DISTRIBUCIÓN!A87</f>
        <v>Paso 2: Modelación de la calidad del agua y simulación de escenarios</v>
      </c>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9"/>
      <c r="AF36" s="59"/>
      <c r="AG36" s="59"/>
      <c r="AH36" s="59"/>
      <c r="AI36" s="59"/>
      <c r="AJ36" s="59"/>
      <c r="AK36" s="59"/>
      <c r="AL36" s="59"/>
      <c r="AM36" s="57"/>
      <c r="AN36" s="57"/>
      <c r="AO36" s="57"/>
      <c r="AP36" s="57"/>
      <c r="AQ36" s="57"/>
      <c r="AR36" s="57"/>
      <c r="AS36" s="57"/>
      <c r="AT36" s="57"/>
      <c r="AU36" s="57"/>
      <c r="AV36" s="61"/>
      <c r="AW36" s="57"/>
      <c r="AX36" s="57"/>
    </row>
    <row r="37" spans="2:50" x14ac:dyDescent="0.35">
      <c r="B37" s="70" t="str">
        <f>DISTRIBUCIÓN!A88</f>
        <v>Paso 3: Clasificación del cuerpo de agua e identificación de usos potenciales</v>
      </c>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9"/>
      <c r="AF37" s="59"/>
      <c r="AG37" s="59"/>
      <c r="AH37" s="59"/>
      <c r="AI37" s="59"/>
      <c r="AJ37" s="59"/>
      <c r="AK37" s="59"/>
      <c r="AL37" s="59"/>
      <c r="AM37" s="57"/>
      <c r="AN37" s="57"/>
      <c r="AO37" s="57"/>
      <c r="AP37" s="57"/>
      <c r="AQ37" s="57"/>
      <c r="AR37" s="57"/>
      <c r="AS37" s="57"/>
      <c r="AT37" s="57"/>
      <c r="AU37" s="57"/>
      <c r="AV37" s="61"/>
      <c r="AW37" s="57"/>
      <c r="AX37" s="57"/>
    </row>
    <row r="38" spans="2:50" ht="27" customHeight="1" x14ac:dyDescent="0.35">
      <c r="B38" s="396" t="str">
        <f>DISTRIBUCIÓN!A89</f>
        <v>Paso 4. Estimación cualitativa de riesgos asociados a reducción de la oferta y disponibilidad del recurso hídrico</v>
      </c>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9"/>
      <c r="AF38" s="59"/>
      <c r="AG38" s="59"/>
      <c r="AH38" s="59"/>
      <c r="AI38" s="59"/>
      <c r="AJ38" s="59"/>
      <c r="AK38" s="59"/>
      <c r="AL38" s="59"/>
      <c r="AM38" s="57"/>
      <c r="AN38" s="57"/>
      <c r="AO38" s="57"/>
      <c r="AP38" s="57"/>
      <c r="AQ38" s="57"/>
      <c r="AR38" s="57"/>
      <c r="AS38" s="57"/>
      <c r="AT38" s="57"/>
      <c r="AU38" s="57"/>
      <c r="AV38" s="61"/>
      <c r="AW38" s="57"/>
      <c r="AX38" s="57"/>
    </row>
    <row r="39" spans="2:50" x14ac:dyDescent="0.35">
      <c r="B39" s="70" t="str">
        <f>DISTRIBUCIÓN!A90</f>
        <v>Paso 5. Socialización de los resultados de la fase de Usos Potenciales</v>
      </c>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9"/>
      <c r="AJ39" s="59"/>
      <c r="AK39" s="59"/>
      <c r="AL39" s="59"/>
      <c r="AM39" s="57"/>
      <c r="AN39" s="57"/>
      <c r="AO39" s="57"/>
      <c r="AP39" s="57"/>
      <c r="AQ39" s="57"/>
      <c r="AR39" s="57"/>
      <c r="AS39" s="57"/>
      <c r="AT39" s="57"/>
      <c r="AU39" s="57"/>
      <c r="AV39" s="61"/>
      <c r="AW39" s="57"/>
      <c r="AX39" s="57"/>
    </row>
    <row r="40" spans="2:50" x14ac:dyDescent="0.35">
      <c r="B40" s="267" t="str">
        <f>DISTRIBUCIÓN!A95</f>
        <v>FASE 4. Elaboración del plan</v>
      </c>
      <c r="C40" s="274"/>
      <c r="D40" s="274"/>
      <c r="E40" s="274"/>
      <c r="F40" s="274"/>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c r="AN40" s="274"/>
      <c r="AO40" s="274"/>
      <c r="AP40" s="274"/>
      <c r="AQ40" s="274"/>
      <c r="AR40" s="274"/>
      <c r="AS40" s="274"/>
      <c r="AT40" s="274"/>
      <c r="AU40" s="274"/>
      <c r="AV40" s="274"/>
      <c r="AW40" s="274"/>
      <c r="AX40" s="274"/>
    </row>
    <row r="41" spans="2:50" x14ac:dyDescent="0.35">
      <c r="B41" s="70" t="str">
        <f>DISTRIBUCIÓN!A97</f>
        <v xml:space="preserve">Paso 1: Definición o ajuste de objetivos y criterios de calidad por uso </v>
      </c>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9"/>
      <c r="AN41" s="59"/>
      <c r="AO41" s="59"/>
      <c r="AP41" s="59"/>
      <c r="AQ41" s="57"/>
      <c r="AR41" s="57"/>
      <c r="AS41" s="57"/>
      <c r="AT41" s="57"/>
      <c r="AU41" s="57"/>
      <c r="AV41" s="57"/>
      <c r="AW41" s="57"/>
      <c r="AX41" s="57"/>
    </row>
    <row r="42" spans="2:50" x14ac:dyDescent="0.35">
      <c r="B42" s="70" t="str">
        <f>DISTRIBUCIÓN!A98</f>
        <v>Paso 2: Definición de prohibiciones y condicionamientos</v>
      </c>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9"/>
      <c r="AN42" s="59"/>
      <c r="AO42" s="59"/>
      <c r="AP42" s="59"/>
      <c r="AQ42" s="57"/>
      <c r="AR42" s="57"/>
      <c r="AS42" s="57"/>
      <c r="AT42" s="57"/>
      <c r="AU42" s="57"/>
      <c r="AV42" s="57"/>
      <c r="AW42" s="57"/>
      <c r="AX42" s="57"/>
    </row>
    <row r="43" spans="2:50" x14ac:dyDescent="0.35">
      <c r="B43" s="70" t="str">
        <f>DISTRIBUCIÓN!A99</f>
        <v>Paso 3: Definición o ajuste de metas quinquenales de reducción de cargas contaminantes</v>
      </c>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9"/>
      <c r="AN43" s="59"/>
      <c r="AO43" s="59"/>
      <c r="AP43" s="59"/>
      <c r="AQ43" s="57"/>
      <c r="AR43" s="57"/>
      <c r="AS43" s="57"/>
      <c r="AT43" s="57"/>
      <c r="AU43" s="57"/>
      <c r="AV43" s="57"/>
      <c r="AW43" s="57"/>
      <c r="AX43" s="57"/>
    </row>
    <row r="44" spans="2:50" x14ac:dyDescent="0.35">
      <c r="B44" s="70" t="str">
        <f>DISTRIBUCIÓN!A100</f>
        <v>Paso 4. Articulación con el POMCA</v>
      </c>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9"/>
      <c r="AN44" s="59"/>
      <c r="AO44" s="59"/>
      <c r="AP44" s="59"/>
      <c r="AQ44" s="57"/>
      <c r="AR44" s="57"/>
      <c r="AS44" s="57"/>
      <c r="AT44" s="57"/>
      <c r="AU44" s="57"/>
      <c r="AV44" s="57"/>
      <c r="AW44" s="57"/>
      <c r="AX44" s="57"/>
    </row>
    <row r="45" spans="2:50" x14ac:dyDescent="0.35">
      <c r="B45" s="70" t="str">
        <f>DISTRIBUCIÓN!A101</f>
        <v>Paso 5: Articulación con otros instrumentos</v>
      </c>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9"/>
      <c r="AN45" s="59"/>
      <c r="AO45" s="59"/>
      <c r="AP45" s="59"/>
      <c r="AQ45" s="57"/>
      <c r="AR45" s="57"/>
      <c r="AS45" s="57"/>
      <c r="AT45" s="57"/>
      <c r="AU45" s="57"/>
      <c r="AV45" s="57"/>
      <c r="AW45" s="57"/>
      <c r="AX45" s="57"/>
    </row>
    <row r="46" spans="2:50" x14ac:dyDescent="0.35">
      <c r="B46" s="70" t="str">
        <f>DISTRIBUCIÓN!A102</f>
        <v>Paso 6: Elaboración del programa de seguimiento y monitoreo al recurso hídrico</v>
      </c>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9"/>
      <c r="AR46" s="59"/>
      <c r="AS46" s="59"/>
      <c r="AT46" s="59"/>
      <c r="AU46" s="57"/>
      <c r="AV46" s="57"/>
      <c r="AW46" s="57"/>
      <c r="AX46" s="57"/>
    </row>
    <row r="47" spans="2:50" x14ac:dyDescent="0.35">
      <c r="B47" s="70" t="str">
        <f>DISTRIBUCIÓN!A103</f>
        <v>Paso 7: Estructuración de proyectos y actividades</v>
      </c>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9"/>
      <c r="AR47" s="59"/>
      <c r="AS47" s="59"/>
      <c r="AT47" s="59"/>
      <c r="AU47" s="57"/>
      <c r="AV47" s="57"/>
      <c r="AW47" s="57"/>
      <c r="AX47" s="57"/>
    </row>
    <row r="48" spans="2:50" x14ac:dyDescent="0.35">
      <c r="B48" s="70" t="str">
        <f>DISTRIBUCIÓN!A104</f>
        <v>Paso 8: Elaboración de informes</v>
      </c>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9"/>
      <c r="AR48" s="59"/>
      <c r="AS48" s="59"/>
      <c r="AT48" s="59"/>
      <c r="AU48" s="57"/>
      <c r="AV48" s="57"/>
      <c r="AW48" s="57"/>
      <c r="AX48" s="57"/>
    </row>
    <row r="49" spans="2:50" x14ac:dyDescent="0.35">
      <c r="B49" s="70" t="str">
        <f>DISTRIBUCIÓN!A105</f>
        <v>Paso 9: Socialización del PORH</v>
      </c>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9"/>
      <c r="AR49" s="59"/>
      <c r="AS49" s="59"/>
      <c r="AT49" s="59"/>
      <c r="AU49" s="57"/>
      <c r="AV49" s="57"/>
      <c r="AW49" s="57"/>
      <c r="AX49" s="57"/>
    </row>
    <row r="50" spans="2:50" x14ac:dyDescent="0.35">
      <c r="B50" s="70" t="str">
        <f>DISTRIBUCIÓN!A106</f>
        <v>Impresiones y publicaciones</v>
      </c>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9"/>
      <c r="AV50" s="59"/>
      <c r="AW50" s="59"/>
      <c r="AX50" s="59"/>
    </row>
  </sheetData>
  <mergeCells count="13">
    <mergeCell ref="AU1:AX1"/>
    <mergeCell ref="S1:V1"/>
    <mergeCell ref="AQ1:AT1"/>
    <mergeCell ref="B1:B2"/>
    <mergeCell ref="C1:F1"/>
    <mergeCell ref="G1:J1"/>
    <mergeCell ref="K1:N1"/>
    <mergeCell ref="O1:R1"/>
    <mergeCell ref="W1:Z1"/>
    <mergeCell ref="AA1:AD1"/>
    <mergeCell ref="AE1:AH1"/>
    <mergeCell ref="AI1:AL1"/>
    <mergeCell ref="AM1:AP1"/>
  </mergeCells>
  <phoneticPr fontId="5" type="noConversion"/>
  <hyperlinks>
    <hyperlink ref="B1:B2" location="'TABLERO CONTROL'!A1" display="ACTIVIDADES" xr:uid="{214D97B6-384E-4E7B-A794-423E35F6B52A}"/>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DA8C7-3591-446D-9DBD-8EE43666093E}">
  <dimension ref="A1:I31"/>
  <sheetViews>
    <sheetView showGridLines="0" workbookViewId="0">
      <selection activeCell="A11" sqref="A11:G11"/>
    </sheetView>
  </sheetViews>
  <sheetFormatPr defaultColWidth="11.59765625" defaultRowHeight="15" x14ac:dyDescent="0.4"/>
  <cols>
    <col min="1" max="1" width="44.59765625" style="4" customWidth="1"/>
    <col min="2" max="2" width="16.59765625" style="4" customWidth="1"/>
    <col min="3" max="3" width="20.1328125" style="4" customWidth="1"/>
    <col min="4" max="4" width="16.265625" style="4" customWidth="1"/>
    <col min="5" max="5" width="15" style="4" customWidth="1"/>
    <col min="6" max="6" width="17.86328125" style="4" customWidth="1"/>
    <col min="7" max="7" width="17.1328125" style="4" customWidth="1"/>
    <col min="8" max="8" width="24.73046875" style="4" customWidth="1"/>
    <col min="9" max="9" width="17.3984375" style="4" customWidth="1"/>
    <col min="10" max="16384" width="11.59765625" style="4"/>
  </cols>
  <sheetData>
    <row r="1" spans="1:9" ht="48" customHeight="1" x14ac:dyDescent="0.4">
      <c r="A1" s="788" t="str">
        <f>"INTERVENTORÍA "  &amp; ECONÓMICA!B2</f>
        <v>INTERVENTORÍA “FORMULACIÓN DEL PLAN DE ORDENAMIENTO DEL RECURSO HÍDRICO (PORH) DE LA CORRIENTE PRINCIPAL DE LA CUENCA DEL RÍO MEDIO Y BAJO SUÁREZ - NSS Y SUS PRINCIPALES TRIBUTARIOS EN LA JURISDICCIÓN DE LA CORPORACIÓN AUTÓNOMA REGIONAL DE SANTANDER (CAS)”</v>
      </c>
      <c r="B1" s="788"/>
      <c r="C1" s="788"/>
      <c r="D1" s="788"/>
      <c r="E1" s="788"/>
      <c r="F1" s="788"/>
      <c r="G1" s="788"/>
      <c r="H1" s="788"/>
    </row>
    <row r="2" spans="1:9" x14ac:dyDescent="0.4">
      <c r="A2" s="5" t="s">
        <v>0</v>
      </c>
      <c r="B2" s="5" t="s">
        <v>1</v>
      </c>
      <c r="C2" s="6" t="s">
        <v>2</v>
      </c>
      <c r="D2" s="5" t="s">
        <v>3</v>
      </c>
      <c r="E2" s="5" t="s">
        <v>4</v>
      </c>
      <c r="F2" s="5" t="s">
        <v>5</v>
      </c>
      <c r="G2" s="5" t="s">
        <v>6</v>
      </c>
      <c r="H2" s="7"/>
    </row>
    <row r="3" spans="1:9" ht="30" x14ac:dyDescent="0.4">
      <c r="A3" s="5" t="s">
        <v>19</v>
      </c>
      <c r="B3" s="5" t="s">
        <v>8</v>
      </c>
      <c r="C3" s="6" t="s">
        <v>32</v>
      </c>
      <c r="D3" s="5" t="s">
        <v>30</v>
      </c>
      <c r="E3" s="5" t="s">
        <v>605</v>
      </c>
      <c r="F3" s="5" t="s">
        <v>10</v>
      </c>
      <c r="G3" s="5" t="s">
        <v>587</v>
      </c>
      <c r="H3" s="5" t="s">
        <v>7</v>
      </c>
    </row>
    <row r="4" spans="1:9" x14ac:dyDescent="0.4">
      <c r="A4" s="7"/>
      <c r="B4" s="7"/>
      <c r="C4" s="8"/>
      <c r="D4" s="7"/>
      <c r="E4" s="7"/>
      <c r="F4" s="7"/>
      <c r="G4" s="7"/>
      <c r="H4" s="7"/>
    </row>
    <row r="5" spans="1:9" x14ac:dyDescent="0.4">
      <c r="A5" s="18" t="s">
        <v>522</v>
      </c>
      <c r="B5" s="9">
        <v>1</v>
      </c>
      <c r="C5" s="286">
        <v>6521487</v>
      </c>
      <c r="D5" s="19">
        <v>0.5</v>
      </c>
      <c r="E5" s="66">
        <f>FM!$D$37</f>
        <v>2.04</v>
      </c>
      <c r="F5" s="287">
        <f>+B5*C5*D5*E5</f>
        <v>6651916.7400000002</v>
      </c>
      <c r="G5" s="20">
        <v>12</v>
      </c>
      <c r="H5" s="94">
        <f>+F5*G5</f>
        <v>79823000.879999995</v>
      </c>
      <c r="I5" s="56"/>
    </row>
    <row r="6" spans="1:9" ht="27" x14ac:dyDescent="0.4">
      <c r="A6" s="21" t="s">
        <v>163</v>
      </c>
      <c r="B6" s="9">
        <v>1</v>
      </c>
      <c r="C6" s="288">
        <v>5837456</v>
      </c>
      <c r="D6" s="22">
        <v>0.5</v>
      </c>
      <c r="E6" s="66">
        <f>FM!$D$37</f>
        <v>2.04</v>
      </c>
      <c r="F6" s="287">
        <f t="shared" ref="F6:F9" si="0">+B6*C6*D6*E6</f>
        <v>5954205.1200000001</v>
      </c>
      <c r="G6" s="23">
        <v>12</v>
      </c>
      <c r="H6" s="94">
        <f t="shared" ref="H6:H10" si="1">+F6*G6</f>
        <v>71450461.439999998</v>
      </c>
      <c r="I6" s="56"/>
    </row>
    <row r="7" spans="1:9" x14ac:dyDescent="0.4">
      <c r="A7" s="18" t="s">
        <v>164</v>
      </c>
      <c r="B7" s="9">
        <v>1</v>
      </c>
      <c r="C7" s="286">
        <v>4272096</v>
      </c>
      <c r="D7" s="19">
        <v>0.5</v>
      </c>
      <c r="E7" s="66">
        <f>FM!$D$37</f>
        <v>2.04</v>
      </c>
      <c r="F7" s="287">
        <f t="shared" si="0"/>
        <v>4357537.92</v>
      </c>
      <c r="G7" s="20">
        <v>2</v>
      </c>
      <c r="H7" s="94">
        <f t="shared" si="1"/>
        <v>8715075.8399999999</v>
      </c>
      <c r="I7" s="56"/>
    </row>
    <row r="8" spans="1:9" x14ac:dyDescent="0.4">
      <c r="A8" s="18" t="s">
        <v>165</v>
      </c>
      <c r="B8" s="9">
        <v>1</v>
      </c>
      <c r="C8" s="286">
        <v>3401086</v>
      </c>
      <c r="D8" s="19">
        <v>0.6</v>
      </c>
      <c r="E8" s="66">
        <f>FM!$D$37</f>
        <v>2.04</v>
      </c>
      <c r="F8" s="287">
        <f t="shared" si="0"/>
        <v>4162929.264</v>
      </c>
      <c r="G8" s="20">
        <v>1</v>
      </c>
      <c r="H8" s="94">
        <f t="shared" si="1"/>
        <v>4162929.264</v>
      </c>
      <c r="I8" s="56"/>
    </row>
    <row r="9" spans="1:9" x14ac:dyDescent="0.4">
      <c r="A9" s="18" t="s">
        <v>158</v>
      </c>
      <c r="B9" s="9">
        <v>1</v>
      </c>
      <c r="C9" s="286">
        <v>3401086</v>
      </c>
      <c r="D9" s="19">
        <v>0.6</v>
      </c>
      <c r="E9" s="66">
        <f>FM!$D$37</f>
        <v>2.04</v>
      </c>
      <c r="F9" s="287">
        <f t="shared" si="0"/>
        <v>4162929.264</v>
      </c>
      <c r="G9" s="20">
        <v>5</v>
      </c>
      <c r="H9" s="94">
        <f t="shared" si="1"/>
        <v>20814646.32</v>
      </c>
      <c r="I9" s="56"/>
    </row>
    <row r="10" spans="1:9" x14ac:dyDescent="0.4">
      <c r="A10" s="289" t="s">
        <v>131</v>
      </c>
      <c r="B10" s="9">
        <v>1</v>
      </c>
      <c r="C10" s="286">
        <v>3401086</v>
      </c>
      <c r="D10" s="290">
        <v>0.6</v>
      </c>
      <c r="E10" s="66">
        <f>FM!$D$37</f>
        <v>2.04</v>
      </c>
      <c r="F10" s="287">
        <f>+B10*C10*D10*E10</f>
        <v>4162929.264</v>
      </c>
      <c r="G10" s="20">
        <v>6</v>
      </c>
      <c r="H10" s="94">
        <f t="shared" si="1"/>
        <v>24977575.583999999</v>
      </c>
      <c r="I10" s="56"/>
    </row>
    <row r="11" spans="1:9" x14ac:dyDescent="0.4">
      <c r="A11" s="789" t="s">
        <v>35</v>
      </c>
      <c r="B11" s="789"/>
      <c r="C11" s="789"/>
      <c r="D11" s="789"/>
      <c r="E11" s="789"/>
      <c r="F11" s="789"/>
      <c r="G11" s="789"/>
      <c r="H11" s="93">
        <f>SUM(H5:H10)</f>
        <v>209943689.32799998</v>
      </c>
    </row>
    <row r="12" spans="1:9" x14ac:dyDescent="0.4">
      <c r="A12" s="10"/>
      <c r="B12" s="11"/>
      <c r="C12" s="11"/>
      <c r="D12" s="11"/>
      <c r="E12" s="11"/>
      <c r="F12" s="11"/>
      <c r="G12" s="11"/>
      <c r="H12" s="12"/>
    </row>
    <row r="13" spans="1:9" x14ac:dyDescent="0.4">
      <c r="A13" s="790" t="s">
        <v>11</v>
      </c>
      <c r="B13" s="790"/>
      <c r="C13" s="790"/>
      <c r="D13" s="790"/>
      <c r="E13" s="790"/>
      <c r="F13" s="790"/>
      <c r="G13" s="790"/>
      <c r="H13" s="790"/>
    </row>
    <row r="14" spans="1:9" x14ac:dyDescent="0.4">
      <c r="A14" s="791"/>
      <c r="B14" s="792"/>
      <c r="C14" s="14"/>
      <c r="D14" s="13"/>
      <c r="E14" s="13"/>
      <c r="F14" s="13"/>
      <c r="G14" s="13"/>
      <c r="H14" s="15"/>
    </row>
    <row r="15" spans="1:9" ht="27.75" x14ac:dyDescent="0.4">
      <c r="A15" s="793" t="s">
        <v>0</v>
      </c>
      <c r="B15" s="793"/>
      <c r="C15" s="3" t="s">
        <v>29</v>
      </c>
      <c r="D15" s="3" t="s">
        <v>607</v>
      </c>
      <c r="E15" s="3" t="s">
        <v>605</v>
      </c>
      <c r="F15" s="3" t="s">
        <v>83</v>
      </c>
      <c r="G15" s="234" t="s">
        <v>82</v>
      </c>
      <c r="H15" s="3" t="s">
        <v>24</v>
      </c>
    </row>
    <row r="16" spans="1:9" x14ac:dyDescent="0.4">
      <c r="A16" s="787" t="s">
        <v>160</v>
      </c>
      <c r="B16" s="787"/>
      <c r="C16" s="235">
        <v>8</v>
      </c>
      <c r="D16" s="236">
        <v>0.25</v>
      </c>
      <c r="E16" s="88">
        <f>FM!D48</f>
        <v>1.0417000000000001</v>
      </c>
      <c r="F16" s="56">
        <f>'VIÁTICOS-TRANSP'!B12*30</f>
        <v>17066668.666666668</v>
      </c>
      <c r="G16" s="237">
        <f>F16*D16</f>
        <v>4266667.166666667</v>
      </c>
      <c r="H16" s="238">
        <f>G16*E16*C16</f>
        <v>35556697.500133336</v>
      </c>
    </row>
    <row r="17" spans="1:8" x14ac:dyDescent="0.4">
      <c r="A17" s="797" t="s">
        <v>601</v>
      </c>
      <c r="B17" s="798"/>
      <c r="C17" s="239" t="s">
        <v>85</v>
      </c>
      <c r="D17" s="239">
        <v>84</v>
      </c>
      <c r="E17" s="88">
        <f>FM!D48</f>
        <v>1.0417000000000001</v>
      </c>
      <c r="F17" s="240"/>
      <c r="G17" s="241">
        <f>'VIÁTICOS-TRANSP'!B13</f>
        <v>160000</v>
      </c>
      <c r="H17" s="238">
        <f>G17*D17*E17</f>
        <v>14000448.000000002</v>
      </c>
    </row>
    <row r="18" spans="1:8" x14ac:dyDescent="0.4">
      <c r="A18" s="799" t="s">
        <v>25</v>
      </c>
      <c r="B18" s="799"/>
      <c r="C18" s="799"/>
      <c r="D18" s="799"/>
      <c r="E18" s="799"/>
      <c r="F18" s="799"/>
      <c r="G18" s="799"/>
      <c r="H18" s="242">
        <f>SUM(H16:H17)</f>
        <v>49557145.500133336</v>
      </c>
    </row>
    <row r="19" spans="1:8" x14ac:dyDescent="0.4">
      <c r="A19" s="800"/>
      <c r="B19" s="801"/>
      <c r="C19" s="801"/>
      <c r="D19" s="801"/>
      <c r="E19" s="801"/>
      <c r="F19" s="801"/>
      <c r="G19" s="802"/>
      <c r="H19" s="803"/>
    </row>
    <row r="20" spans="1:8" x14ac:dyDescent="0.4">
      <c r="A20" s="804" t="s">
        <v>606</v>
      </c>
      <c r="B20" s="804"/>
      <c r="C20" s="804"/>
      <c r="D20" s="804"/>
      <c r="E20" s="804"/>
      <c r="F20" s="804"/>
      <c r="G20" s="805">
        <f>ROUND((H18+H11),0)</f>
        <v>259500835</v>
      </c>
      <c r="H20" s="805"/>
    </row>
    <row r="21" spans="1:8" x14ac:dyDescent="0.4">
      <c r="A21" s="794" t="s">
        <v>59</v>
      </c>
      <c r="B21" s="794"/>
      <c r="C21" s="794"/>
      <c r="D21" s="794"/>
      <c r="E21" s="794"/>
      <c r="F21" s="794"/>
      <c r="G21" s="795">
        <f>(G20)*0.19</f>
        <v>49305158.649999999</v>
      </c>
      <c r="H21" s="795"/>
    </row>
    <row r="22" spans="1:8" x14ac:dyDescent="0.4">
      <c r="A22" s="796" t="s">
        <v>21</v>
      </c>
      <c r="B22" s="796"/>
      <c r="C22" s="796"/>
      <c r="D22" s="796"/>
      <c r="E22" s="796"/>
      <c r="F22" s="796"/>
      <c r="G22" s="795">
        <f>ROUND((SUM(G20:H21)),0)</f>
        <v>308805994</v>
      </c>
      <c r="H22" s="795"/>
    </row>
    <row r="24" spans="1:8" x14ac:dyDescent="0.4">
      <c r="A24" s="17"/>
      <c r="H24" s="17"/>
    </row>
    <row r="25" spans="1:8" x14ac:dyDescent="0.4">
      <c r="D25" s="16"/>
    </row>
    <row r="28" spans="1:8" x14ac:dyDescent="0.4">
      <c r="E28" s="125"/>
    </row>
    <row r="31" spans="1:8" x14ac:dyDescent="0.4">
      <c r="A31" s="16"/>
    </row>
  </sheetData>
  <mergeCells count="16">
    <mergeCell ref="A21:F21"/>
    <mergeCell ref="G21:H21"/>
    <mergeCell ref="A22:F22"/>
    <mergeCell ref="G22:H22"/>
    <mergeCell ref="A17:B17"/>
    <mergeCell ref="A18:G18"/>
    <mergeCell ref="A19:F19"/>
    <mergeCell ref="G19:H19"/>
    <mergeCell ref="A20:F20"/>
    <mergeCell ref="G20:H20"/>
    <mergeCell ref="A16:B16"/>
    <mergeCell ref="A1:H1"/>
    <mergeCell ref="A11:G11"/>
    <mergeCell ref="A13:H13"/>
    <mergeCell ref="A14:B14"/>
    <mergeCell ref="A15:B15"/>
  </mergeCells>
  <hyperlinks>
    <hyperlink ref="A1:H1" location="'TABLERO CONTROL'!A1" display="'TABLERO CONTROL'!A1" xr:uid="{F506BA88-3A6B-433F-8063-56EA6F7B686F}"/>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7660D-6C27-4F92-B830-AD998F6AE9EB}">
  <sheetPr codeName="Hoja6"/>
  <dimension ref="A1:T114"/>
  <sheetViews>
    <sheetView showGridLines="0" zoomScale="80" zoomScaleNormal="80" workbookViewId="0">
      <selection activeCell="E20" sqref="E20"/>
    </sheetView>
  </sheetViews>
  <sheetFormatPr defaultColWidth="11.3984375" defaultRowHeight="12.75" x14ac:dyDescent="0.35"/>
  <cols>
    <col min="1" max="1" width="68.1328125" style="1" customWidth="1"/>
    <col min="2" max="2" width="8.86328125" style="63" customWidth="1"/>
    <col min="3" max="3" width="6.265625" style="63" customWidth="1"/>
    <col min="4" max="4" width="10.59765625" style="89" bestFit="1" customWidth="1"/>
    <col min="5" max="5" width="15.1328125" style="62" bestFit="1" customWidth="1"/>
    <col min="6" max="6" width="13.265625" style="1" bestFit="1" customWidth="1"/>
    <col min="7" max="9" width="14.265625" style="1" bestFit="1" customWidth="1"/>
    <col min="10" max="11" width="13.265625" style="1" bestFit="1" customWidth="1"/>
    <col min="12" max="16" width="13.265625" style="1" customWidth="1"/>
    <col min="17" max="17" width="13.265625" style="1" bestFit="1" customWidth="1"/>
    <col min="18" max="18" width="16" style="1" bestFit="1" customWidth="1"/>
    <col min="19" max="19" width="12.86328125" style="1" bestFit="1" customWidth="1"/>
    <col min="20" max="20" width="14" style="1" bestFit="1" customWidth="1"/>
    <col min="21" max="16384" width="11.3984375" style="1"/>
  </cols>
  <sheetData>
    <row r="1" spans="1:20" ht="15" customHeight="1" x14ac:dyDescent="0.35">
      <c r="A1" s="400" t="s">
        <v>45</v>
      </c>
      <c r="B1" s="127" t="s">
        <v>36</v>
      </c>
      <c r="C1" s="127" t="s">
        <v>28</v>
      </c>
      <c r="D1" s="128" t="s">
        <v>8</v>
      </c>
      <c r="E1" s="129" t="s">
        <v>24</v>
      </c>
      <c r="F1" s="130" t="s">
        <v>53</v>
      </c>
      <c r="G1" s="130" t="s">
        <v>54</v>
      </c>
      <c r="H1" s="130" t="s">
        <v>55</v>
      </c>
      <c r="I1" s="130" t="s">
        <v>56</v>
      </c>
      <c r="J1" s="130" t="s">
        <v>57</v>
      </c>
      <c r="K1" s="130" t="s">
        <v>58</v>
      </c>
      <c r="L1" s="130" t="s">
        <v>117</v>
      </c>
      <c r="M1" s="130" t="s">
        <v>177</v>
      </c>
      <c r="N1" s="130" t="s">
        <v>178</v>
      </c>
      <c r="O1" s="130" t="s">
        <v>180</v>
      </c>
      <c r="P1" s="130" t="s">
        <v>181</v>
      </c>
      <c r="Q1" s="130" t="s">
        <v>301</v>
      </c>
      <c r="R1" s="130" t="s">
        <v>24</v>
      </c>
    </row>
    <row r="2" spans="1:20" ht="16.5" customHeight="1" x14ac:dyDescent="0.35">
      <c r="A2" s="244" t="str">
        <f>DISTRIBUCIÓN!A46</f>
        <v>FASE 1. Declaratoria y Acciones Previas</v>
      </c>
      <c r="B2" s="245">
        <f>DISTRIBUCIÓN!E130</f>
        <v>0.104533858534662</v>
      </c>
      <c r="C2" s="246"/>
      <c r="D2" s="247"/>
      <c r="E2" s="248">
        <f>DISTRIBUCIÓN!D130</f>
        <v>27126623.575516667</v>
      </c>
      <c r="F2" s="257"/>
      <c r="G2" s="190"/>
      <c r="H2" s="190"/>
      <c r="I2" s="190"/>
      <c r="J2" s="190"/>
      <c r="K2" s="190"/>
      <c r="L2" s="190"/>
      <c r="M2" s="190"/>
      <c r="N2" s="190"/>
      <c r="O2" s="190"/>
      <c r="P2" s="190"/>
      <c r="Q2" s="190"/>
      <c r="R2" s="186">
        <f>SUM(R3:R11)</f>
        <v>27126623.575516663</v>
      </c>
      <c r="S2" s="222" t="str">
        <f>IF(ABS(R2-E2)&lt;0.001,"OK"," ERROR")</f>
        <v>OK</v>
      </c>
    </row>
    <row r="3" spans="1:20" s="221" customFormat="1" ht="17.25" customHeight="1" x14ac:dyDescent="0.35">
      <c r="A3" s="387" t="str">
        <f>DISTRIBUCIÓN!A141</f>
        <v>Revisión y aprobación de la localización del cuerpo de agua</v>
      </c>
      <c r="B3" s="259">
        <f>DISTRIBUCIÓN!V141</f>
        <v>8.9624975529141032E-3</v>
      </c>
      <c r="C3" s="132" t="s">
        <v>34</v>
      </c>
      <c r="D3" s="217">
        <v>1</v>
      </c>
      <c r="E3" s="260">
        <f>B3*$E$2/$B$2</f>
        <v>2325775.5986666665</v>
      </c>
      <c r="F3" s="356">
        <f>E3</f>
        <v>2325775.5986666665</v>
      </c>
      <c r="G3" s="388"/>
      <c r="H3" s="388"/>
      <c r="I3" s="388"/>
      <c r="J3" s="388"/>
      <c r="K3" s="388"/>
      <c r="L3" s="388"/>
      <c r="M3" s="388"/>
      <c r="N3" s="388"/>
      <c r="O3" s="388"/>
      <c r="P3" s="388"/>
      <c r="Q3" s="388"/>
      <c r="R3" s="385">
        <f>SUM(F3:Q3)</f>
        <v>2325775.5986666665</v>
      </c>
      <c r="S3" s="386" t="s">
        <v>146</v>
      </c>
    </row>
    <row r="4" spans="1:20" s="221" customFormat="1" ht="17.25" customHeight="1" x14ac:dyDescent="0.35">
      <c r="A4" s="387" t="str">
        <f>DISTRIBUCIÓN!A142</f>
        <v>Revisión y aprobación del Alistamiento Institucional</v>
      </c>
      <c r="B4" s="259">
        <f>DISTRIBUCIÓN!V142</f>
        <v>8.9624975529141032E-3</v>
      </c>
      <c r="C4" s="132" t="s">
        <v>34</v>
      </c>
      <c r="D4" s="217">
        <v>1</v>
      </c>
      <c r="E4" s="260">
        <f t="shared" ref="E4:E11" si="0">B4*$E$2/$B$2</f>
        <v>2325775.5986666665</v>
      </c>
      <c r="F4" s="356">
        <f t="shared" ref="F4:F11" si="1">E4</f>
        <v>2325775.5986666665</v>
      </c>
      <c r="G4" s="388"/>
      <c r="H4" s="388"/>
      <c r="I4" s="388"/>
      <c r="J4" s="388"/>
      <c r="K4" s="388"/>
      <c r="L4" s="388"/>
      <c r="M4" s="388"/>
      <c r="N4" s="388"/>
      <c r="O4" s="388"/>
      <c r="P4" s="388"/>
      <c r="Q4" s="388"/>
      <c r="R4" s="385">
        <f t="shared" ref="R4:R11" si="2">SUM(F4:Q4)</f>
        <v>2325775.5986666665</v>
      </c>
    </row>
    <row r="5" spans="1:20" s="221" customFormat="1" ht="18" customHeight="1" x14ac:dyDescent="0.35">
      <c r="A5" s="387" t="str">
        <f>DISTRIBUCIÓN!A143</f>
        <v>Revisión y aprobación de la Identificación de actores relevantes para el ordenamiento</v>
      </c>
      <c r="B5" s="259">
        <f>DISTRIBUCIÓN!V143</f>
        <v>2.0898187832131633E-2</v>
      </c>
      <c r="C5" s="132" t="s">
        <v>34</v>
      </c>
      <c r="D5" s="217">
        <v>1</v>
      </c>
      <c r="E5" s="260">
        <f t="shared" si="0"/>
        <v>5423097.1924249986</v>
      </c>
      <c r="F5" s="356">
        <f t="shared" si="1"/>
        <v>5423097.1924249986</v>
      </c>
      <c r="G5" s="388"/>
      <c r="H5" s="388"/>
      <c r="I5" s="388"/>
      <c r="J5" s="388"/>
      <c r="K5" s="388"/>
      <c r="L5" s="388"/>
      <c r="M5" s="388"/>
      <c r="N5" s="388"/>
      <c r="O5" s="388"/>
      <c r="P5" s="388"/>
      <c r="Q5" s="388"/>
      <c r="R5" s="385">
        <f t="shared" si="2"/>
        <v>5423097.1924249986</v>
      </c>
    </row>
    <row r="6" spans="1:20" s="221" customFormat="1" ht="17.25" customHeight="1" x14ac:dyDescent="0.35">
      <c r="A6" s="387" t="str">
        <f>DISTRIBUCIÓN!A144</f>
        <v>Revisión y aprobación de la recopilación de información de instrumentos existentes</v>
      </c>
      <c r="B6" s="259">
        <f>DISTRIBUCIÓN!V144</f>
        <v>8.9624975529141032E-3</v>
      </c>
      <c r="C6" s="132" t="s">
        <v>34</v>
      </c>
      <c r="D6" s="217">
        <v>1</v>
      </c>
      <c r="E6" s="260">
        <f t="shared" si="0"/>
        <v>2325775.5986666665</v>
      </c>
      <c r="F6" s="356">
        <f t="shared" si="1"/>
        <v>2325775.5986666665</v>
      </c>
      <c r="G6" s="388"/>
      <c r="H6" s="388"/>
      <c r="I6" s="388"/>
      <c r="J6" s="388"/>
      <c r="K6" s="388"/>
      <c r="L6" s="388"/>
      <c r="M6" s="388"/>
      <c r="N6" s="388"/>
      <c r="O6" s="388"/>
      <c r="P6" s="388"/>
      <c r="Q6" s="388"/>
      <c r="R6" s="385">
        <f t="shared" si="2"/>
        <v>2325775.5986666665</v>
      </c>
    </row>
    <row r="7" spans="1:20" s="221" customFormat="1" ht="34.5" customHeight="1" x14ac:dyDescent="0.35">
      <c r="A7" s="387" t="str">
        <f>DISTRIBUCIÓN!A145</f>
        <v>Revisión y aprobación de la recopilación de información de redes hidrometeorológicas hidrobiológicas y de calidad</v>
      </c>
      <c r="B7" s="259">
        <f>DISTRIBUCIÓN!V145</f>
        <v>8.9624975529141032E-3</v>
      </c>
      <c r="C7" s="132" t="s">
        <v>34</v>
      </c>
      <c r="D7" s="217">
        <v>1</v>
      </c>
      <c r="E7" s="260">
        <f t="shared" si="0"/>
        <v>2325775.5986666665</v>
      </c>
      <c r="F7" s="356">
        <f t="shared" si="1"/>
        <v>2325775.5986666665</v>
      </c>
      <c r="G7" s="388"/>
      <c r="H7" s="388"/>
      <c r="I7" s="388"/>
      <c r="J7" s="388"/>
      <c r="K7" s="388"/>
      <c r="L7" s="388"/>
      <c r="M7" s="388"/>
      <c r="N7" s="388"/>
      <c r="O7" s="388"/>
      <c r="P7" s="388"/>
      <c r="Q7" s="388"/>
      <c r="R7" s="385">
        <f t="shared" si="2"/>
        <v>2325775.5986666665</v>
      </c>
    </row>
    <row r="8" spans="1:20" s="221" customFormat="1" ht="33" customHeight="1" x14ac:dyDescent="0.35">
      <c r="A8" s="387" t="str">
        <f>DISTRIBUCIÓN!A146</f>
        <v>Revisión y aprobación de la identificación preliminar de usuarios y clasificación de los usos actuales</v>
      </c>
      <c r="B8" s="259">
        <f>DISTRIBUCIÓN!V146</f>
        <v>8.9624975529141032E-3</v>
      </c>
      <c r="C8" s="132" t="s">
        <v>34</v>
      </c>
      <c r="D8" s="217">
        <v>1</v>
      </c>
      <c r="E8" s="260">
        <f t="shared" si="0"/>
        <v>2325775.5986666665</v>
      </c>
      <c r="F8" s="356">
        <f t="shared" si="1"/>
        <v>2325775.5986666665</v>
      </c>
      <c r="G8" s="388"/>
      <c r="H8" s="388"/>
      <c r="I8" s="388"/>
      <c r="J8" s="388"/>
      <c r="K8" s="388"/>
      <c r="L8" s="388"/>
      <c r="M8" s="388"/>
      <c r="N8" s="388"/>
      <c r="O8" s="388"/>
      <c r="P8" s="388"/>
      <c r="Q8" s="388"/>
      <c r="R8" s="385">
        <f t="shared" si="2"/>
        <v>2325775.5986666665</v>
      </c>
    </row>
    <row r="9" spans="1:20" s="221" customFormat="1" ht="36" customHeight="1" x14ac:dyDescent="0.35">
      <c r="A9" s="387" t="str">
        <f>DISTRIBUCIÓN!A147</f>
        <v>Revisión y aprobación de la información asociada a los conflictos por uso del recurso hídrico</v>
      </c>
      <c r="B9" s="259">
        <f>DISTRIBUCIÓN!V147</f>
        <v>8.9624975529141032E-3</v>
      </c>
      <c r="C9" s="132" t="s">
        <v>34</v>
      </c>
      <c r="D9" s="217">
        <v>1</v>
      </c>
      <c r="E9" s="260">
        <f t="shared" si="0"/>
        <v>2325775.5986666665</v>
      </c>
      <c r="F9" s="356">
        <f t="shared" si="1"/>
        <v>2325775.5986666665</v>
      </c>
      <c r="G9" s="388"/>
      <c r="H9" s="388"/>
      <c r="I9" s="388"/>
      <c r="J9" s="388"/>
      <c r="K9" s="388"/>
      <c r="L9" s="388"/>
      <c r="M9" s="388"/>
      <c r="N9" s="388"/>
      <c r="O9" s="388"/>
      <c r="P9" s="388"/>
      <c r="Q9" s="388"/>
      <c r="R9" s="385">
        <f t="shared" si="2"/>
        <v>2325775.5986666665</v>
      </c>
    </row>
    <row r="10" spans="1:20" s="221" customFormat="1" ht="27" x14ac:dyDescent="0.35">
      <c r="A10" s="387" t="str">
        <f>DISTRIBUCIÓN!A148</f>
        <v>Revisión y aprobación del prediseño del plan de monitoreo de calidad y cantidad del recurso hídrico</v>
      </c>
      <c r="B10" s="259">
        <f>DISTRIBUCIÓN!V148</f>
        <v>2.0898187832131633E-2</v>
      </c>
      <c r="C10" s="132" t="s">
        <v>34</v>
      </c>
      <c r="D10" s="217">
        <v>1</v>
      </c>
      <c r="E10" s="260">
        <f t="shared" si="0"/>
        <v>5423097.1924249986</v>
      </c>
      <c r="F10" s="356">
        <f t="shared" si="1"/>
        <v>5423097.1924249986</v>
      </c>
      <c r="G10" s="356"/>
      <c r="H10" s="388"/>
      <c r="I10" s="388"/>
      <c r="J10" s="388"/>
      <c r="K10" s="388"/>
      <c r="L10" s="388"/>
      <c r="M10" s="388"/>
      <c r="N10" s="388"/>
      <c r="O10" s="388"/>
      <c r="P10" s="388"/>
      <c r="Q10" s="388"/>
      <c r="R10" s="388">
        <f t="shared" si="2"/>
        <v>5423097.1924249986</v>
      </c>
    </row>
    <row r="11" spans="1:20" s="221" customFormat="1" ht="13.5" x14ac:dyDescent="0.35">
      <c r="A11" s="387" t="str">
        <f>DISTRIBUCIÓN!A149</f>
        <v xml:space="preserve">Revisión y aprobación del Plan de Trabajo </v>
      </c>
      <c r="B11" s="259">
        <f>DISTRIBUCIÓN!V149</f>
        <v>8.9624975529141032E-3</v>
      </c>
      <c r="C11" s="132" t="s">
        <v>34</v>
      </c>
      <c r="D11" s="217">
        <v>1</v>
      </c>
      <c r="E11" s="260">
        <f t="shared" si="0"/>
        <v>2325775.5986666665</v>
      </c>
      <c r="F11" s="356">
        <f t="shared" si="1"/>
        <v>2325775.5986666665</v>
      </c>
      <c r="G11" s="356"/>
      <c r="H11" s="388"/>
      <c r="I11" s="388"/>
      <c r="J11" s="388"/>
      <c r="K11" s="388"/>
      <c r="L11" s="388"/>
      <c r="M11" s="388"/>
      <c r="N11" s="388"/>
      <c r="O11" s="388"/>
      <c r="P11" s="388"/>
      <c r="Q11" s="388"/>
      <c r="R11" s="385">
        <f t="shared" si="2"/>
        <v>2325775.5986666665</v>
      </c>
    </row>
    <row r="12" spans="1:20" ht="13.5" x14ac:dyDescent="0.35">
      <c r="A12" s="249" t="str">
        <f>DISTRIBUCIÓN!A59</f>
        <v>FASE 2. Diagnóstico</v>
      </c>
      <c r="B12" s="245">
        <f>DISTRIBUCIÓN!E131</f>
        <v>0.55671000000000004</v>
      </c>
      <c r="C12" s="246"/>
      <c r="D12" s="247"/>
      <c r="E12" s="248">
        <f>DISTRIBUCIÓN!D131</f>
        <v>144465527.78558332</v>
      </c>
      <c r="F12" s="257"/>
      <c r="G12" s="258"/>
      <c r="H12" s="258"/>
      <c r="I12" s="258"/>
      <c r="J12" s="258"/>
      <c r="K12" s="258"/>
      <c r="L12" s="258"/>
      <c r="M12" s="190"/>
      <c r="N12" s="190"/>
      <c r="O12" s="190"/>
      <c r="P12" s="190"/>
      <c r="Q12" s="190"/>
      <c r="R12" s="186">
        <f>SUM(R13:R32)</f>
        <v>144465527.78558335</v>
      </c>
      <c r="S12" s="222" t="str">
        <f>IF(ABS(R12-E12)&lt;0.001,"OK"," ERROR")</f>
        <v>OK</v>
      </c>
    </row>
    <row r="13" spans="1:20" ht="13.5" x14ac:dyDescent="0.35">
      <c r="A13" s="256" t="str">
        <f>DISTRIBUCIÓN!A155</f>
        <v>Caracterización Inicial</v>
      </c>
      <c r="B13" s="255"/>
      <c r="C13" s="255"/>
      <c r="D13" s="255"/>
      <c r="E13" s="255"/>
      <c r="F13" s="255"/>
      <c r="G13" s="255"/>
      <c r="H13" s="255"/>
      <c r="I13" s="255"/>
      <c r="J13" s="255"/>
      <c r="K13" s="255"/>
      <c r="L13" s="255"/>
      <c r="M13" s="134"/>
      <c r="N13" s="134"/>
      <c r="O13" s="134"/>
      <c r="P13" s="134"/>
      <c r="Q13" s="134"/>
      <c r="R13" s="190"/>
      <c r="S13" s="277" t="s">
        <v>146</v>
      </c>
    </row>
    <row r="14" spans="1:20" ht="31.5" customHeight="1" x14ac:dyDescent="0.35">
      <c r="A14" s="220" t="str">
        <f>DISTRIBUCIÓN!A156</f>
        <v xml:space="preserve">Revisión y aprobación del Paso 1. Diseño e implementación del proceso de participación </v>
      </c>
      <c r="B14" s="259">
        <f>DISTRIBUCIÓN!V156</f>
        <v>4.5619575230698005E-2</v>
      </c>
      <c r="C14" s="132" t="s">
        <v>34</v>
      </c>
      <c r="D14" s="133">
        <v>1</v>
      </c>
      <c r="E14" s="260">
        <f>B14*$E$12/$B$12</f>
        <v>11838221.000263892</v>
      </c>
      <c r="F14" s="194"/>
      <c r="G14" s="194">
        <f>$E$14</f>
        <v>11838221.000263892</v>
      </c>
      <c r="H14" s="194"/>
      <c r="I14" s="194"/>
      <c r="J14" s="194"/>
      <c r="K14" s="194"/>
      <c r="L14" s="194"/>
      <c r="M14" s="194"/>
      <c r="N14" s="194"/>
      <c r="O14" s="194"/>
      <c r="P14" s="194"/>
      <c r="Q14" s="194"/>
      <c r="R14" s="195">
        <f>SUM(F14:Q14)</f>
        <v>11838221.000263892</v>
      </c>
      <c r="S14" s="67"/>
      <c r="T14" s="67"/>
    </row>
    <row r="15" spans="1:20" ht="19.5" customHeight="1" x14ac:dyDescent="0.35">
      <c r="A15" s="390" t="str">
        <f>DISTRIBUCIÓN!A157</f>
        <v>Revisión y aprobación del Paso 2. Definición de los tramos o sectores de análisis</v>
      </c>
      <c r="B15" s="259">
        <f>DISTRIBUCIÓN!V157</f>
        <v>2.5726595328710196E-2</v>
      </c>
      <c r="C15" s="132" t="s">
        <v>34</v>
      </c>
      <c r="D15" s="133">
        <v>1</v>
      </c>
      <c r="E15" s="260">
        <f>B15*$E$12/$B$12</f>
        <v>6676018.3440000014</v>
      </c>
      <c r="F15" s="194"/>
      <c r="G15" s="194">
        <f>$E$15</f>
        <v>6676018.3440000014</v>
      </c>
      <c r="H15" s="194"/>
      <c r="I15" s="194"/>
      <c r="J15" s="194"/>
      <c r="K15" s="194"/>
      <c r="L15" s="194"/>
      <c r="M15" s="194"/>
      <c r="N15" s="194"/>
      <c r="O15" s="194"/>
      <c r="P15" s="194"/>
      <c r="Q15" s="194"/>
      <c r="R15" s="195">
        <f t="shared" ref="R15:R32" si="3">SUM(F15:Q15)</f>
        <v>6676018.3440000014</v>
      </c>
      <c r="S15" s="67"/>
      <c r="T15" s="67"/>
    </row>
    <row r="16" spans="1:20" ht="27" x14ac:dyDescent="0.35">
      <c r="A16" s="220" t="str">
        <f>DISTRIBUCIÓN!A158</f>
        <v xml:space="preserve">Revisión y aprobación del Paso 3. Definición para la estructura conceptual para la modelación de calidad del agua </v>
      </c>
      <c r="B16" s="259">
        <f>DISTRIBUCIÓN!V158</f>
        <v>4.5619575230698005E-2</v>
      </c>
      <c r="C16" s="132" t="s">
        <v>34</v>
      </c>
      <c r="D16" s="133">
        <v>1</v>
      </c>
      <c r="E16" s="260">
        <f>B16*$E$12/$B$12</f>
        <v>11838221.000263892</v>
      </c>
      <c r="F16" s="194"/>
      <c r="G16" s="194">
        <f>$E$16</f>
        <v>11838221.000263892</v>
      </c>
      <c r="H16" s="194"/>
      <c r="I16" s="194"/>
      <c r="J16" s="194"/>
      <c r="K16" s="194"/>
      <c r="L16" s="194"/>
      <c r="M16" s="194"/>
      <c r="N16" s="194"/>
      <c r="O16" s="194"/>
      <c r="P16" s="194"/>
      <c r="Q16" s="194"/>
      <c r="R16" s="195">
        <f t="shared" si="3"/>
        <v>11838221.000263892</v>
      </c>
      <c r="S16" s="67"/>
      <c r="T16" s="67"/>
    </row>
    <row r="17" spans="1:20" ht="13.5" x14ac:dyDescent="0.35">
      <c r="A17" s="256" t="str">
        <f>DISTRIBUCIÓN!A159</f>
        <v>Trabajo de campo</v>
      </c>
      <c r="B17" s="255"/>
      <c r="C17" s="255"/>
      <c r="D17" s="255"/>
      <c r="E17" s="255"/>
      <c r="F17" s="255"/>
      <c r="G17" s="255"/>
      <c r="H17" s="255"/>
      <c r="I17" s="255"/>
      <c r="J17" s="255"/>
      <c r="K17" s="255"/>
      <c r="L17" s="255"/>
      <c r="M17" s="194"/>
      <c r="N17" s="194"/>
      <c r="O17" s="194"/>
      <c r="P17" s="194"/>
      <c r="Q17" s="194"/>
      <c r="R17" s="195"/>
      <c r="S17" s="67"/>
      <c r="T17" s="67"/>
    </row>
    <row r="18" spans="1:20" ht="19.5" customHeight="1" x14ac:dyDescent="0.35">
      <c r="A18" s="220" t="str">
        <f>DISTRIBUCIÓN!A160</f>
        <v xml:space="preserve">Revisión y aprobación del Paso 1. Censo de usuarios y consolidación de información </v>
      </c>
      <c r="B18" s="259">
        <f>DISTRIBUCIÓN!V160</f>
        <v>4.5619575230698005E-2</v>
      </c>
      <c r="C18" s="132" t="s">
        <v>34</v>
      </c>
      <c r="D18" s="133">
        <v>1</v>
      </c>
      <c r="E18" s="260">
        <f>B18*$E$12/$B$12</f>
        <v>11838221.000263892</v>
      </c>
      <c r="F18" s="194"/>
      <c r="G18" s="194">
        <f>$E$18/4</f>
        <v>2959555.250065973</v>
      </c>
      <c r="H18" s="194">
        <f t="shared" ref="H18:J18" si="4">$E$18/4</f>
        <v>2959555.250065973</v>
      </c>
      <c r="I18" s="194">
        <f t="shared" si="4"/>
        <v>2959555.250065973</v>
      </c>
      <c r="J18" s="194">
        <f t="shared" si="4"/>
        <v>2959555.250065973</v>
      </c>
      <c r="K18" s="194"/>
      <c r="L18" s="194"/>
      <c r="M18" s="194"/>
      <c r="N18" s="194"/>
      <c r="O18" s="194"/>
      <c r="P18" s="194"/>
      <c r="Q18" s="194"/>
      <c r="R18" s="195">
        <f t="shared" si="3"/>
        <v>11838221.000263892</v>
      </c>
      <c r="S18" s="67"/>
      <c r="T18" s="67"/>
    </row>
    <row r="19" spans="1:20" ht="13.5" x14ac:dyDescent="0.35">
      <c r="A19" s="220" t="str">
        <f>DISTRIBUCIÓN!A161</f>
        <v>Revisión y aprobación del Paso 2. Diseño y ejecución del plan de monitoreo</v>
      </c>
      <c r="B19" s="259">
        <f>DISTRIBUCIÓN!V161</f>
        <v>4.5619575230698005E-2</v>
      </c>
      <c r="C19" s="132" t="s">
        <v>34</v>
      </c>
      <c r="D19" s="133">
        <v>1</v>
      </c>
      <c r="E19" s="260">
        <f>B19*$E$12/$B$12</f>
        <v>11838221.000263892</v>
      </c>
      <c r="F19" s="194"/>
      <c r="G19" s="194"/>
      <c r="H19" s="194">
        <f>$E$19/3</f>
        <v>3946073.6667546309</v>
      </c>
      <c r="I19" s="194">
        <f>$E$19/3</f>
        <v>3946073.6667546309</v>
      </c>
      <c r="J19" s="194"/>
      <c r="K19" s="194">
        <f>$E$19/3</f>
        <v>3946073.6667546309</v>
      </c>
      <c r="L19" s="194"/>
      <c r="M19" s="194"/>
      <c r="N19" s="194"/>
      <c r="O19" s="194"/>
      <c r="P19" s="194"/>
      <c r="Q19" s="194"/>
      <c r="R19" s="195">
        <f t="shared" si="3"/>
        <v>11838221.000263892</v>
      </c>
      <c r="S19" s="67"/>
      <c r="T19" s="67"/>
    </row>
    <row r="20" spans="1:20" ht="13.5" x14ac:dyDescent="0.35">
      <c r="A20" s="256" t="str">
        <f>DISTRIBUCIÓN!A162</f>
        <v>Construcción de línea base</v>
      </c>
      <c r="B20" s="256"/>
      <c r="C20" s="256"/>
      <c r="D20" s="256"/>
      <c r="E20" s="256"/>
      <c r="F20" s="256"/>
      <c r="G20" s="256"/>
      <c r="H20" s="256"/>
      <c r="I20" s="256"/>
      <c r="J20" s="256"/>
      <c r="K20" s="256"/>
      <c r="L20" s="256"/>
      <c r="M20" s="194"/>
      <c r="N20" s="194"/>
      <c r="O20" s="194"/>
      <c r="P20" s="194"/>
      <c r="Q20" s="194"/>
      <c r="R20" s="195"/>
      <c r="S20" s="67"/>
      <c r="T20" s="67"/>
    </row>
    <row r="21" spans="1:20" ht="21.75" customHeight="1" x14ac:dyDescent="0.35">
      <c r="A21" s="284" t="str">
        <f>DISTRIBUCIÓN!A163</f>
        <v>Revisión y aprobación del Paso 1. Consolidación de usos existentes del recurso hídrico</v>
      </c>
      <c r="B21" s="200">
        <f>DISTRIBUCIÓN!V163</f>
        <v>2.5726595328710196E-2</v>
      </c>
      <c r="C21" s="132" t="s">
        <v>34</v>
      </c>
      <c r="D21" s="133">
        <v>1</v>
      </c>
      <c r="E21" s="260">
        <f>B21*$E$12/$B$12</f>
        <v>6676018.3440000014</v>
      </c>
      <c r="F21" s="194"/>
      <c r="G21" s="194"/>
      <c r="H21" s="194"/>
      <c r="I21" s="194"/>
      <c r="J21" s="194"/>
      <c r="K21" s="194">
        <f>$E$21/2</f>
        <v>3338009.1720000007</v>
      </c>
      <c r="L21" s="194">
        <f>$E$21/2</f>
        <v>3338009.1720000007</v>
      </c>
      <c r="M21" s="194"/>
      <c r="N21" s="194"/>
      <c r="O21" s="194"/>
      <c r="P21" s="194"/>
      <c r="Q21" s="194"/>
      <c r="R21" s="195">
        <f t="shared" si="3"/>
        <v>6676018.3440000014</v>
      </c>
      <c r="S21" s="67"/>
      <c r="T21" s="67"/>
    </row>
    <row r="22" spans="1:20" ht="27" x14ac:dyDescent="0.35">
      <c r="A22" s="284" t="str">
        <f>DISTRIBUCIÓN!A164</f>
        <v>Revisión y aprobación del Paso 2. Estimación de la oferta hídrica total y oferta hídrica total disponible e indicadores de estado</v>
      </c>
      <c r="B22" s="200">
        <f>DISTRIBUCIÓN!V164</f>
        <v>2.5726595328710196E-2</v>
      </c>
      <c r="C22" s="132" t="s">
        <v>34</v>
      </c>
      <c r="D22" s="133">
        <v>1</v>
      </c>
      <c r="E22" s="260">
        <f>B22*$E$12/$B$12</f>
        <v>6676018.3440000014</v>
      </c>
      <c r="F22" s="194"/>
      <c r="G22" s="194"/>
      <c r="H22" s="194">
        <f>$E$22/3</f>
        <v>2225339.4480000003</v>
      </c>
      <c r="I22" s="194">
        <f>$E$22/3</f>
        <v>2225339.4480000003</v>
      </c>
      <c r="J22" s="194">
        <f>$E$22/3</f>
        <v>2225339.4480000003</v>
      </c>
      <c r="K22" s="194"/>
      <c r="L22" s="194"/>
      <c r="M22" s="194"/>
      <c r="N22" s="194"/>
      <c r="O22" s="194"/>
      <c r="P22" s="194"/>
      <c r="Q22" s="194"/>
      <c r="R22" s="195">
        <f t="shared" si="3"/>
        <v>6676018.3440000005</v>
      </c>
      <c r="S22" s="67"/>
      <c r="T22" s="67"/>
    </row>
    <row r="23" spans="1:20" ht="27" x14ac:dyDescent="0.35">
      <c r="A23" s="284" t="str">
        <f>DISTRIBUCIÓN!A165</f>
        <v>Revisión y aprobación del Paso 3. Identificación de zonas de recarga del acuífero o interacciones con las aguas superficiales</v>
      </c>
      <c r="B23" s="200">
        <f>DISTRIBUCIÓN!V165</f>
        <v>4.5619575230698005E-2</v>
      </c>
      <c r="C23" s="132" t="s">
        <v>34</v>
      </c>
      <c r="D23" s="133">
        <v>1</v>
      </c>
      <c r="E23" s="260">
        <f t="shared" ref="E23:E32" si="5">B23*$E$12/$B$12</f>
        <v>11838221.000263892</v>
      </c>
      <c r="F23" s="194"/>
      <c r="G23" s="194"/>
      <c r="H23" s="194"/>
      <c r="I23" s="194">
        <f>$E$23/2</f>
        <v>5919110.5001319461</v>
      </c>
      <c r="J23" s="194">
        <f>$E$23/2</f>
        <v>5919110.5001319461</v>
      </c>
      <c r="K23" s="194"/>
      <c r="L23" s="194"/>
      <c r="M23" s="194"/>
      <c r="N23" s="194"/>
      <c r="O23" s="194"/>
      <c r="P23" s="194"/>
      <c r="Q23" s="194"/>
      <c r="R23" s="195">
        <f t="shared" si="3"/>
        <v>11838221.000263892</v>
      </c>
      <c r="S23" s="67"/>
      <c r="T23" s="67"/>
    </row>
    <row r="24" spans="1:20" ht="27" x14ac:dyDescent="0.35">
      <c r="A24" s="284" t="str">
        <f>DISTRIBUCIÓN!A166</f>
        <v>Revisión y aprobación del Paso 4. Elaboración de perfiles de calidad actual de cada cuerpo de agua</v>
      </c>
      <c r="B24" s="200">
        <f>DISTRIBUCIÓN!V166</f>
        <v>2.5726595328710196E-2</v>
      </c>
      <c r="C24" s="132" t="s">
        <v>34</v>
      </c>
      <c r="D24" s="133">
        <v>1</v>
      </c>
      <c r="E24" s="260">
        <f t="shared" si="5"/>
        <v>6676018.3440000014</v>
      </c>
      <c r="F24" s="194"/>
      <c r="G24" s="194"/>
      <c r="H24" s="194"/>
      <c r="I24" s="194"/>
      <c r="J24" s="194">
        <f>$E$24/2</f>
        <v>3338009.1720000007</v>
      </c>
      <c r="K24" s="194"/>
      <c r="L24" s="194">
        <f>$E$24/2</f>
        <v>3338009.1720000007</v>
      </c>
      <c r="M24" s="194"/>
      <c r="N24" s="194"/>
      <c r="O24" s="194"/>
      <c r="P24" s="194"/>
      <c r="Q24" s="194"/>
      <c r="R24" s="195">
        <f t="shared" si="3"/>
        <v>6676018.3440000014</v>
      </c>
      <c r="S24" s="67"/>
      <c r="T24" s="67"/>
    </row>
    <row r="25" spans="1:20" ht="13.5" x14ac:dyDescent="0.35">
      <c r="A25" s="284" t="str">
        <f>DISTRIBUCIÓN!A167</f>
        <v>Revisión y aprobación del Paso 5. Estimación de indicadores de calidad de agua</v>
      </c>
      <c r="B25" s="200">
        <f>DISTRIBUCIÓN!V167</f>
        <v>2.5726595328710196E-2</v>
      </c>
      <c r="C25" s="132" t="s">
        <v>34</v>
      </c>
      <c r="D25" s="133">
        <v>1</v>
      </c>
      <c r="E25" s="260">
        <f t="shared" si="5"/>
        <v>6676018.3440000014</v>
      </c>
      <c r="F25" s="194"/>
      <c r="G25" s="194"/>
      <c r="H25" s="194"/>
      <c r="I25" s="194"/>
      <c r="J25" s="194">
        <f>$E$25/2</f>
        <v>3338009.1720000007</v>
      </c>
      <c r="K25" s="194"/>
      <c r="L25" s="194">
        <f>$E$25/2</f>
        <v>3338009.1720000007</v>
      </c>
      <c r="M25" s="194"/>
      <c r="N25" s="194"/>
      <c r="O25" s="194"/>
      <c r="P25" s="194"/>
      <c r="Q25" s="194"/>
      <c r="R25" s="195">
        <f t="shared" si="3"/>
        <v>6676018.3440000014</v>
      </c>
      <c r="S25" s="67"/>
      <c r="T25" s="67"/>
    </row>
    <row r="26" spans="1:20" ht="13.5" x14ac:dyDescent="0.35">
      <c r="A26" s="284" t="str">
        <f>DISTRIBUCIÓN!A168</f>
        <v xml:space="preserve">Revisión y aprobación del Paso 6. Clasificación de los usos actuales </v>
      </c>
      <c r="B26" s="200">
        <f>DISTRIBUCIÓN!V168</f>
        <v>2.5726595328710196E-2</v>
      </c>
      <c r="C26" s="132" t="s">
        <v>34</v>
      </c>
      <c r="D26" s="133">
        <v>1</v>
      </c>
      <c r="E26" s="260">
        <f t="shared" si="5"/>
        <v>6676018.3440000014</v>
      </c>
      <c r="F26" s="194"/>
      <c r="G26" s="194"/>
      <c r="H26" s="194"/>
      <c r="I26" s="194"/>
      <c r="J26" s="194"/>
      <c r="K26" s="194">
        <f>$E$26/2</f>
        <v>3338009.1720000007</v>
      </c>
      <c r="L26" s="194">
        <f>$E$26/2</f>
        <v>3338009.1720000007</v>
      </c>
      <c r="M26" s="194"/>
      <c r="N26" s="194"/>
      <c r="O26" s="194"/>
      <c r="P26" s="194"/>
      <c r="Q26" s="194"/>
      <c r="R26" s="195">
        <f t="shared" si="3"/>
        <v>6676018.3440000014</v>
      </c>
      <c r="S26" s="67"/>
      <c r="T26" s="67"/>
    </row>
    <row r="27" spans="1:20" ht="13.5" x14ac:dyDescent="0.35">
      <c r="A27" s="284" t="str">
        <f>DISTRIBUCIÓN!A169</f>
        <v>Revisión y aprobación del Paso 7. Estudio de demanda de agua</v>
      </c>
      <c r="B27" s="200">
        <f>DISTRIBUCIÓN!V169</f>
        <v>2.5726595328710196E-2</v>
      </c>
      <c r="C27" s="132" t="s">
        <v>34</v>
      </c>
      <c r="D27" s="133">
        <v>1</v>
      </c>
      <c r="E27" s="260">
        <f t="shared" si="5"/>
        <v>6676018.3440000014</v>
      </c>
      <c r="F27" s="194"/>
      <c r="G27" s="194"/>
      <c r="H27" s="194"/>
      <c r="I27" s="194"/>
      <c r="J27" s="194"/>
      <c r="K27" s="194">
        <f>E27</f>
        <v>6676018.3440000014</v>
      </c>
      <c r="L27" s="194"/>
      <c r="M27" s="194"/>
      <c r="N27" s="194"/>
      <c r="O27" s="194"/>
      <c r="P27" s="194"/>
      <c r="Q27" s="194"/>
      <c r="R27" s="195">
        <f t="shared" si="3"/>
        <v>6676018.3440000014</v>
      </c>
      <c r="S27" s="67"/>
      <c r="T27" s="67"/>
    </row>
    <row r="28" spans="1:20" ht="13.5" x14ac:dyDescent="0.35">
      <c r="A28" s="284" t="str">
        <f>DISTRIBUCIÓN!A170</f>
        <v>Revisión y aprobación del Paso 8. Indicadores de presión sobre el recurso hídrico superficial</v>
      </c>
      <c r="B28" s="200">
        <f>DISTRIBUCIÓN!V170</f>
        <v>2.5726595328710196E-2</v>
      </c>
      <c r="C28" s="132" t="s">
        <v>34</v>
      </c>
      <c r="D28" s="133">
        <v>1</v>
      </c>
      <c r="E28" s="260">
        <f t="shared" si="5"/>
        <v>6676018.3440000014</v>
      </c>
      <c r="F28" s="194"/>
      <c r="G28" s="194"/>
      <c r="H28" s="194"/>
      <c r="I28" s="194"/>
      <c r="J28" s="194"/>
      <c r="K28" s="194"/>
      <c r="L28" s="194">
        <f>E28</f>
        <v>6676018.3440000014</v>
      </c>
      <c r="M28" s="194"/>
      <c r="N28" s="194"/>
      <c r="O28" s="194"/>
      <c r="P28" s="194"/>
      <c r="Q28" s="194"/>
      <c r="R28" s="195">
        <f t="shared" si="3"/>
        <v>6676018.3440000014</v>
      </c>
      <c r="S28" s="67"/>
      <c r="T28" s="67"/>
    </row>
    <row r="29" spans="1:20" ht="13.5" x14ac:dyDescent="0.35">
      <c r="A29" s="284" t="str">
        <f>DISTRIBUCIÓN!A171</f>
        <v>Revisión y aprobación del Paso 9. Estimación cualitativa del riesgo</v>
      </c>
      <c r="B29" s="200">
        <f>DISTRIBUCIÓN!V171</f>
        <v>2.5726595328710196E-2</v>
      </c>
      <c r="C29" s="132" t="s">
        <v>34</v>
      </c>
      <c r="D29" s="133">
        <v>1</v>
      </c>
      <c r="E29" s="260">
        <f t="shared" si="5"/>
        <v>6676018.3440000014</v>
      </c>
      <c r="F29" s="194"/>
      <c r="G29" s="194"/>
      <c r="H29" s="194"/>
      <c r="I29" s="194"/>
      <c r="J29" s="194"/>
      <c r="K29" s="194"/>
      <c r="L29" s="194">
        <f>E29</f>
        <v>6676018.3440000014</v>
      </c>
      <c r="M29" s="194"/>
      <c r="N29" s="194"/>
      <c r="O29" s="194"/>
      <c r="P29" s="194"/>
      <c r="Q29" s="194"/>
      <c r="R29" s="195">
        <f t="shared" si="3"/>
        <v>6676018.3440000014</v>
      </c>
      <c r="S29" s="67"/>
      <c r="T29" s="67"/>
    </row>
    <row r="30" spans="1:20" ht="27" x14ac:dyDescent="0.35">
      <c r="A30" s="284" t="str">
        <f>DISTRIBUCIÓN!A172</f>
        <v xml:space="preserve">Revisión y aprobación del Paso 10. Análisis de problemáticas y conflictos derivados del recurso hídrico </v>
      </c>
      <c r="B30" s="200">
        <f>DISTRIBUCIÓN!V172</f>
        <v>2.5726595328710196E-2</v>
      </c>
      <c r="C30" s="132" t="s">
        <v>34</v>
      </c>
      <c r="D30" s="133">
        <v>1</v>
      </c>
      <c r="E30" s="260">
        <f t="shared" si="5"/>
        <v>6676018.3440000014</v>
      </c>
      <c r="F30" s="194"/>
      <c r="G30" s="194"/>
      <c r="H30" s="194">
        <f>$E$30/5</f>
        <v>1335203.6688000003</v>
      </c>
      <c r="I30" s="194">
        <f t="shared" ref="I30:L30" si="6">$E$30/5</f>
        <v>1335203.6688000003</v>
      </c>
      <c r="J30" s="194">
        <f t="shared" si="6"/>
        <v>1335203.6688000003</v>
      </c>
      <c r="K30" s="194">
        <f t="shared" si="6"/>
        <v>1335203.6688000003</v>
      </c>
      <c r="L30" s="194">
        <f t="shared" si="6"/>
        <v>1335203.6688000003</v>
      </c>
      <c r="M30" s="194"/>
      <c r="N30" s="194"/>
      <c r="O30" s="194"/>
      <c r="P30" s="194"/>
      <c r="Q30" s="194"/>
      <c r="R30" s="195">
        <f t="shared" si="3"/>
        <v>6676018.3440000014</v>
      </c>
      <c r="S30" s="67"/>
      <c r="T30" s="67"/>
    </row>
    <row r="31" spans="1:20" ht="27" x14ac:dyDescent="0.35">
      <c r="A31" s="284" t="str">
        <f>DISTRIBUCIÓN!A173</f>
        <v xml:space="preserve">Revisión y aprobación del Paso 11. Sistematización de la información resultado de la fase de diagnóstico </v>
      </c>
      <c r="B31" s="200">
        <f>DISTRIBUCIÓN!V173</f>
        <v>2.5726595328710196E-2</v>
      </c>
      <c r="C31" s="132" t="s">
        <v>34</v>
      </c>
      <c r="D31" s="133">
        <v>1</v>
      </c>
      <c r="E31" s="260">
        <f t="shared" si="5"/>
        <v>6676018.3440000014</v>
      </c>
      <c r="F31" s="194"/>
      <c r="G31" s="194">
        <f>$E$31/6</f>
        <v>1112669.7240000002</v>
      </c>
      <c r="H31" s="194">
        <f t="shared" ref="H31:L31" si="7">$E$31/6</f>
        <v>1112669.7240000002</v>
      </c>
      <c r="I31" s="194">
        <f t="shared" si="7"/>
        <v>1112669.7240000002</v>
      </c>
      <c r="J31" s="194">
        <f t="shared" si="7"/>
        <v>1112669.7240000002</v>
      </c>
      <c r="K31" s="194">
        <f t="shared" si="7"/>
        <v>1112669.7240000002</v>
      </c>
      <c r="L31" s="194">
        <f t="shared" si="7"/>
        <v>1112669.7240000002</v>
      </c>
      <c r="M31" s="194"/>
      <c r="N31" s="194"/>
      <c r="O31" s="194"/>
      <c r="P31" s="194"/>
      <c r="Q31" s="194"/>
      <c r="R31" s="195">
        <f t="shared" si="3"/>
        <v>6676018.3440000014</v>
      </c>
      <c r="S31" s="67"/>
      <c r="T31" s="67"/>
    </row>
    <row r="32" spans="1:20" ht="33.75" customHeight="1" x14ac:dyDescent="0.35">
      <c r="A32" s="284" t="str">
        <f>DISTRIBUCIÓN!A174</f>
        <v>Revisión y aprobación del Paso 12. Socialización de los resultados de la fase de diagnóstico</v>
      </c>
      <c r="B32" s="200">
        <f>DISTRIBUCIÓN!V174</f>
        <v>4.5619575230698005E-2</v>
      </c>
      <c r="C32" s="132" t="s">
        <v>34</v>
      </c>
      <c r="D32" s="133">
        <v>1</v>
      </c>
      <c r="E32" s="260">
        <f t="shared" si="5"/>
        <v>11838221.000263892</v>
      </c>
      <c r="F32" s="194"/>
      <c r="G32" s="194"/>
      <c r="H32" s="194"/>
      <c r="I32" s="194"/>
      <c r="J32" s="194"/>
      <c r="K32" s="194"/>
      <c r="L32" s="194">
        <f>E32</f>
        <v>11838221.000263892</v>
      </c>
      <c r="M32" s="194"/>
      <c r="N32" s="194"/>
      <c r="O32" s="194"/>
      <c r="P32" s="194"/>
      <c r="Q32" s="194"/>
      <c r="R32" s="195">
        <f t="shared" si="3"/>
        <v>11838221.000263892</v>
      </c>
      <c r="S32" s="67"/>
      <c r="T32" s="67"/>
    </row>
    <row r="33" spans="1:20" ht="13.5" x14ac:dyDescent="0.35">
      <c r="A33" s="250" t="str">
        <f>DISTRIBUCIÓN!A85</f>
        <v>FASE 3. Identificación de usos potenciales</v>
      </c>
      <c r="B33" s="251">
        <f>DISTRIBUCIÓN!E132</f>
        <v>0.13707014149498464</v>
      </c>
      <c r="C33" s="252"/>
      <c r="D33" s="252"/>
      <c r="E33" s="248">
        <f>DISTRIBUCIÓN!D132</f>
        <v>35569816.171516664</v>
      </c>
      <c r="F33" s="261"/>
      <c r="G33" s="261"/>
      <c r="H33" s="261"/>
      <c r="I33" s="261"/>
      <c r="J33" s="261"/>
      <c r="K33" s="261"/>
      <c r="L33" s="261"/>
      <c r="M33" s="261"/>
      <c r="N33" s="261"/>
      <c r="O33" s="194"/>
      <c r="P33" s="194"/>
      <c r="Q33" s="194"/>
      <c r="R33" s="186">
        <f>SUM(R34:R38)</f>
        <v>35569816.171516657</v>
      </c>
      <c r="S33" s="222" t="str">
        <f>IF(ABS(R33-E33)&lt;0.001,"OK"," ERROR")</f>
        <v>OK</v>
      </c>
      <c r="T33" s="67"/>
    </row>
    <row r="34" spans="1:20" ht="13.5" x14ac:dyDescent="0.35">
      <c r="A34" s="220" t="str">
        <f>DISTRIBUCIÓN!A180</f>
        <v>Revisión y aprobación del Paso 1: Proyección de la demanda de agua</v>
      </c>
      <c r="B34" s="259">
        <f>DISTRIBUCIÓN!V180</f>
        <v>2.2639752187309913E-2</v>
      </c>
      <c r="C34" s="132" t="s">
        <v>34</v>
      </c>
      <c r="D34" s="133">
        <v>1</v>
      </c>
      <c r="E34" s="260">
        <f>B34*$E$33/$B$33</f>
        <v>5875034.5967999985</v>
      </c>
      <c r="F34" s="134"/>
      <c r="G34" s="134"/>
      <c r="H34" s="134"/>
      <c r="I34" s="134"/>
      <c r="J34" s="194"/>
      <c r="K34" s="134"/>
      <c r="L34" s="134"/>
      <c r="M34" s="194">
        <f>E34/2</f>
        <v>2937517.2983999993</v>
      </c>
      <c r="N34" s="194">
        <f>E34/2</f>
        <v>2937517.2983999993</v>
      </c>
      <c r="O34" s="134"/>
      <c r="P34" s="134"/>
      <c r="Q34" s="134"/>
      <c r="R34" s="190">
        <f>SUM(F34:Q34)</f>
        <v>5875034.5967999985</v>
      </c>
      <c r="S34" s="277" t="s">
        <v>146</v>
      </c>
      <c r="T34" s="67"/>
    </row>
    <row r="35" spans="1:20" ht="33.75" customHeight="1" x14ac:dyDescent="0.35">
      <c r="A35" s="220" t="str">
        <f>DISTRIBUCIÓN!A181</f>
        <v>Revisión y aprobación del Paso 2: Modelación de la calidad del agua y simulación de escenarios</v>
      </c>
      <c r="B35" s="259">
        <f>DISTRIBUCIÓN!V181</f>
        <v>2.2639752187309913E-2</v>
      </c>
      <c r="C35" s="132" t="s">
        <v>34</v>
      </c>
      <c r="D35" s="133">
        <v>1</v>
      </c>
      <c r="E35" s="260">
        <f t="shared" ref="E35:E38" si="8">B35*$E$33/$B$33</f>
        <v>5875034.5967999985</v>
      </c>
      <c r="F35" s="134"/>
      <c r="G35" s="134"/>
      <c r="H35" s="134"/>
      <c r="I35" s="134"/>
      <c r="J35" s="194"/>
      <c r="K35" s="134"/>
      <c r="L35" s="134"/>
      <c r="M35" s="194">
        <f t="shared" ref="M35:M37" si="9">E35/2</f>
        <v>2937517.2983999993</v>
      </c>
      <c r="N35" s="194">
        <f t="shared" ref="N35:N37" si="10">E35/2</f>
        <v>2937517.2983999993</v>
      </c>
      <c r="O35" s="134"/>
      <c r="P35" s="134"/>
      <c r="Q35" s="134"/>
      <c r="R35" s="190">
        <f t="shared" ref="R35:R38" si="11">SUM(F35:Q35)</f>
        <v>5875034.5967999985</v>
      </c>
      <c r="S35" s="277"/>
      <c r="T35" s="67"/>
    </row>
    <row r="36" spans="1:20" ht="33.75" customHeight="1" x14ac:dyDescent="0.35">
      <c r="A36" s="220" t="str">
        <f>DISTRIBUCIÓN!A182</f>
        <v>Revisión y aprobación del Paso 3: Clasificación del cuerpo de agua e identificación de usos potenciales</v>
      </c>
      <c r="B36" s="259">
        <f>DISTRIBUCIÓN!V182</f>
        <v>2.2639752187309913E-2</v>
      </c>
      <c r="C36" s="132" t="s">
        <v>34</v>
      </c>
      <c r="D36" s="133">
        <v>1</v>
      </c>
      <c r="E36" s="260">
        <f t="shared" si="8"/>
        <v>5875034.5967999985</v>
      </c>
      <c r="F36" s="134"/>
      <c r="G36" s="134"/>
      <c r="H36" s="134"/>
      <c r="I36" s="134"/>
      <c r="J36" s="194"/>
      <c r="K36" s="134"/>
      <c r="L36" s="134"/>
      <c r="M36" s="194">
        <f t="shared" si="9"/>
        <v>2937517.2983999993</v>
      </c>
      <c r="N36" s="194">
        <f t="shared" si="10"/>
        <v>2937517.2983999993</v>
      </c>
      <c r="O36" s="134"/>
      <c r="P36" s="134"/>
      <c r="Q36" s="134"/>
      <c r="R36" s="190">
        <f t="shared" si="11"/>
        <v>5875034.5967999985</v>
      </c>
      <c r="T36" s="67"/>
    </row>
    <row r="37" spans="1:20" ht="33.75" customHeight="1" x14ac:dyDescent="0.35">
      <c r="A37" s="220" t="str">
        <f>DISTRIBUCIÓN!A183</f>
        <v>Revisión y aprobación del Paso 4. Estimación cualitativa de riesgos asociados a reducción de la oferta y disponibilidad del recurso hídrico</v>
      </c>
      <c r="B37" s="259">
        <f>DISTRIBUCIÓN!V183</f>
        <v>2.2639752187309913E-2</v>
      </c>
      <c r="C37" s="132" t="s">
        <v>34</v>
      </c>
      <c r="D37" s="133">
        <v>1</v>
      </c>
      <c r="E37" s="260">
        <f t="shared" si="8"/>
        <v>5875034.5967999985</v>
      </c>
      <c r="F37" s="134"/>
      <c r="G37" s="134"/>
      <c r="H37" s="134"/>
      <c r="I37" s="134"/>
      <c r="J37" s="194"/>
      <c r="K37" s="134"/>
      <c r="L37" s="134"/>
      <c r="M37" s="194">
        <f t="shared" si="9"/>
        <v>2937517.2983999993</v>
      </c>
      <c r="N37" s="194">
        <f t="shared" si="10"/>
        <v>2937517.2983999993</v>
      </c>
      <c r="O37" s="134"/>
      <c r="P37" s="134"/>
      <c r="Q37" s="134"/>
      <c r="R37" s="190">
        <f t="shared" si="11"/>
        <v>5875034.5967999985</v>
      </c>
      <c r="T37" s="67"/>
    </row>
    <row r="38" spans="1:20" ht="33.75" customHeight="1" x14ac:dyDescent="0.35">
      <c r="A38" s="220" t="str">
        <f>DISTRIBUCIÓN!A184</f>
        <v>Revisión y aprobación Paso 5. Socialización de los resultados de la fase de Usos Potenciales</v>
      </c>
      <c r="B38" s="259">
        <f>DISTRIBUCIÓN!V184</f>
        <v>4.6511132745744983E-2</v>
      </c>
      <c r="C38" s="132" t="s">
        <v>34</v>
      </c>
      <c r="D38" s="133">
        <v>1</v>
      </c>
      <c r="E38" s="260">
        <f t="shared" si="8"/>
        <v>12069677.784316666</v>
      </c>
      <c r="F38" s="134"/>
      <c r="G38" s="134"/>
      <c r="H38" s="134"/>
      <c r="I38" s="134"/>
      <c r="J38" s="194"/>
      <c r="K38" s="134"/>
      <c r="L38" s="134"/>
      <c r="M38" s="194"/>
      <c r="N38" s="194">
        <f>E38</f>
        <v>12069677.784316666</v>
      </c>
      <c r="O38" s="134"/>
      <c r="P38" s="134"/>
      <c r="Q38" s="134"/>
      <c r="R38" s="190">
        <f t="shared" si="11"/>
        <v>12069677.784316666</v>
      </c>
      <c r="T38" s="67"/>
    </row>
    <row r="39" spans="1:20" ht="13.5" x14ac:dyDescent="0.35">
      <c r="A39" s="250" t="str">
        <f>DISTRIBUCIÓN!A95</f>
        <v>FASE 4. Elaboración del plan</v>
      </c>
      <c r="B39" s="253">
        <f>DISTRIBUCIÓN!E133</f>
        <v>0.20169055446591014</v>
      </c>
      <c r="C39" s="250" t="s">
        <v>34</v>
      </c>
      <c r="D39" s="250">
        <v>1</v>
      </c>
      <c r="E39" s="254">
        <f>DISTRIBUCIÓN!D133</f>
        <v>52338867.295516662</v>
      </c>
      <c r="F39" s="250"/>
      <c r="G39" s="250"/>
      <c r="H39" s="250"/>
      <c r="I39" s="250"/>
      <c r="J39" s="250"/>
      <c r="K39" s="250"/>
      <c r="L39" s="250"/>
      <c r="M39" s="250"/>
      <c r="N39" s="250"/>
      <c r="O39" s="250"/>
      <c r="P39" s="250"/>
      <c r="Q39" s="250"/>
      <c r="R39" s="186">
        <f>SUM(R40:R49)</f>
        <v>52338867.295516677</v>
      </c>
      <c r="S39" s="222" t="str">
        <f>IF(ABS(R39-E39)&lt;0.001,"OK"," ERROR")</f>
        <v>OK</v>
      </c>
      <c r="T39" s="67"/>
    </row>
    <row r="40" spans="1:20" ht="27" x14ac:dyDescent="0.35">
      <c r="A40" s="243" t="str">
        <f>DISTRIBUCIÓN!A190</f>
        <v xml:space="preserve">Revisión y aprobación del Paso 1: Definición o ajuste de objetivos y criterios de calidad por uso </v>
      </c>
      <c r="B40" s="259">
        <f>DISTRIBUCIÓN!V190</f>
        <v>1.7781917390747509E-2</v>
      </c>
      <c r="C40" s="132" t="s">
        <v>34</v>
      </c>
      <c r="D40" s="133">
        <v>1</v>
      </c>
      <c r="E40" s="187">
        <f>B40*$E$33/$B$33</f>
        <v>4614422.4108000007</v>
      </c>
      <c r="F40" s="134"/>
      <c r="G40" s="134"/>
      <c r="H40" s="134"/>
      <c r="I40" s="134"/>
      <c r="J40" s="134"/>
      <c r="K40" s="134"/>
      <c r="L40" s="134"/>
      <c r="M40" s="134"/>
      <c r="N40" s="134"/>
      <c r="O40" s="134">
        <f>E40</f>
        <v>4614422.4108000007</v>
      </c>
      <c r="P40" s="134"/>
      <c r="Q40" s="134"/>
      <c r="R40" s="190">
        <f t="shared" ref="R40:R49" si="12">SUM(F40:Q40)</f>
        <v>4614422.4108000007</v>
      </c>
      <c r="S40" s="166" t="s">
        <v>146</v>
      </c>
      <c r="T40" s="67"/>
    </row>
    <row r="41" spans="1:20" ht="17.25" customHeight="1" x14ac:dyDescent="0.35">
      <c r="A41" s="243" t="str">
        <f>DISTRIBUCIÓN!A191</f>
        <v>Revisión y aprobación del Paso 2: Definición de prohibiciones y condicionamientos</v>
      </c>
      <c r="B41" s="259">
        <f>DISTRIBUCIÓN!V191</f>
        <v>1.7781917390747509E-2</v>
      </c>
      <c r="C41" s="132" t="s">
        <v>34</v>
      </c>
      <c r="D41" s="133">
        <v>1</v>
      </c>
      <c r="E41" s="187">
        <f t="shared" ref="E41:E48" si="13">B41*$E$33/$B$33</f>
        <v>4614422.4108000007</v>
      </c>
      <c r="F41" s="134"/>
      <c r="G41" s="134"/>
      <c r="H41" s="134"/>
      <c r="I41" s="134"/>
      <c r="J41" s="134"/>
      <c r="K41" s="134"/>
      <c r="L41" s="134"/>
      <c r="M41" s="134"/>
      <c r="N41" s="134"/>
      <c r="O41" s="134">
        <f t="shared" ref="O41:O44" si="14">E41</f>
        <v>4614422.4108000007</v>
      </c>
      <c r="P41" s="134"/>
      <c r="Q41" s="134"/>
      <c r="R41" s="190">
        <f t="shared" si="12"/>
        <v>4614422.4108000007</v>
      </c>
      <c r="S41" s="166"/>
      <c r="T41" s="67"/>
    </row>
    <row r="42" spans="1:20" ht="27" x14ac:dyDescent="0.35">
      <c r="A42" s="243" t="str">
        <f>DISTRIBUCIÓN!A192</f>
        <v>Revisión y aprobación del Paso 3: Definición o ajuste de metas quinquenales de reducción de cargas contaminantes</v>
      </c>
      <c r="B42" s="259">
        <f>DISTRIBUCIÓN!V192</f>
        <v>1.7781917390747509E-2</v>
      </c>
      <c r="C42" s="132" t="s">
        <v>34</v>
      </c>
      <c r="D42" s="133">
        <v>1</v>
      </c>
      <c r="E42" s="187">
        <f t="shared" si="13"/>
        <v>4614422.4108000007</v>
      </c>
      <c r="F42" s="134"/>
      <c r="G42" s="134"/>
      <c r="H42" s="134"/>
      <c r="I42" s="134"/>
      <c r="J42" s="134"/>
      <c r="K42" s="134"/>
      <c r="L42" s="134"/>
      <c r="M42" s="134"/>
      <c r="N42" s="134"/>
      <c r="O42" s="194">
        <f t="shared" si="14"/>
        <v>4614422.4108000007</v>
      </c>
      <c r="P42" s="194"/>
      <c r="Q42" s="194"/>
      <c r="R42" s="190">
        <f t="shared" si="12"/>
        <v>4614422.4108000007</v>
      </c>
      <c r="S42" s="166"/>
      <c r="T42" s="67"/>
    </row>
    <row r="43" spans="1:20" ht="13.5" x14ac:dyDescent="0.35">
      <c r="A43" s="243" t="str">
        <f>DISTRIBUCIÓN!A193</f>
        <v>Revisión y aprobación del Paso 4. Articulación con el POMCA</v>
      </c>
      <c r="B43" s="259">
        <f>DISTRIBUCIÓN!V193</f>
        <v>1.7781917390747509E-2</v>
      </c>
      <c r="C43" s="132" t="s">
        <v>34</v>
      </c>
      <c r="D43" s="133">
        <v>1</v>
      </c>
      <c r="E43" s="187">
        <f t="shared" si="13"/>
        <v>4614422.4108000007</v>
      </c>
      <c r="F43" s="134"/>
      <c r="G43" s="134"/>
      <c r="H43" s="134"/>
      <c r="I43" s="134"/>
      <c r="J43" s="134"/>
      <c r="K43" s="134"/>
      <c r="L43" s="134"/>
      <c r="M43" s="134"/>
      <c r="N43" s="134"/>
      <c r="O43" s="134">
        <f t="shared" si="14"/>
        <v>4614422.4108000007</v>
      </c>
      <c r="P43" s="134"/>
      <c r="Q43" s="134"/>
      <c r="R43" s="190">
        <f t="shared" si="12"/>
        <v>4614422.4108000007</v>
      </c>
      <c r="S43" s="166"/>
      <c r="T43" s="67"/>
    </row>
    <row r="44" spans="1:20" ht="13.5" x14ac:dyDescent="0.35">
      <c r="A44" s="243" t="str">
        <f>DISTRIBUCIÓN!A194</f>
        <v>Revisión y aprobación del Paso 5: Articulación con otros instrumentos</v>
      </c>
      <c r="B44" s="259">
        <f>DISTRIBUCIÓN!V194</f>
        <v>1.7781917390747509E-2</v>
      </c>
      <c r="C44" s="132" t="s">
        <v>34</v>
      </c>
      <c r="D44" s="133">
        <v>1</v>
      </c>
      <c r="E44" s="187">
        <f t="shared" si="13"/>
        <v>4614422.4108000007</v>
      </c>
      <c r="F44" s="134"/>
      <c r="G44" s="134"/>
      <c r="H44" s="134"/>
      <c r="I44" s="134"/>
      <c r="J44" s="134"/>
      <c r="K44" s="134"/>
      <c r="L44" s="134"/>
      <c r="M44" s="134"/>
      <c r="N44" s="134"/>
      <c r="O44" s="134">
        <f t="shared" si="14"/>
        <v>4614422.4108000007</v>
      </c>
      <c r="P44" s="134"/>
      <c r="Q44" s="134"/>
      <c r="R44" s="190">
        <f t="shared" si="12"/>
        <v>4614422.4108000007</v>
      </c>
      <c r="S44" s="166"/>
      <c r="T44" s="67"/>
    </row>
    <row r="45" spans="1:20" ht="27" x14ac:dyDescent="0.35">
      <c r="A45" s="243" t="str">
        <f>DISTRIBUCIÓN!A195</f>
        <v>Revisión y aprobación del Paso 6: Elaboración del programa de seguimiento y monitoreo al recurso hídrico</v>
      </c>
      <c r="B45" s="259">
        <f>DISTRIBUCIÓN!V195</f>
        <v>1.7781917390747509E-2</v>
      </c>
      <c r="C45" s="132" t="s">
        <v>34</v>
      </c>
      <c r="D45" s="133">
        <v>1</v>
      </c>
      <c r="E45" s="187">
        <f t="shared" si="13"/>
        <v>4614422.4108000007</v>
      </c>
      <c r="F45" s="134"/>
      <c r="G45" s="134"/>
      <c r="H45" s="134"/>
      <c r="I45" s="134"/>
      <c r="J45" s="134"/>
      <c r="K45" s="134"/>
      <c r="L45" s="134"/>
      <c r="M45" s="134"/>
      <c r="N45" s="134"/>
      <c r="O45" s="134"/>
      <c r="P45" s="134">
        <f>E45</f>
        <v>4614422.4108000007</v>
      </c>
      <c r="Q45" s="134"/>
      <c r="R45" s="190">
        <f t="shared" si="12"/>
        <v>4614422.4108000007</v>
      </c>
      <c r="S45" s="166"/>
      <c r="T45" s="67"/>
    </row>
    <row r="46" spans="1:20" ht="13.5" x14ac:dyDescent="0.35">
      <c r="A46" s="243" t="str">
        <f>DISTRIBUCIÓN!A196</f>
        <v>Revisión y aprobación del Paso 7: Estructuración de proyectos y actividades</v>
      </c>
      <c r="B46" s="259">
        <f>DISTRIBUCIÓN!V196</f>
        <v>1.7781917390747509E-2</v>
      </c>
      <c r="C46" s="132" t="s">
        <v>34</v>
      </c>
      <c r="D46" s="133">
        <v>1</v>
      </c>
      <c r="E46" s="187">
        <f t="shared" si="13"/>
        <v>4614422.4108000007</v>
      </c>
      <c r="F46" s="134"/>
      <c r="G46" s="134"/>
      <c r="H46" s="134"/>
      <c r="I46" s="134"/>
      <c r="J46" s="134"/>
      <c r="K46" s="134"/>
      <c r="L46" s="134"/>
      <c r="M46" s="134"/>
      <c r="N46" s="134"/>
      <c r="O46" s="134"/>
      <c r="P46" s="134">
        <f t="shared" ref="P46:P48" si="15">E46</f>
        <v>4614422.4108000007</v>
      </c>
      <c r="Q46" s="134"/>
      <c r="R46" s="190">
        <f t="shared" si="12"/>
        <v>4614422.4108000007</v>
      </c>
      <c r="S46" s="166"/>
      <c r="T46" s="67"/>
    </row>
    <row r="47" spans="1:20" ht="13.5" x14ac:dyDescent="0.35">
      <c r="A47" s="243" t="str">
        <f>DISTRIBUCIÓN!A197</f>
        <v>Revisión y aprobación del Paso 8: Elaboración de informes</v>
      </c>
      <c r="B47" s="259">
        <f>DISTRIBUCIÓN!V197</f>
        <v>1.7781917390747509E-2</v>
      </c>
      <c r="C47" s="132" t="s">
        <v>34</v>
      </c>
      <c r="D47" s="133">
        <v>1</v>
      </c>
      <c r="E47" s="187">
        <f t="shared" si="13"/>
        <v>4614422.4108000007</v>
      </c>
      <c r="F47" s="134"/>
      <c r="G47" s="134"/>
      <c r="H47" s="134"/>
      <c r="I47" s="134"/>
      <c r="J47" s="134"/>
      <c r="K47" s="134"/>
      <c r="L47" s="134"/>
      <c r="M47" s="134"/>
      <c r="N47" s="134"/>
      <c r="O47" s="134"/>
      <c r="P47" s="134">
        <f t="shared" si="15"/>
        <v>4614422.4108000007</v>
      </c>
      <c r="Q47" s="134"/>
      <c r="R47" s="190">
        <f t="shared" si="12"/>
        <v>4614422.4108000007</v>
      </c>
      <c r="T47" s="67"/>
    </row>
    <row r="48" spans="1:20" ht="13.5" x14ac:dyDescent="0.35">
      <c r="A48" s="243" t="str">
        <f>DISTRIBUCIÓN!A198</f>
        <v>Revisión y aprobación del Paso 9: Socialización del PORH</v>
      </c>
      <c r="B48" s="259">
        <f>DISTRIBUCIÓN!V198</f>
        <v>4.1653297949182572E-2</v>
      </c>
      <c r="C48" s="132" t="s">
        <v>34</v>
      </c>
      <c r="D48" s="133">
        <v>1</v>
      </c>
      <c r="E48" s="187">
        <f t="shared" si="13"/>
        <v>10809065.598316664</v>
      </c>
      <c r="F48" s="134"/>
      <c r="G48" s="134"/>
      <c r="H48" s="134"/>
      <c r="I48" s="134"/>
      <c r="J48" s="134"/>
      <c r="K48" s="134"/>
      <c r="L48" s="134"/>
      <c r="M48" s="134"/>
      <c r="N48" s="134"/>
      <c r="O48" s="134"/>
      <c r="P48" s="134">
        <f t="shared" si="15"/>
        <v>10809065.598316664</v>
      </c>
      <c r="Q48" s="134"/>
      <c r="R48" s="190">
        <f t="shared" si="12"/>
        <v>10809065.598316664</v>
      </c>
      <c r="T48" s="67"/>
    </row>
    <row r="49" spans="1:20" ht="13.5" x14ac:dyDescent="0.35">
      <c r="A49" s="243" t="str">
        <f>DISTRIBUCIÓN!A199</f>
        <v xml:space="preserve">Revisión y aprobación de informes y publicaciones </v>
      </c>
      <c r="B49" s="259">
        <f>DISTRIBUCIÓN!V199</f>
        <v>1.7781917390747509E-2</v>
      </c>
      <c r="C49" s="132" t="s">
        <v>34</v>
      </c>
      <c r="D49" s="133">
        <v>1</v>
      </c>
      <c r="E49" s="187">
        <f t="shared" ref="E49" si="16">B49*$E$33/$B$33</f>
        <v>4614422.4108000007</v>
      </c>
      <c r="F49" s="134"/>
      <c r="G49" s="134"/>
      <c r="H49" s="134"/>
      <c r="I49" s="134"/>
      <c r="J49" s="134"/>
      <c r="K49" s="134"/>
      <c r="L49" s="134"/>
      <c r="M49" s="134"/>
      <c r="N49" s="134"/>
      <c r="O49" s="134"/>
      <c r="P49" s="134"/>
      <c r="Q49" s="134">
        <f>E49</f>
        <v>4614422.4108000007</v>
      </c>
      <c r="R49" s="190">
        <f t="shared" si="12"/>
        <v>4614422.4108000007</v>
      </c>
      <c r="T49" s="67"/>
    </row>
    <row r="50" spans="1:20" s="64" customFormat="1" ht="13.5" x14ac:dyDescent="0.35">
      <c r="A50" s="135" t="s">
        <v>31</v>
      </c>
      <c r="B50" s="136"/>
      <c r="C50" s="136"/>
      <c r="D50" s="137"/>
      <c r="E50" s="191">
        <f>ROUND((E2+E12+E33+E39),0)</f>
        <v>259500835</v>
      </c>
      <c r="F50" s="138">
        <f>SUM(F2:F49)</f>
        <v>27126623.575516663</v>
      </c>
      <c r="G50" s="138">
        <f t="shared" ref="G50:Q50" si="17">SUM(G2:G49)</f>
        <v>34424685.318593755</v>
      </c>
      <c r="H50" s="138">
        <f t="shared" si="17"/>
        <v>11578841.757620605</v>
      </c>
      <c r="I50" s="138">
        <f t="shared" si="17"/>
        <v>17497952.257752553</v>
      </c>
      <c r="J50" s="138">
        <f t="shared" si="17"/>
        <v>20227896.93499792</v>
      </c>
      <c r="K50" s="138">
        <f t="shared" si="17"/>
        <v>19745983.747554634</v>
      </c>
      <c r="L50" s="138">
        <f t="shared" si="17"/>
        <v>40990167.769063897</v>
      </c>
      <c r="M50" s="138">
        <f t="shared" si="17"/>
        <v>11750069.193599997</v>
      </c>
      <c r="N50" s="138">
        <f t="shared" si="17"/>
        <v>23819746.977916665</v>
      </c>
      <c r="O50" s="138">
        <f t="shared" si="17"/>
        <v>23072112.054000005</v>
      </c>
      <c r="P50" s="138">
        <f t="shared" si="17"/>
        <v>24652332.830716666</v>
      </c>
      <c r="Q50" s="138">
        <f t="shared" si="17"/>
        <v>4614422.4108000007</v>
      </c>
      <c r="R50" s="188">
        <f>ROUND((SUM(R2+R12+R33+R39)),0)</f>
        <v>259500835</v>
      </c>
      <c r="S50" s="222" t="str">
        <f>IF(ABS(R50-E50)&lt;0.001,"OK"," ERROR")</f>
        <v>OK</v>
      </c>
    </row>
    <row r="51" spans="1:20" ht="13.5" x14ac:dyDescent="0.35">
      <c r="A51" s="139" t="s">
        <v>59</v>
      </c>
      <c r="B51" s="140"/>
      <c r="C51" s="140"/>
      <c r="D51" s="141"/>
      <c r="E51" s="192">
        <f>ROUND((E50*0.19),0)</f>
        <v>49305159</v>
      </c>
      <c r="F51" s="142">
        <f>F50*0.19</f>
        <v>5154058.4793481659</v>
      </c>
      <c r="G51" s="142">
        <f t="shared" ref="G51:Q51" si="18">G50*0.19</f>
        <v>6540690.2105328133</v>
      </c>
      <c r="H51" s="142">
        <f t="shared" si="18"/>
        <v>2199979.9339479147</v>
      </c>
      <c r="I51" s="142">
        <f t="shared" si="18"/>
        <v>3324610.9289729851</v>
      </c>
      <c r="J51" s="142">
        <f t="shared" si="18"/>
        <v>3843300.4176496048</v>
      </c>
      <c r="K51" s="142">
        <f t="shared" si="18"/>
        <v>3751736.9120353805</v>
      </c>
      <c r="L51" s="142">
        <f t="shared" si="18"/>
        <v>7788131.8761221403</v>
      </c>
      <c r="M51" s="142">
        <f t="shared" si="18"/>
        <v>2232513.1467839996</v>
      </c>
      <c r="N51" s="142">
        <f t="shared" si="18"/>
        <v>4525751.9258041661</v>
      </c>
      <c r="O51" s="142">
        <f t="shared" si="18"/>
        <v>4383701.2902600011</v>
      </c>
      <c r="P51" s="142">
        <f t="shared" si="18"/>
        <v>4683943.2378361663</v>
      </c>
      <c r="Q51" s="142">
        <f t="shared" si="18"/>
        <v>876740.25805200008</v>
      </c>
      <c r="R51" s="161"/>
      <c r="S51" s="166" t="s">
        <v>146</v>
      </c>
    </row>
    <row r="52" spans="1:20" ht="18.75" customHeight="1" x14ac:dyDescent="0.35">
      <c r="A52" s="144" t="s">
        <v>24</v>
      </c>
      <c r="B52" s="145"/>
      <c r="C52" s="145"/>
      <c r="D52" s="146"/>
      <c r="E52" s="193">
        <f>ROUND((SUM(E50:E51)),0)</f>
        <v>308805994</v>
      </c>
      <c r="F52" s="147">
        <f>SUM(F50:F51)</f>
        <v>32280682.054864831</v>
      </c>
      <c r="G52" s="147">
        <f t="shared" ref="G52:Q52" si="19">SUM(G50:G51)</f>
        <v>40965375.52912657</v>
      </c>
      <c r="H52" s="147">
        <f t="shared" si="19"/>
        <v>13778821.69156852</v>
      </c>
      <c r="I52" s="147">
        <f t="shared" si="19"/>
        <v>20822563.186725538</v>
      </c>
      <c r="J52" s="147">
        <f t="shared" si="19"/>
        <v>24071197.352647524</v>
      </c>
      <c r="K52" s="147">
        <f t="shared" si="19"/>
        <v>23497720.659590013</v>
      </c>
      <c r="L52" s="147">
        <f t="shared" si="19"/>
        <v>48778299.645186037</v>
      </c>
      <c r="M52" s="147">
        <f t="shared" si="19"/>
        <v>13982582.340383997</v>
      </c>
      <c r="N52" s="147">
        <f t="shared" si="19"/>
        <v>28345498.903720833</v>
      </c>
      <c r="O52" s="147">
        <f t="shared" si="19"/>
        <v>27455813.344260007</v>
      </c>
      <c r="P52" s="147">
        <f t="shared" si="19"/>
        <v>29336276.068552833</v>
      </c>
      <c r="Q52" s="147">
        <f t="shared" si="19"/>
        <v>5491162.6688520005</v>
      </c>
      <c r="R52" s="178">
        <f>ROUND(SUM(F52:Q52),0)</f>
        <v>308805993</v>
      </c>
    </row>
    <row r="53" spans="1:20" ht="16.5" customHeight="1" x14ac:dyDescent="0.35">
      <c r="E53" s="264" t="str">
        <f>IF(ABS(E52-INTERVENTORÍA!G22)&lt;0.001,"OK"," ERROR")</f>
        <v>OK</v>
      </c>
      <c r="F53" s="92"/>
      <c r="G53" s="92"/>
      <c r="H53" s="92"/>
      <c r="I53" s="92"/>
      <c r="J53" s="92"/>
      <c r="K53" s="92"/>
      <c r="L53" s="92"/>
      <c r="M53" s="92"/>
      <c r="N53" s="92"/>
      <c r="O53" s="92"/>
      <c r="P53" s="92"/>
      <c r="Q53" s="92"/>
      <c r="R53" s="222" t="str">
        <f>IF(ABS(E52-INTERVENTORÍA!G22)&lt;0.001,"OK"," ERROR")</f>
        <v>OK</v>
      </c>
    </row>
    <row r="54" spans="1:20" ht="13.5" x14ac:dyDescent="0.35">
      <c r="A54" s="65"/>
      <c r="E54" s="166" t="s">
        <v>146</v>
      </c>
      <c r="R54" s="166" t="s">
        <v>146</v>
      </c>
    </row>
    <row r="55" spans="1:20" x14ac:dyDescent="0.35">
      <c r="A55" s="65"/>
    </row>
    <row r="56" spans="1:20" x14ac:dyDescent="0.35">
      <c r="A56" s="120"/>
      <c r="B56" s="122"/>
    </row>
    <row r="57" spans="1:20" x14ac:dyDescent="0.35">
      <c r="A57" s="65"/>
      <c r="B57" s="122"/>
    </row>
    <row r="58" spans="1:20" x14ac:dyDescent="0.35">
      <c r="A58" s="65"/>
    </row>
    <row r="60" spans="1:20" x14ac:dyDescent="0.35">
      <c r="A60" s="65"/>
    </row>
    <row r="62" spans="1:20" x14ac:dyDescent="0.35">
      <c r="A62" s="121"/>
    </row>
    <row r="64" spans="1:20" x14ac:dyDescent="0.35">
      <c r="A64" s="65"/>
    </row>
    <row r="66" spans="1:20" x14ac:dyDescent="0.35">
      <c r="A66" s="65"/>
    </row>
    <row r="68" spans="1:20" s="63" customFormat="1" x14ac:dyDescent="0.35">
      <c r="A68" s="65"/>
      <c r="D68" s="89"/>
      <c r="E68" s="62"/>
      <c r="F68" s="1"/>
      <c r="G68" s="1"/>
      <c r="H68" s="1"/>
      <c r="I68" s="1"/>
      <c r="J68" s="1"/>
      <c r="K68" s="1"/>
      <c r="L68" s="1"/>
      <c r="M68" s="1"/>
      <c r="N68" s="1"/>
      <c r="O68" s="1"/>
      <c r="P68" s="1"/>
      <c r="Q68" s="1"/>
      <c r="R68" s="1"/>
      <c r="S68" s="1"/>
      <c r="T68" s="1"/>
    </row>
    <row r="70" spans="1:20" s="63" customFormat="1" x14ac:dyDescent="0.35">
      <c r="A70" s="65"/>
      <c r="D70" s="89"/>
      <c r="E70" s="62"/>
      <c r="F70" s="1"/>
      <c r="G70" s="1"/>
      <c r="H70" s="1"/>
      <c r="I70" s="1"/>
      <c r="J70" s="1"/>
      <c r="K70" s="1"/>
      <c r="L70" s="1"/>
      <c r="M70" s="1"/>
      <c r="N70" s="1"/>
      <c r="O70" s="1"/>
      <c r="P70" s="1"/>
      <c r="Q70" s="1"/>
      <c r="R70" s="1"/>
      <c r="S70" s="1"/>
      <c r="T70" s="1"/>
    </row>
    <row r="72" spans="1:20" s="63" customFormat="1" x14ac:dyDescent="0.35">
      <c r="A72" s="65"/>
      <c r="D72" s="89"/>
      <c r="E72" s="62"/>
      <c r="F72" s="1"/>
      <c r="G72" s="1"/>
      <c r="H72" s="1"/>
      <c r="I72" s="1"/>
      <c r="J72" s="1"/>
      <c r="K72" s="1"/>
      <c r="L72" s="1"/>
      <c r="M72" s="1"/>
      <c r="N72" s="1"/>
      <c r="O72" s="1"/>
      <c r="P72" s="1"/>
      <c r="Q72" s="1"/>
      <c r="R72" s="1"/>
      <c r="S72" s="1"/>
      <c r="T72" s="1"/>
    </row>
    <row r="74" spans="1:20" s="63" customFormat="1" x14ac:dyDescent="0.35">
      <c r="A74" s="65"/>
      <c r="D74" s="89"/>
      <c r="E74" s="62"/>
      <c r="F74" s="1"/>
      <c r="G74" s="1"/>
      <c r="H74" s="1"/>
      <c r="I74" s="1"/>
      <c r="J74" s="1"/>
      <c r="K74" s="1"/>
      <c r="L74" s="1"/>
      <c r="M74" s="1"/>
      <c r="N74" s="1"/>
      <c r="O74" s="1"/>
      <c r="P74" s="1"/>
      <c r="Q74" s="1"/>
      <c r="R74" s="1"/>
      <c r="S74" s="1"/>
      <c r="T74" s="1"/>
    </row>
    <row r="76" spans="1:20" s="63" customFormat="1" x14ac:dyDescent="0.35">
      <c r="A76" s="65"/>
      <c r="D76" s="89"/>
      <c r="E76" s="62"/>
      <c r="F76" s="1"/>
      <c r="G76" s="1"/>
      <c r="H76" s="1"/>
      <c r="I76" s="1"/>
      <c r="J76" s="1"/>
      <c r="K76" s="1"/>
      <c r="L76" s="1"/>
      <c r="M76" s="1"/>
      <c r="N76" s="1"/>
      <c r="O76" s="1"/>
      <c r="P76" s="1"/>
      <c r="Q76" s="1"/>
      <c r="R76" s="1"/>
      <c r="S76" s="1"/>
      <c r="T76" s="1"/>
    </row>
    <row r="78" spans="1:20" s="63" customFormat="1" x14ac:dyDescent="0.35">
      <c r="A78" s="65"/>
      <c r="D78" s="89"/>
      <c r="E78" s="62"/>
      <c r="F78" s="1"/>
      <c r="G78" s="1"/>
      <c r="H78" s="1"/>
      <c r="I78" s="1"/>
      <c r="J78" s="1"/>
      <c r="K78" s="1"/>
      <c r="L78" s="1"/>
      <c r="M78" s="1"/>
      <c r="N78" s="1"/>
      <c r="O78" s="1"/>
      <c r="P78" s="1"/>
      <c r="Q78" s="1"/>
      <c r="R78" s="1"/>
      <c r="S78" s="1"/>
      <c r="T78" s="1"/>
    </row>
    <row r="80" spans="1:20" s="63" customFormat="1" x14ac:dyDescent="0.35">
      <c r="A80" s="65"/>
      <c r="D80" s="89"/>
      <c r="E80" s="62"/>
      <c r="F80" s="1"/>
      <c r="G80" s="1"/>
      <c r="H80" s="1"/>
      <c r="I80" s="1"/>
      <c r="J80" s="1"/>
      <c r="K80" s="1"/>
      <c r="L80" s="1"/>
      <c r="M80" s="1"/>
      <c r="N80" s="1"/>
      <c r="O80" s="1"/>
      <c r="P80" s="1"/>
      <c r="Q80" s="1"/>
      <c r="R80" s="1"/>
      <c r="S80" s="1"/>
      <c r="T80" s="1"/>
    </row>
    <row r="82" spans="1:20" s="63" customFormat="1" x14ac:dyDescent="0.35">
      <c r="A82" s="65"/>
      <c r="D82" s="89"/>
      <c r="E82" s="62"/>
      <c r="F82" s="1"/>
      <c r="G82" s="1"/>
      <c r="H82" s="1"/>
      <c r="I82" s="1"/>
      <c r="J82" s="1"/>
      <c r="K82" s="1"/>
      <c r="L82" s="1"/>
      <c r="M82" s="1"/>
      <c r="N82" s="1"/>
      <c r="O82" s="1"/>
      <c r="P82" s="1"/>
      <c r="Q82" s="1"/>
      <c r="R82" s="1"/>
      <c r="S82" s="1"/>
      <c r="T82" s="1"/>
    </row>
    <row r="84" spans="1:20" s="63" customFormat="1" x14ac:dyDescent="0.35">
      <c r="A84" s="65"/>
      <c r="D84" s="89"/>
      <c r="E84" s="62"/>
      <c r="F84" s="1"/>
      <c r="G84" s="1"/>
      <c r="H84" s="1"/>
      <c r="I84" s="1"/>
      <c r="J84" s="1"/>
      <c r="K84" s="1"/>
      <c r="L84" s="1"/>
      <c r="M84" s="1"/>
      <c r="N84" s="1"/>
      <c r="O84" s="1"/>
      <c r="P84" s="1"/>
      <c r="Q84" s="1"/>
      <c r="R84" s="1"/>
      <c r="S84" s="1"/>
      <c r="T84" s="1"/>
    </row>
    <row r="86" spans="1:20" s="63" customFormat="1" x14ac:dyDescent="0.35">
      <c r="A86" s="65"/>
      <c r="D86" s="89"/>
      <c r="E86" s="62"/>
      <c r="F86" s="1"/>
      <c r="G86" s="1"/>
      <c r="H86" s="1"/>
      <c r="I86" s="1"/>
      <c r="J86" s="1"/>
      <c r="K86" s="1"/>
      <c r="L86" s="1"/>
      <c r="M86" s="1"/>
      <c r="N86" s="1"/>
      <c r="O86" s="1"/>
      <c r="P86" s="1"/>
      <c r="Q86" s="1"/>
      <c r="R86" s="1"/>
      <c r="S86" s="1"/>
      <c r="T86" s="1"/>
    </row>
    <row r="88" spans="1:20" s="63" customFormat="1" x14ac:dyDescent="0.35">
      <c r="A88" s="65"/>
      <c r="D88" s="89"/>
      <c r="E88" s="62"/>
      <c r="F88" s="1"/>
      <c r="G88" s="1"/>
      <c r="H88" s="1"/>
      <c r="I88" s="1"/>
      <c r="J88" s="1"/>
      <c r="K88" s="1"/>
      <c r="L88" s="1"/>
      <c r="M88" s="1"/>
      <c r="N88" s="1"/>
      <c r="O88" s="1"/>
      <c r="P88" s="1"/>
      <c r="Q88" s="1"/>
      <c r="R88" s="1"/>
      <c r="S88" s="1"/>
      <c r="T88" s="1"/>
    </row>
    <row r="90" spans="1:20" s="63" customFormat="1" x14ac:dyDescent="0.35">
      <c r="A90" s="65"/>
      <c r="D90" s="89"/>
      <c r="E90" s="62"/>
      <c r="F90" s="1"/>
      <c r="G90" s="1"/>
      <c r="H90" s="1"/>
      <c r="I90" s="1"/>
      <c r="J90" s="1"/>
      <c r="K90" s="1"/>
      <c r="L90" s="1"/>
      <c r="M90" s="1"/>
      <c r="N90" s="1"/>
      <c r="O90" s="1"/>
      <c r="P90" s="1"/>
      <c r="Q90" s="1"/>
      <c r="R90" s="1"/>
      <c r="S90" s="1"/>
      <c r="T90" s="1"/>
    </row>
    <row r="92" spans="1:20" s="63" customFormat="1" x14ac:dyDescent="0.35">
      <c r="A92" s="65"/>
      <c r="D92" s="89"/>
      <c r="E92" s="62"/>
      <c r="F92" s="1"/>
      <c r="G92" s="1"/>
      <c r="H92" s="1"/>
      <c r="I92" s="1"/>
      <c r="J92" s="1"/>
      <c r="K92" s="1"/>
      <c r="L92" s="1"/>
      <c r="M92" s="1"/>
      <c r="N92" s="1"/>
      <c r="O92" s="1"/>
      <c r="P92" s="1"/>
      <c r="Q92" s="1"/>
      <c r="R92" s="1"/>
      <c r="S92" s="1"/>
      <c r="T92" s="1"/>
    </row>
    <row r="94" spans="1:20" s="63" customFormat="1" x14ac:dyDescent="0.35">
      <c r="A94" s="65"/>
      <c r="D94" s="89"/>
      <c r="E94" s="62"/>
      <c r="F94" s="1"/>
      <c r="G94" s="1"/>
      <c r="H94" s="1"/>
      <c r="I94" s="1"/>
      <c r="J94" s="1"/>
      <c r="K94" s="1"/>
      <c r="L94" s="1"/>
      <c r="M94" s="1"/>
      <c r="N94" s="1"/>
      <c r="O94" s="1"/>
      <c r="P94" s="1"/>
      <c r="Q94" s="1"/>
      <c r="R94" s="1"/>
      <c r="S94" s="1"/>
      <c r="T94" s="1"/>
    </row>
    <row r="96" spans="1:20" s="63" customFormat="1" x14ac:dyDescent="0.35">
      <c r="A96" s="65"/>
      <c r="D96" s="89"/>
      <c r="E96" s="62"/>
      <c r="F96" s="1"/>
      <c r="G96" s="1"/>
      <c r="H96" s="1"/>
      <c r="I96" s="1"/>
      <c r="J96" s="1"/>
      <c r="K96" s="1"/>
      <c r="L96" s="1"/>
      <c r="M96" s="1"/>
      <c r="N96" s="1"/>
      <c r="O96" s="1"/>
      <c r="P96" s="1"/>
      <c r="Q96" s="1"/>
      <c r="R96" s="1"/>
      <c r="S96" s="1"/>
      <c r="T96" s="1"/>
    </row>
    <row r="98" spans="1:20" s="63" customFormat="1" x14ac:dyDescent="0.35">
      <c r="A98" s="65"/>
      <c r="D98" s="89"/>
      <c r="E98" s="62"/>
      <c r="F98" s="1"/>
      <c r="G98" s="1"/>
      <c r="H98" s="1"/>
      <c r="I98" s="1"/>
      <c r="J98" s="1"/>
      <c r="K98" s="1"/>
      <c r="L98" s="1"/>
      <c r="M98" s="1"/>
      <c r="N98" s="1"/>
      <c r="O98" s="1"/>
      <c r="P98" s="1"/>
      <c r="Q98" s="1"/>
      <c r="R98" s="1"/>
      <c r="S98" s="1"/>
      <c r="T98" s="1"/>
    </row>
    <row r="100" spans="1:20" s="63" customFormat="1" x14ac:dyDescent="0.35">
      <c r="A100" s="65"/>
      <c r="D100" s="89"/>
      <c r="E100" s="62"/>
      <c r="F100" s="1"/>
      <c r="G100" s="1"/>
      <c r="H100" s="1"/>
      <c r="I100" s="1"/>
      <c r="J100" s="1"/>
      <c r="K100" s="1"/>
      <c r="L100" s="1"/>
      <c r="M100" s="1"/>
      <c r="N100" s="1"/>
      <c r="O100" s="1"/>
      <c r="P100" s="1"/>
      <c r="Q100" s="1"/>
      <c r="R100" s="1"/>
      <c r="S100" s="1"/>
      <c r="T100" s="1"/>
    </row>
    <row r="102" spans="1:20" s="63" customFormat="1" x14ac:dyDescent="0.35">
      <c r="A102" s="65"/>
      <c r="D102" s="89"/>
      <c r="E102" s="62"/>
      <c r="F102" s="1"/>
      <c r="G102" s="1"/>
      <c r="H102" s="1"/>
      <c r="I102" s="1"/>
      <c r="J102" s="1"/>
      <c r="K102" s="1"/>
      <c r="L102" s="1"/>
      <c r="M102" s="1"/>
      <c r="N102" s="1"/>
      <c r="O102" s="1"/>
      <c r="P102" s="1"/>
      <c r="Q102" s="1"/>
      <c r="R102" s="1"/>
      <c r="S102" s="1"/>
      <c r="T102" s="1"/>
    </row>
    <row r="104" spans="1:20" s="63" customFormat="1" x14ac:dyDescent="0.35">
      <c r="A104" s="65"/>
      <c r="D104" s="89"/>
      <c r="E104" s="62"/>
      <c r="F104" s="1"/>
      <c r="G104" s="1"/>
      <c r="H104" s="1"/>
      <c r="I104" s="1"/>
      <c r="J104" s="1"/>
      <c r="K104" s="1"/>
      <c r="L104" s="1"/>
      <c r="M104" s="1"/>
      <c r="N104" s="1"/>
      <c r="O104" s="1"/>
      <c r="P104" s="1"/>
      <c r="Q104" s="1"/>
      <c r="R104" s="1"/>
      <c r="S104" s="1"/>
      <c r="T104" s="1"/>
    </row>
    <row r="106" spans="1:20" s="63" customFormat="1" x14ac:dyDescent="0.35">
      <c r="A106" s="65"/>
      <c r="D106" s="89"/>
      <c r="E106" s="62"/>
      <c r="F106" s="1"/>
      <c r="G106" s="1"/>
      <c r="H106" s="1"/>
      <c r="I106" s="1"/>
      <c r="J106" s="1"/>
      <c r="K106" s="1"/>
      <c r="L106" s="1"/>
      <c r="M106" s="1"/>
      <c r="N106" s="1"/>
      <c r="O106" s="1"/>
      <c r="P106" s="1"/>
      <c r="Q106" s="1"/>
      <c r="R106" s="1"/>
      <c r="S106" s="1"/>
      <c r="T106" s="1"/>
    </row>
    <row r="108" spans="1:20" s="63" customFormat="1" x14ac:dyDescent="0.35">
      <c r="A108" s="65"/>
      <c r="D108" s="89"/>
      <c r="E108" s="62"/>
      <c r="F108" s="1"/>
      <c r="G108" s="1"/>
      <c r="H108" s="1"/>
      <c r="I108" s="1"/>
      <c r="J108" s="1"/>
      <c r="K108" s="1"/>
      <c r="L108" s="1"/>
      <c r="M108" s="1"/>
      <c r="N108" s="1"/>
      <c r="O108" s="1"/>
      <c r="P108" s="1"/>
      <c r="Q108" s="1"/>
      <c r="R108" s="1"/>
      <c r="S108" s="1"/>
      <c r="T108" s="1"/>
    </row>
    <row r="110" spans="1:20" s="63" customFormat="1" x14ac:dyDescent="0.35">
      <c r="A110" s="65"/>
      <c r="D110" s="89"/>
      <c r="E110" s="62"/>
      <c r="F110" s="1"/>
      <c r="G110" s="1"/>
      <c r="H110" s="1"/>
      <c r="I110" s="1"/>
      <c r="J110" s="1"/>
      <c r="K110" s="1"/>
      <c r="L110" s="1"/>
      <c r="M110" s="1"/>
      <c r="N110" s="1"/>
      <c r="O110" s="1"/>
      <c r="P110" s="1"/>
      <c r="Q110" s="1"/>
      <c r="R110" s="1"/>
      <c r="S110" s="1"/>
      <c r="T110" s="1"/>
    </row>
    <row r="112" spans="1:20" s="63" customFormat="1" x14ac:dyDescent="0.35">
      <c r="A112" s="65"/>
      <c r="D112" s="89"/>
      <c r="E112" s="62"/>
      <c r="F112" s="1"/>
      <c r="G112" s="1"/>
      <c r="H112" s="1"/>
      <c r="I112" s="1"/>
      <c r="J112" s="1"/>
      <c r="K112" s="1"/>
      <c r="L112" s="1"/>
      <c r="M112" s="1"/>
      <c r="N112" s="1"/>
      <c r="O112" s="1"/>
      <c r="P112" s="1"/>
      <c r="Q112" s="1"/>
      <c r="R112" s="1"/>
      <c r="S112" s="1"/>
      <c r="T112" s="1"/>
    </row>
    <row r="114" spans="1:20" s="63" customFormat="1" x14ac:dyDescent="0.35">
      <c r="A114" s="65"/>
      <c r="D114" s="89"/>
      <c r="E114" s="62"/>
      <c r="F114" s="1"/>
      <c r="G114" s="1"/>
      <c r="H114" s="1"/>
      <c r="I114" s="1"/>
      <c r="J114" s="1"/>
      <c r="K114" s="1"/>
      <c r="L114" s="1"/>
      <c r="M114" s="1"/>
      <c r="N114" s="1"/>
      <c r="O114" s="1"/>
      <c r="P114" s="1"/>
      <c r="Q114" s="1"/>
      <c r="R114" s="1"/>
      <c r="S114" s="1"/>
      <c r="T114" s="1"/>
    </row>
  </sheetData>
  <phoneticPr fontId="5" type="noConversion"/>
  <conditionalFormatting sqref="E53">
    <cfRule type="expression" dxfId="64" priority="13">
      <formula>E53="OK"</formula>
    </cfRule>
    <cfRule type="expression" dxfId="63" priority="14">
      <formula>E53=" Error"</formula>
    </cfRule>
  </conditionalFormatting>
  <conditionalFormatting sqref="R2">
    <cfRule type="cellIs" dxfId="62" priority="34" operator="greaterThan">
      <formula>$E$2</formula>
    </cfRule>
    <cfRule type="cellIs" dxfId="61" priority="35" operator="lessThan">
      <formula>$E$2</formula>
    </cfRule>
    <cfRule type="cellIs" dxfId="60" priority="36" operator="equal">
      <formula>$E$2</formula>
    </cfRule>
  </conditionalFormatting>
  <conditionalFormatting sqref="R12">
    <cfRule type="cellIs" dxfId="59" priority="31" operator="equal">
      <formula>$E$12</formula>
    </cfRule>
    <cfRule type="cellIs" dxfId="58" priority="32" operator="lessThan">
      <formula>$E$12</formula>
    </cfRule>
    <cfRule type="cellIs" dxfId="57" priority="33" operator="greaterThan">
      <formula>$E$12</formula>
    </cfRule>
  </conditionalFormatting>
  <conditionalFormatting sqref="R33">
    <cfRule type="cellIs" dxfId="56" priority="28" operator="equal">
      <formula>$E$33</formula>
    </cfRule>
    <cfRule type="cellIs" dxfId="55" priority="29" operator="lessThan">
      <formula>$E$33</formula>
    </cfRule>
    <cfRule type="cellIs" dxfId="54" priority="30" operator="greaterThan">
      <formula>$E$33</formula>
    </cfRule>
  </conditionalFormatting>
  <conditionalFormatting sqref="R39">
    <cfRule type="cellIs" dxfId="53" priority="25" operator="equal">
      <formula>$E$39</formula>
    </cfRule>
    <cfRule type="cellIs" dxfId="52" priority="26" operator="lessThan">
      <formula>$E$39</formula>
    </cfRule>
    <cfRule type="cellIs" dxfId="51" priority="27" operator="greaterThan">
      <formula>$E$33</formula>
    </cfRule>
  </conditionalFormatting>
  <conditionalFormatting sqref="R53">
    <cfRule type="expression" dxfId="50" priority="11">
      <formula>R53="OK"</formula>
    </cfRule>
    <cfRule type="expression" dxfId="49" priority="12">
      <formula>R53=" Error"</formula>
    </cfRule>
  </conditionalFormatting>
  <conditionalFormatting sqref="S2">
    <cfRule type="expression" dxfId="48" priority="15">
      <formula>S2="OK"</formula>
    </cfRule>
    <cfRule type="expression" dxfId="47" priority="16">
      <formula>S2=" Error"</formula>
    </cfRule>
  </conditionalFormatting>
  <conditionalFormatting sqref="S12">
    <cfRule type="expression" dxfId="46" priority="7">
      <formula>S12="OK"</formula>
    </cfRule>
    <cfRule type="expression" dxfId="45" priority="8">
      <formula>S12=" Error"</formula>
    </cfRule>
  </conditionalFormatting>
  <conditionalFormatting sqref="S33">
    <cfRule type="expression" dxfId="44" priority="5">
      <formula>S33="OK"</formula>
    </cfRule>
    <cfRule type="expression" dxfId="43" priority="6">
      <formula>S33=" Error"</formula>
    </cfRule>
  </conditionalFormatting>
  <conditionalFormatting sqref="S39">
    <cfRule type="expression" dxfId="42" priority="3">
      <formula>S39="OK"</formula>
    </cfRule>
    <cfRule type="expression" dxfId="41" priority="4">
      <formula>S39=" Error"</formula>
    </cfRule>
  </conditionalFormatting>
  <conditionalFormatting sqref="S50">
    <cfRule type="expression" dxfId="40" priority="1">
      <formula>S50="OK"</formula>
    </cfRule>
    <cfRule type="expression" dxfId="39" priority="2">
      <formula>S50=" Error"</formula>
    </cfRule>
  </conditionalFormatting>
  <hyperlinks>
    <hyperlink ref="A1" location="'TABLERO CONTROL'!A1" display="ACTIVIDADES" xr:uid="{462A5BB0-0C19-449A-BA57-28E219DEE933}"/>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67873-C6C8-4D64-BB38-D0B200E4E9C7}">
  <sheetPr codeName="Hoja14"/>
  <dimension ref="A1:AX50"/>
  <sheetViews>
    <sheetView showGridLines="0" workbookViewId="0">
      <pane xSplit="2" ySplit="2" topLeftCell="C3" activePane="bottomRight" state="frozen"/>
      <selection pane="topRight" activeCell="C1" sqref="C1"/>
      <selection pane="bottomLeft" activeCell="A3" sqref="A3"/>
      <selection pane="bottomRight"/>
    </sheetView>
  </sheetViews>
  <sheetFormatPr defaultColWidth="10.6640625" defaultRowHeight="12.75" x14ac:dyDescent="0.35"/>
  <cols>
    <col min="1" max="1" width="1" customWidth="1"/>
    <col min="2" max="2" width="59.3984375" customWidth="1"/>
    <col min="3" max="46" width="3.265625" customWidth="1"/>
    <col min="47" max="58" width="2.73046875" customWidth="1"/>
  </cols>
  <sheetData>
    <row r="1" spans="1:50" x14ac:dyDescent="0.35">
      <c r="A1" s="57"/>
      <c r="B1" s="785" t="s">
        <v>45</v>
      </c>
      <c r="C1" s="784" t="s">
        <v>46</v>
      </c>
      <c r="D1" s="784"/>
      <c r="E1" s="784"/>
      <c r="F1" s="784"/>
      <c r="G1" s="784" t="s">
        <v>47</v>
      </c>
      <c r="H1" s="784"/>
      <c r="I1" s="784"/>
      <c r="J1" s="784"/>
      <c r="K1" s="784" t="s">
        <v>48</v>
      </c>
      <c r="L1" s="784"/>
      <c r="M1" s="784"/>
      <c r="N1" s="784"/>
      <c r="O1" s="784" t="s">
        <v>49</v>
      </c>
      <c r="P1" s="784"/>
      <c r="Q1" s="784"/>
      <c r="R1" s="784"/>
      <c r="S1" s="784" t="s">
        <v>50</v>
      </c>
      <c r="T1" s="784"/>
      <c r="U1" s="784"/>
      <c r="V1" s="784"/>
      <c r="W1" s="784" t="s">
        <v>51</v>
      </c>
      <c r="X1" s="784"/>
      <c r="Y1" s="784"/>
      <c r="Z1" s="784"/>
      <c r="AA1" s="784" t="s">
        <v>52</v>
      </c>
      <c r="AB1" s="784"/>
      <c r="AC1" s="784"/>
      <c r="AD1" s="784"/>
      <c r="AE1" s="784" t="s">
        <v>166</v>
      </c>
      <c r="AF1" s="784"/>
      <c r="AG1" s="784"/>
      <c r="AH1" s="784"/>
      <c r="AI1" s="784" t="s">
        <v>167</v>
      </c>
      <c r="AJ1" s="784"/>
      <c r="AK1" s="784"/>
      <c r="AL1" s="784"/>
      <c r="AM1" s="784" t="s">
        <v>168</v>
      </c>
      <c r="AN1" s="784"/>
      <c r="AO1" s="784"/>
      <c r="AP1" s="784"/>
      <c r="AQ1" s="784" t="s">
        <v>169</v>
      </c>
      <c r="AR1" s="784"/>
      <c r="AS1" s="784"/>
      <c r="AT1" s="784"/>
      <c r="AU1" s="784" t="s">
        <v>170</v>
      </c>
      <c r="AV1" s="784"/>
      <c r="AW1" s="784"/>
      <c r="AX1" s="784"/>
    </row>
    <row r="2" spans="1:50" x14ac:dyDescent="0.35">
      <c r="A2" s="57"/>
      <c r="B2" s="786"/>
      <c r="C2" s="90">
        <v>1</v>
      </c>
      <c r="D2" s="90">
        <v>2</v>
      </c>
      <c r="E2" s="90">
        <v>3</v>
      </c>
      <c r="F2" s="90">
        <v>4</v>
      </c>
      <c r="G2" s="90">
        <v>5</v>
      </c>
      <c r="H2" s="90">
        <v>6</v>
      </c>
      <c r="I2" s="90">
        <v>7</v>
      </c>
      <c r="J2" s="90">
        <v>8</v>
      </c>
      <c r="K2" s="90">
        <v>9</v>
      </c>
      <c r="L2" s="90">
        <v>10</v>
      </c>
      <c r="M2" s="90">
        <v>11</v>
      </c>
      <c r="N2" s="90">
        <v>12</v>
      </c>
      <c r="O2" s="90">
        <v>13</v>
      </c>
      <c r="P2" s="90">
        <v>14</v>
      </c>
      <c r="Q2" s="90">
        <v>15</v>
      </c>
      <c r="R2" s="90">
        <v>16</v>
      </c>
      <c r="S2" s="90">
        <v>17</v>
      </c>
      <c r="T2" s="90">
        <v>18</v>
      </c>
      <c r="U2" s="90">
        <v>19</v>
      </c>
      <c r="V2" s="90">
        <v>20</v>
      </c>
      <c r="W2" s="90">
        <v>21</v>
      </c>
      <c r="X2" s="90">
        <v>22</v>
      </c>
      <c r="Y2" s="90">
        <v>23</v>
      </c>
      <c r="Z2" s="90">
        <v>24</v>
      </c>
      <c r="AA2" s="90">
        <v>25</v>
      </c>
      <c r="AB2" s="90">
        <v>26</v>
      </c>
      <c r="AC2" s="90">
        <v>27</v>
      </c>
      <c r="AD2" s="90">
        <v>28</v>
      </c>
      <c r="AE2" s="90">
        <v>29</v>
      </c>
      <c r="AF2" s="90">
        <v>30</v>
      </c>
      <c r="AG2" s="90">
        <v>31</v>
      </c>
      <c r="AH2" s="90">
        <v>32</v>
      </c>
      <c r="AI2" s="90">
        <v>33</v>
      </c>
      <c r="AJ2" s="90">
        <v>34</v>
      </c>
      <c r="AK2" s="90">
        <v>35</v>
      </c>
      <c r="AL2" s="90">
        <v>36</v>
      </c>
      <c r="AM2" s="90">
        <v>37</v>
      </c>
      <c r="AN2" s="90">
        <v>38</v>
      </c>
      <c r="AO2" s="90">
        <v>39</v>
      </c>
      <c r="AP2" s="90">
        <v>40</v>
      </c>
      <c r="AQ2" s="90">
        <v>41</v>
      </c>
      <c r="AR2" s="90">
        <v>42</v>
      </c>
      <c r="AS2" s="90">
        <v>43</v>
      </c>
      <c r="AT2" s="90">
        <v>44</v>
      </c>
      <c r="AU2" s="90">
        <v>45</v>
      </c>
      <c r="AV2" s="90">
        <v>46</v>
      </c>
      <c r="AW2" s="90">
        <v>47</v>
      </c>
      <c r="AX2" s="90">
        <v>48</v>
      </c>
    </row>
    <row r="3" spans="1:50" x14ac:dyDescent="0.35">
      <c r="A3" s="69"/>
      <c r="B3" s="267" t="str">
        <f>DISTRIBUCIÓN!A140</f>
        <v>FASE 1. Declaratoria y Acciones Previas</v>
      </c>
      <c r="C3" s="268"/>
      <c r="D3" s="268"/>
      <c r="E3" s="268"/>
      <c r="F3" s="268"/>
      <c r="G3" s="58"/>
      <c r="H3" s="58"/>
      <c r="I3" s="58"/>
      <c r="J3" s="58"/>
      <c r="K3" s="5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row>
    <row r="4" spans="1:50" x14ac:dyDescent="0.35">
      <c r="A4" s="57"/>
      <c r="B4" s="70" t="str">
        <f>DISTRIBUCIÓN!A141</f>
        <v>Revisión y aprobación de la localización del cuerpo de agua</v>
      </c>
      <c r="C4" s="61"/>
      <c r="D4" s="270"/>
      <c r="E4" s="270"/>
      <c r="F4" s="271"/>
      <c r="G4" s="60"/>
      <c r="H4" s="60"/>
      <c r="I4" s="60"/>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row>
    <row r="5" spans="1:50" x14ac:dyDescent="0.35">
      <c r="A5" s="57"/>
      <c r="B5" s="70" t="str">
        <f>DISTRIBUCIÓN!A142</f>
        <v>Revisión y aprobación del Alistamiento Institucional</v>
      </c>
      <c r="C5" s="59"/>
      <c r="D5" s="59"/>
      <c r="E5" s="59"/>
      <c r="F5" s="59"/>
      <c r="G5" s="60"/>
      <c r="H5" s="60"/>
      <c r="I5" s="60"/>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row>
    <row r="6" spans="1:50" x14ac:dyDescent="0.35">
      <c r="A6" s="57"/>
      <c r="B6" s="70" t="str">
        <f>DISTRIBUCIÓN!A143</f>
        <v>Revisión y aprobación de la Identificación de actores relevantes para el ordenamiento</v>
      </c>
      <c r="C6" s="59"/>
      <c r="D6" s="59"/>
      <c r="E6" s="59"/>
      <c r="F6" s="59"/>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row>
    <row r="7" spans="1:50" x14ac:dyDescent="0.35">
      <c r="A7" s="57"/>
      <c r="B7" s="70" t="str">
        <f>DISTRIBUCIÓN!A144</f>
        <v>Revisión y aprobación de la recopilación de información de instrumentos existentes</v>
      </c>
      <c r="C7" s="59"/>
      <c r="D7" s="59"/>
      <c r="E7" s="59"/>
      <c r="F7" s="59"/>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row>
    <row r="8" spans="1:50" ht="23.25" x14ac:dyDescent="0.35">
      <c r="A8" s="57"/>
      <c r="B8" s="70" t="str">
        <f>DISTRIBUCIÓN!A145</f>
        <v>Revisión y aprobación de la recopilación de información de redes hidrometeorológicas hidrobiológicas y de calidad</v>
      </c>
      <c r="C8" s="61"/>
      <c r="D8" s="61"/>
      <c r="E8" s="59"/>
      <c r="F8" s="59"/>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row>
    <row r="9" spans="1:50" x14ac:dyDescent="0.35">
      <c r="A9" s="57"/>
      <c r="B9" s="70" t="str">
        <f>DISTRIBUCIÓN!A146</f>
        <v>Revisión y aprobación de la identificación preliminar de usuarios y clasificación de los usos actuales</v>
      </c>
      <c r="C9" s="61"/>
      <c r="D9" s="59"/>
      <c r="E9" s="59"/>
      <c r="F9" s="59"/>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row>
    <row r="10" spans="1:50" x14ac:dyDescent="0.35">
      <c r="A10" s="57"/>
      <c r="B10" s="70" t="str">
        <f>DISTRIBUCIÓN!A147</f>
        <v>Revisión y aprobación de la información asociada a los conflictos por uso del recurso hídrico</v>
      </c>
      <c r="C10" s="61"/>
      <c r="D10" s="59"/>
      <c r="E10" s="59"/>
      <c r="F10" s="59"/>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row>
    <row r="11" spans="1:50" x14ac:dyDescent="0.35">
      <c r="A11" s="57"/>
      <c r="B11" s="70" t="str">
        <f>DISTRIBUCIÓN!A148</f>
        <v>Revisión y aprobación del prediseño del plan de monitoreo de calidad y cantidad del recurso hídrico</v>
      </c>
      <c r="C11" s="61"/>
      <c r="D11" s="59"/>
      <c r="E11" s="59"/>
      <c r="F11" s="59"/>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row>
    <row r="12" spans="1:50" x14ac:dyDescent="0.35">
      <c r="A12" s="57"/>
      <c r="B12" s="70" t="str">
        <f>DISTRIBUCIÓN!A149</f>
        <v xml:space="preserve">Revisión y aprobación del Plan de Trabajo </v>
      </c>
      <c r="C12" s="273"/>
      <c r="D12" s="273"/>
      <c r="E12" s="273"/>
      <c r="F12" s="273"/>
      <c r="G12" s="272"/>
      <c r="H12" s="272"/>
      <c r="I12" s="272"/>
      <c r="J12" s="272"/>
      <c r="K12" s="272"/>
      <c r="L12" s="272"/>
      <c r="M12" s="272"/>
      <c r="N12" s="272"/>
      <c r="O12" s="272"/>
      <c r="P12" s="272"/>
      <c r="Q12" s="272"/>
      <c r="R12" s="272"/>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row>
    <row r="13" spans="1:50" x14ac:dyDescent="0.35">
      <c r="A13" s="69"/>
      <c r="B13" s="267" t="str">
        <f>DISTRIBUCIÓN!A154</f>
        <v>FASE 2. Diagnóstico</v>
      </c>
      <c r="C13" s="268"/>
      <c r="D13" s="268"/>
      <c r="E13" s="268"/>
      <c r="F13" s="268"/>
      <c r="G13" s="268"/>
      <c r="H13" s="268"/>
      <c r="I13" s="268"/>
      <c r="J13" s="268"/>
      <c r="K13" s="268"/>
      <c r="L13" s="268"/>
      <c r="M13" s="269"/>
      <c r="N13" s="269"/>
      <c r="O13" s="269"/>
      <c r="P13" s="269"/>
      <c r="Q13" s="269"/>
      <c r="R13" s="269"/>
      <c r="S13" s="269"/>
      <c r="T13" s="269"/>
      <c r="U13" s="269"/>
      <c r="V13" s="269"/>
      <c r="W13" s="269"/>
      <c r="X13" s="269"/>
      <c r="Y13" s="269"/>
      <c r="Z13" s="269"/>
      <c r="AA13" s="269"/>
      <c r="AB13" s="269"/>
      <c r="AC13" s="269"/>
      <c r="AD13" s="269"/>
      <c r="AE13" s="61"/>
      <c r="AF13" s="61"/>
      <c r="AG13" s="61"/>
      <c r="AH13" s="61"/>
      <c r="AI13" s="61"/>
      <c r="AJ13" s="61"/>
      <c r="AK13" s="61"/>
      <c r="AL13" s="61"/>
      <c r="AM13" s="61"/>
      <c r="AN13" s="61"/>
      <c r="AO13" s="61"/>
      <c r="AP13" s="61"/>
      <c r="AQ13" s="61"/>
      <c r="AR13" s="61"/>
      <c r="AS13" s="61"/>
      <c r="AT13" s="61"/>
      <c r="AU13" s="61"/>
      <c r="AV13" s="61"/>
      <c r="AW13" s="61"/>
      <c r="AX13" s="61"/>
    </row>
    <row r="14" spans="1:50" x14ac:dyDescent="0.35">
      <c r="A14" s="57"/>
      <c r="B14" s="278" t="str">
        <f>DISTRIBUCIÓN!A155</f>
        <v>Caracterización Inicial</v>
      </c>
      <c r="C14" s="275"/>
      <c r="D14" s="275"/>
      <c r="E14" s="275"/>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61"/>
      <c r="AF14" s="61"/>
      <c r="AG14" s="61"/>
      <c r="AH14" s="61"/>
      <c r="AI14" s="61"/>
      <c r="AJ14" s="61"/>
      <c r="AK14" s="61"/>
      <c r="AL14" s="61"/>
      <c r="AM14" s="61"/>
      <c r="AN14" s="61"/>
      <c r="AO14" s="61"/>
      <c r="AP14" s="61"/>
      <c r="AQ14" s="61"/>
      <c r="AR14" s="61"/>
      <c r="AS14" s="61"/>
      <c r="AT14" s="61"/>
      <c r="AU14" s="61"/>
      <c r="AV14" s="61"/>
      <c r="AW14" s="61"/>
      <c r="AX14" s="61"/>
    </row>
    <row r="15" spans="1:50" x14ac:dyDescent="0.35">
      <c r="A15" s="57"/>
      <c r="B15" s="70" t="str">
        <f>DISTRIBUCIÓN!A156</f>
        <v xml:space="preserve">Revisión y aprobación del Paso 1. Diseño e implementación del proceso de participación </v>
      </c>
      <c r="C15" s="61"/>
      <c r="D15" s="61"/>
      <c r="E15" s="61"/>
      <c r="F15" s="61"/>
      <c r="G15" s="59"/>
      <c r="H15" s="59"/>
      <c r="I15" s="59"/>
      <c r="J15" s="59"/>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row>
    <row r="16" spans="1:50" x14ac:dyDescent="0.35">
      <c r="A16" s="57"/>
      <c r="B16" s="70" t="str">
        <f>DISTRIBUCIÓN!A157</f>
        <v>Revisión y aprobación del Paso 2. Definición de los tramos o sectores de análisis</v>
      </c>
      <c r="C16" s="61"/>
      <c r="D16" s="61"/>
      <c r="E16" s="61"/>
      <c r="F16" s="61"/>
      <c r="G16" s="59"/>
      <c r="H16" s="59"/>
      <c r="I16" s="59"/>
      <c r="J16" s="59"/>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row>
    <row r="17" spans="1:50" ht="28.5" customHeight="1" x14ac:dyDescent="0.35">
      <c r="A17" s="57"/>
      <c r="B17" s="70" t="str">
        <f>DISTRIBUCIÓN!A158</f>
        <v xml:space="preserve">Revisión y aprobación del Paso 3. Definición para la estructura conceptual para la modelación de calidad del agua </v>
      </c>
      <c r="C17" s="61"/>
      <c r="D17" s="61"/>
      <c r="E17" s="61"/>
      <c r="F17" s="61"/>
      <c r="G17" s="59"/>
      <c r="H17" s="59"/>
      <c r="I17" s="59"/>
      <c r="J17" s="59"/>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row>
    <row r="18" spans="1:50" x14ac:dyDescent="0.35">
      <c r="A18" s="57"/>
      <c r="B18" s="278" t="str">
        <f>DISTRIBUCIÓN!A159</f>
        <v>Trabajo de campo</v>
      </c>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61"/>
      <c r="AF18" s="61"/>
      <c r="AG18" s="61"/>
      <c r="AH18" s="61"/>
      <c r="AI18" s="61"/>
      <c r="AJ18" s="61"/>
      <c r="AK18" s="61"/>
      <c r="AL18" s="61"/>
      <c r="AM18" s="61"/>
      <c r="AN18" s="61"/>
      <c r="AO18" s="61"/>
      <c r="AP18" s="61"/>
      <c r="AQ18" s="61"/>
      <c r="AR18" s="61"/>
      <c r="AS18" s="61"/>
      <c r="AT18" s="61"/>
      <c r="AU18" s="61"/>
      <c r="AV18" s="61"/>
      <c r="AW18" s="61"/>
      <c r="AX18" s="61"/>
    </row>
    <row r="19" spans="1:50" x14ac:dyDescent="0.35">
      <c r="A19" s="57"/>
      <c r="B19" s="70" t="str">
        <f>DISTRIBUCIÓN!A160</f>
        <v xml:space="preserve">Revisión y aprobación del Paso 1. Censo de usuarios y consolidación de información </v>
      </c>
      <c r="C19" s="61"/>
      <c r="D19" s="61"/>
      <c r="E19" s="61"/>
      <c r="F19" s="61"/>
      <c r="G19" s="59"/>
      <c r="H19" s="59"/>
      <c r="I19" s="59"/>
      <c r="J19" s="59"/>
      <c r="K19" s="59"/>
      <c r="L19" s="59"/>
      <c r="M19" s="59"/>
      <c r="N19" s="59"/>
      <c r="O19" s="59"/>
      <c r="P19" s="59"/>
      <c r="Q19" s="59"/>
      <c r="R19" s="59"/>
      <c r="S19" s="59"/>
      <c r="T19" s="59"/>
      <c r="U19" s="59"/>
      <c r="V19" s="59"/>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row>
    <row r="20" spans="1:50" x14ac:dyDescent="0.35">
      <c r="A20" s="57"/>
      <c r="B20" s="70" t="str">
        <f>DISTRIBUCIÓN!A161</f>
        <v>Revisión y aprobación del Paso 2. Diseño y ejecución del plan de monitoreo</v>
      </c>
      <c r="C20" s="61"/>
      <c r="D20" s="61"/>
      <c r="E20" s="61"/>
      <c r="F20" s="61"/>
      <c r="G20" s="61"/>
      <c r="H20" s="61"/>
      <c r="I20" s="61"/>
      <c r="J20" s="61"/>
      <c r="K20" s="59"/>
      <c r="L20" s="59"/>
      <c r="M20" s="59"/>
      <c r="N20" s="59"/>
      <c r="O20" s="59"/>
      <c r="P20" s="59"/>
      <c r="Q20" s="59"/>
      <c r="R20" s="59"/>
      <c r="S20" s="61"/>
      <c r="T20" s="61"/>
      <c r="U20" s="61"/>
      <c r="V20" s="61"/>
      <c r="W20" s="59"/>
      <c r="X20" s="59"/>
      <c r="Y20" s="59"/>
      <c r="Z20" s="59"/>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row>
    <row r="21" spans="1:50" x14ac:dyDescent="0.35">
      <c r="A21" s="57"/>
      <c r="B21" s="278" t="str">
        <f>DISTRIBUCIÓN!A162</f>
        <v>Construcción de línea base</v>
      </c>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6"/>
      <c r="AA21" s="276"/>
      <c r="AB21" s="276"/>
      <c r="AC21" s="276"/>
      <c r="AD21" s="276"/>
      <c r="AE21" s="61"/>
      <c r="AF21" s="61"/>
      <c r="AG21" s="61"/>
      <c r="AH21" s="61"/>
      <c r="AI21" s="61"/>
      <c r="AJ21" s="61"/>
      <c r="AK21" s="61"/>
      <c r="AL21" s="61"/>
      <c r="AM21" s="61"/>
      <c r="AN21" s="61"/>
      <c r="AO21" s="61"/>
      <c r="AP21" s="61"/>
      <c r="AQ21" s="61"/>
      <c r="AR21" s="61"/>
      <c r="AS21" s="61"/>
      <c r="AT21" s="61"/>
      <c r="AU21" s="61"/>
      <c r="AV21" s="61"/>
      <c r="AW21" s="61"/>
      <c r="AX21" s="61"/>
    </row>
    <row r="22" spans="1:50" x14ac:dyDescent="0.35">
      <c r="A22" s="57"/>
      <c r="B22" s="396" t="str">
        <f>DISTRIBUCIÓN!A163</f>
        <v>Revisión y aprobación del Paso 1. Consolidación de usos existentes del recurso hídrico</v>
      </c>
      <c r="C22" s="61"/>
      <c r="D22" s="61"/>
      <c r="E22" s="61"/>
      <c r="F22" s="61"/>
      <c r="G22" s="61"/>
      <c r="H22" s="61"/>
      <c r="I22" s="61"/>
      <c r="J22" s="61"/>
      <c r="K22" s="61"/>
      <c r="L22" s="61"/>
      <c r="M22" s="61"/>
      <c r="N22" s="61"/>
      <c r="O22" s="61"/>
      <c r="P22" s="61"/>
      <c r="Q22" s="61"/>
      <c r="R22" s="61"/>
      <c r="S22" s="61"/>
      <c r="T22" s="61"/>
      <c r="U22" s="61"/>
      <c r="V22" s="61"/>
      <c r="W22" s="59"/>
      <c r="X22" s="59"/>
      <c r="Y22" s="59"/>
      <c r="Z22" s="59"/>
      <c r="AA22" s="59"/>
      <c r="AB22" s="59"/>
      <c r="AC22" s="59"/>
      <c r="AD22" s="59"/>
      <c r="AE22" s="61"/>
      <c r="AF22" s="61"/>
      <c r="AG22" s="61"/>
      <c r="AH22" s="61"/>
      <c r="AI22" s="61"/>
      <c r="AJ22" s="61"/>
      <c r="AK22" s="61"/>
      <c r="AL22" s="61"/>
      <c r="AM22" s="61"/>
      <c r="AN22" s="61"/>
      <c r="AO22" s="61"/>
      <c r="AP22" s="61"/>
      <c r="AQ22" s="61"/>
      <c r="AR22" s="61"/>
      <c r="AS22" s="61"/>
      <c r="AT22" s="61"/>
      <c r="AU22" s="61"/>
      <c r="AV22" s="61"/>
      <c r="AW22" s="61"/>
      <c r="AX22" s="61"/>
    </row>
    <row r="23" spans="1:50" ht="26.25" customHeight="1" x14ac:dyDescent="0.35">
      <c r="B23" s="396" t="str">
        <f>DISTRIBUCIÓN!A164</f>
        <v>Revisión y aprobación del Paso 2. Estimación de la oferta hídrica total y oferta hídrica total disponible e indicadores de estado</v>
      </c>
      <c r="C23" s="61"/>
      <c r="D23" s="61"/>
      <c r="E23" s="61"/>
      <c r="F23" s="61"/>
      <c r="G23" s="61"/>
      <c r="H23" s="61"/>
      <c r="I23" s="61"/>
      <c r="J23" s="61"/>
      <c r="K23" s="59"/>
      <c r="L23" s="59"/>
      <c r="M23" s="59"/>
      <c r="N23" s="59"/>
      <c r="O23" s="59"/>
      <c r="P23" s="59"/>
      <c r="Q23" s="59"/>
      <c r="R23" s="59"/>
      <c r="S23" s="59"/>
      <c r="T23" s="59"/>
      <c r="U23" s="59"/>
      <c r="V23" s="59"/>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row>
    <row r="24" spans="1:50" ht="27.75" customHeight="1" x14ac:dyDescent="0.35">
      <c r="B24" s="396" t="str">
        <f>DISTRIBUCIÓN!A165</f>
        <v>Revisión y aprobación del Paso 3. Identificación de zonas de recarga del acuífero o interacciones con las aguas superficiales</v>
      </c>
      <c r="C24" s="61"/>
      <c r="D24" s="61"/>
      <c r="E24" s="61"/>
      <c r="F24" s="61"/>
      <c r="G24" s="61"/>
      <c r="H24" s="61"/>
      <c r="I24" s="61"/>
      <c r="J24" s="61"/>
      <c r="K24" s="61"/>
      <c r="L24" s="61"/>
      <c r="M24" s="61"/>
      <c r="N24" s="61"/>
      <c r="O24" s="61"/>
      <c r="P24" s="61"/>
      <c r="Q24" s="61"/>
      <c r="R24" s="61"/>
      <c r="S24" s="59"/>
      <c r="T24" s="59"/>
      <c r="U24" s="59"/>
      <c r="V24" s="59"/>
      <c r="W24" s="59"/>
      <c r="X24" s="59"/>
      <c r="Y24" s="59"/>
      <c r="Z24" s="59"/>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row>
    <row r="25" spans="1:50" ht="27.75" customHeight="1" x14ac:dyDescent="0.35">
      <c r="B25" s="396" t="str">
        <f>DISTRIBUCIÓN!A166</f>
        <v>Revisión y aprobación del Paso 4. Elaboración de perfiles de calidad actual de cada cuerpo de agua</v>
      </c>
      <c r="C25" s="61"/>
      <c r="D25" s="61"/>
      <c r="E25" s="61"/>
      <c r="F25" s="61"/>
      <c r="G25" s="61"/>
      <c r="H25" s="61"/>
      <c r="I25" s="61"/>
      <c r="J25" s="61"/>
      <c r="K25" s="61"/>
      <c r="L25" s="61"/>
      <c r="M25" s="61"/>
      <c r="N25" s="61"/>
      <c r="O25" s="61"/>
      <c r="P25" s="61"/>
      <c r="Q25" s="61"/>
      <c r="R25" s="61"/>
      <c r="S25" s="59"/>
      <c r="T25" s="59"/>
      <c r="U25" s="59"/>
      <c r="V25" s="59"/>
      <c r="W25" s="61"/>
      <c r="X25" s="61"/>
      <c r="Y25" s="61"/>
      <c r="Z25" s="61"/>
      <c r="AA25" s="59"/>
      <c r="AB25" s="59"/>
      <c r="AC25" s="59"/>
      <c r="AD25" s="59"/>
      <c r="AE25" s="61"/>
      <c r="AF25" s="61"/>
      <c r="AG25" s="61"/>
      <c r="AH25" s="61"/>
      <c r="AI25" s="61"/>
      <c r="AJ25" s="61"/>
      <c r="AK25" s="61"/>
      <c r="AL25" s="61"/>
      <c r="AM25" s="61"/>
      <c r="AN25" s="61"/>
      <c r="AO25" s="61"/>
      <c r="AP25" s="61"/>
      <c r="AQ25" s="61"/>
      <c r="AR25" s="61"/>
      <c r="AS25" s="61"/>
      <c r="AT25" s="61"/>
      <c r="AU25" s="61"/>
      <c r="AV25" s="61"/>
      <c r="AW25" s="61"/>
      <c r="AX25" s="61"/>
    </row>
    <row r="26" spans="1:50" x14ac:dyDescent="0.35">
      <c r="B26" s="396" t="str">
        <f>DISTRIBUCIÓN!A167</f>
        <v>Revisión y aprobación del Paso 5. Estimación de indicadores de calidad de agua</v>
      </c>
      <c r="C26" s="61"/>
      <c r="D26" s="61"/>
      <c r="E26" s="61"/>
      <c r="F26" s="61"/>
      <c r="G26" s="61"/>
      <c r="H26" s="61"/>
      <c r="I26" s="61"/>
      <c r="J26" s="61"/>
      <c r="K26" s="61"/>
      <c r="L26" s="61"/>
      <c r="M26" s="61"/>
      <c r="N26" s="61"/>
      <c r="O26" s="61"/>
      <c r="P26" s="61"/>
      <c r="Q26" s="61"/>
      <c r="R26" s="61"/>
      <c r="S26" s="59"/>
      <c r="T26" s="59"/>
      <c r="U26" s="59"/>
      <c r="V26" s="59"/>
      <c r="W26" s="61"/>
      <c r="X26" s="61"/>
      <c r="Y26" s="61"/>
      <c r="Z26" s="61"/>
      <c r="AA26" s="59"/>
      <c r="AB26" s="59"/>
      <c r="AC26" s="59"/>
      <c r="AD26" s="59"/>
      <c r="AE26" s="61"/>
      <c r="AF26" s="61"/>
      <c r="AG26" s="61"/>
      <c r="AH26" s="61"/>
      <c r="AI26" s="61"/>
      <c r="AJ26" s="61"/>
      <c r="AK26" s="61"/>
      <c r="AL26" s="61"/>
      <c r="AM26" s="61"/>
      <c r="AN26" s="61"/>
      <c r="AO26" s="61"/>
      <c r="AP26" s="61"/>
      <c r="AQ26" s="61"/>
      <c r="AR26" s="61"/>
      <c r="AS26" s="61"/>
      <c r="AT26" s="61"/>
      <c r="AU26" s="61"/>
      <c r="AV26" s="61"/>
      <c r="AW26" s="61"/>
      <c r="AX26" s="61"/>
    </row>
    <row r="27" spans="1:50" x14ac:dyDescent="0.35">
      <c r="B27" s="396" t="str">
        <f>DISTRIBUCIÓN!A168</f>
        <v xml:space="preserve">Revisión y aprobación del Paso 6. Clasificación de los usos actuales </v>
      </c>
      <c r="C27" s="61"/>
      <c r="D27" s="61"/>
      <c r="E27" s="61"/>
      <c r="F27" s="61"/>
      <c r="G27" s="61"/>
      <c r="H27" s="61"/>
      <c r="I27" s="61"/>
      <c r="J27" s="61"/>
      <c r="K27" s="61"/>
      <c r="L27" s="61"/>
      <c r="M27" s="61"/>
      <c r="N27" s="61"/>
      <c r="O27" s="61"/>
      <c r="P27" s="61"/>
      <c r="Q27" s="61"/>
      <c r="R27" s="61"/>
      <c r="S27" s="61"/>
      <c r="T27" s="61"/>
      <c r="U27" s="61"/>
      <c r="V27" s="61"/>
      <c r="W27" s="59"/>
      <c r="X27" s="59"/>
      <c r="Y27" s="59"/>
      <c r="Z27" s="59"/>
      <c r="AA27" s="59"/>
      <c r="AB27" s="59"/>
      <c r="AC27" s="59"/>
      <c r="AD27" s="59"/>
      <c r="AE27" s="61"/>
      <c r="AF27" s="61"/>
      <c r="AG27" s="61"/>
      <c r="AH27" s="61"/>
      <c r="AI27" s="61"/>
      <c r="AJ27" s="61"/>
      <c r="AK27" s="61"/>
      <c r="AL27" s="61"/>
      <c r="AM27" s="61"/>
      <c r="AN27" s="61"/>
      <c r="AO27" s="61"/>
      <c r="AP27" s="61"/>
      <c r="AQ27" s="61"/>
      <c r="AR27" s="61"/>
      <c r="AS27" s="61"/>
      <c r="AT27" s="61"/>
      <c r="AU27" s="61"/>
      <c r="AV27" s="61"/>
      <c r="AW27" s="61"/>
      <c r="AX27" s="61"/>
    </row>
    <row r="28" spans="1:50" x14ac:dyDescent="0.35">
      <c r="B28" s="396" t="str">
        <f>DISTRIBUCIÓN!A169</f>
        <v>Revisión y aprobación del Paso 7. Estudio de demanda de agua</v>
      </c>
      <c r="C28" s="61"/>
      <c r="D28" s="61"/>
      <c r="E28" s="61"/>
      <c r="F28" s="61"/>
      <c r="G28" s="61"/>
      <c r="H28" s="61"/>
      <c r="I28" s="61"/>
      <c r="J28" s="61"/>
      <c r="K28" s="61"/>
      <c r="L28" s="61"/>
      <c r="M28" s="61"/>
      <c r="N28" s="61"/>
      <c r="O28" s="61"/>
      <c r="P28" s="61"/>
      <c r="Q28" s="61"/>
      <c r="R28" s="61"/>
      <c r="S28" s="61"/>
      <c r="T28" s="61"/>
      <c r="U28" s="61"/>
      <c r="V28" s="61"/>
      <c r="W28" s="59"/>
      <c r="X28" s="59"/>
      <c r="Y28" s="59"/>
      <c r="Z28" s="59"/>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row>
    <row r="29" spans="1:50" x14ac:dyDescent="0.35">
      <c r="B29" s="396" t="str">
        <f>DISTRIBUCIÓN!A170</f>
        <v>Revisión y aprobación del Paso 8. Indicadores de presión sobre el recurso hídrico superficial</v>
      </c>
      <c r="C29" s="61"/>
      <c r="D29" s="61"/>
      <c r="E29" s="61"/>
      <c r="F29" s="61"/>
      <c r="G29" s="61"/>
      <c r="H29" s="61"/>
      <c r="I29" s="61"/>
      <c r="J29" s="61"/>
      <c r="K29" s="61"/>
      <c r="L29" s="61"/>
      <c r="M29" s="61"/>
      <c r="N29" s="61"/>
      <c r="O29" s="61"/>
      <c r="P29" s="61"/>
      <c r="Q29" s="61"/>
      <c r="R29" s="61"/>
      <c r="S29" s="61"/>
      <c r="T29" s="61"/>
      <c r="U29" s="61"/>
      <c r="V29" s="61"/>
      <c r="W29" s="61"/>
      <c r="X29" s="61"/>
      <c r="Y29" s="61"/>
      <c r="Z29" s="61"/>
      <c r="AA29" s="59"/>
      <c r="AB29" s="59"/>
      <c r="AC29" s="59"/>
      <c r="AD29" s="59"/>
      <c r="AE29" s="61"/>
      <c r="AF29" s="61"/>
      <c r="AG29" s="61"/>
      <c r="AH29" s="61"/>
      <c r="AI29" s="61"/>
      <c r="AJ29" s="61"/>
      <c r="AK29" s="61"/>
      <c r="AL29" s="61"/>
      <c r="AM29" s="61"/>
      <c r="AN29" s="61"/>
      <c r="AO29" s="61"/>
      <c r="AP29" s="61"/>
      <c r="AQ29" s="61"/>
      <c r="AR29" s="61"/>
      <c r="AS29" s="61"/>
      <c r="AT29" s="61"/>
      <c r="AU29" s="61"/>
      <c r="AV29" s="61"/>
      <c r="AW29" s="61"/>
      <c r="AX29" s="61"/>
    </row>
    <row r="30" spans="1:50" x14ac:dyDescent="0.35">
      <c r="B30" s="396" t="str">
        <f>DISTRIBUCIÓN!A171</f>
        <v>Revisión y aprobación del Paso 9. Estimación cualitativa del riesgo</v>
      </c>
      <c r="C30" s="61"/>
      <c r="D30" s="61"/>
      <c r="E30" s="61"/>
      <c r="F30" s="61"/>
      <c r="G30" s="61"/>
      <c r="H30" s="61"/>
      <c r="I30" s="61"/>
      <c r="J30" s="61"/>
      <c r="K30" s="61"/>
      <c r="L30" s="61"/>
      <c r="M30" s="61"/>
      <c r="N30" s="61"/>
      <c r="O30" s="61"/>
      <c r="P30" s="61"/>
      <c r="Q30" s="61"/>
      <c r="R30" s="61"/>
      <c r="S30" s="61"/>
      <c r="T30" s="61"/>
      <c r="U30" s="61"/>
      <c r="V30" s="61"/>
      <c r="W30" s="61"/>
      <c r="X30" s="61"/>
      <c r="Y30" s="61"/>
      <c r="Z30" s="61"/>
      <c r="AA30" s="59"/>
      <c r="AB30" s="59"/>
      <c r="AC30" s="59"/>
      <c r="AD30" s="59"/>
      <c r="AE30" s="61"/>
      <c r="AF30" s="61"/>
      <c r="AG30" s="61"/>
      <c r="AH30" s="61"/>
      <c r="AI30" s="61"/>
      <c r="AJ30" s="61"/>
      <c r="AK30" s="61"/>
      <c r="AL30" s="61"/>
      <c r="AM30" s="61"/>
      <c r="AN30" s="61"/>
      <c r="AO30" s="61"/>
      <c r="AP30" s="61"/>
      <c r="AQ30" s="61"/>
      <c r="AR30" s="61"/>
      <c r="AS30" s="61"/>
      <c r="AT30" s="61"/>
      <c r="AU30" s="61"/>
      <c r="AV30" s="61"/>
      <c r="AW30" s="61"/>
      <c r="AX30" s="61"/>
    </row>
    <row r="31" spans="1:50" ht="24" customHeight="1" x14ac:dyDescent="0.35">
      <c r="B31" s="396" t="str">
        <f>DISTRIBUCIÓN!A172</f>
        <v xml:space="preserve">Revisión y aprobación del Paso 10. Análisis de problemáticas y conflictos derivados del recurso hídrico </v>
      </c>
      <c r="C31" s="61"/>
      <c r="D31" s="61"/>
      <c r="E31" s="61"/>
      <c r="F31" s="61"/>
      <c r="G31" s="61"/>
      <c r="H31" s="61"/>
      <c r="I31" s="61"/>
      <c r="J31" s="61"/>
      <c r="K31" s="59"/>
      <c r="L31" s="59"/>
      <c r="M31" s="59"/>
      <c r="N31" s="59"/>
      <c r="O31" s="59"/>
      <c r="P31" s="59"/>
      <c r="Q31" s="59"/>
      <c r="R31" s="59"/>
      <c r="S31" s="59"/>
      <c r="T31" s="59"/>
      <c r="U31" s="59"/>
      <c r="V31" s="59"/>
      <c r="W31" s="59"/>
      <c r="X31" s="59"/>
      <c r="Y31" s="59"/>
      <c r="Z31" s="59"/>
      <c r="AA31" s="59"/>
      <c r="AB31" s="59"/>
      <c r="AC31" s="59"/>
      <c r="AD31" s="59"/>
      <c r="AE31" s="61"/>
      <c r="AF31" s="61"/>
      <c r="AG31" s="61"/>
      <c r="AH31" s="61"/>
      <c r="AI31" s="61"/>
      <c r="AJ31" s="61"/>
      <c r="AK31" s="61"/>
      <c r="AL31" s="61"/>
      <c r="AM31" s="61"/>
      <c r="AN31" s="61"/>
      <c r="AO31" s="61"/>
      <c r="AP31" s="61"/>
      <c r="AQ31" s="61"/>
      <c r="AR31" s="61"/>
      <c r="AS31" s="61"/>
      <c r="AT31" s="61"/>
      <c r="AU31" s="61"/>
      <c r="AV31" s="61"/>
      <c r="AW31" s="61"/>
      <c r="AX31" s="61"/>
    </row>
    <row r="32" spans="1:50" ht="25.5" customHeight="1" x14ac:dyDescent="0.35">
      <c r="B32" s="396" t="str">
        <f>DISTRIBUCIÓN!A173</f>
        <v xml:space="preserve">Revisión y aprobación del Paso 11. Sistematización de la información resultado de la fase de diagnóstico </v>
      </c>
      <c r="C32" s="61"/>
      <c r="D32" s="61"/>
      <c r="E32" s="61"/>
      <c r="F32" s="61"/>
      <c r="G32" s="59"/>
      <c r="H32" s="59"/>
      <c r="I32" s="59"/>
      <c r="J32" s="59"/>
      <c r="K32" s="59"/>
      <c r="L32" s="59"/>
      <c r="M32" s="59"/>
      <c r="N32" s="59"/>
      <c r="O32" s="59"/>
      <c r="P32" s="59"/>
      <c r="Q32" s="59"/>
      <c r="R32" s="59"/>
      <c r="S32" s="59"/>
      <c r="T32" s="59"/>
      <c r="U32" s="59"/>
      <c r="V32" s="59"/>
      <c r="W32" s="59"/>
      <c r="X32" s="59"/>
      <c r="Y32" s="59"/>
      <c r="Z32" s="59"/>
      <c r="AA32" s="59"/>
      <c r="AB32" s="59"/>
      <c r="AC32" s="59"/>
      <c r="AD32" s="59"/>
      <c r="AE32" s="61"/>
      <c r="AF32" s="61"/>
      <c r="AG32" s="61"/>
      <c r="AH32" s="61"/>
      <c r="AI32" s="61"/>
      <c r="AJ32" s="61"/>
      <c r="AK32" s="61"/>
      <c r="AL32" s="61"/>
      <c r="AM32" s="61"/>
      <c r="AN32" s="61"/>
      <c r="AO32" s="61"/>
      <c r="AP32" s="61"/>
      <c r="AQ32" s="61"/>
      <c r="AR32" s="61"/>
      <c r="AS32" s="61"/>
      <c r="AT32" s="61"/>
      <c r="AU32" s="61"/>
      <c r="AV32" s="61"/>
      <c r="AW32" s="61"/>
      <c r="AX32" s="61"/>
    </row>
    <row r="33" spans="2:50" x14ac:dyDescent="0.35">
      <c r="B33" s="396" t="str">
        <f>DISTRIBUCIÓN!A174</f>
        <v>Revisión y aprobación del Paso 12. Socialización de los resultados de la fase de diagnóstico</v>
      </c>
      <c r="C33" s="61"/>
      <c r="D33" s="61"/>
      <c r="E33" s="61"/>
      <c r="F33" s="61"/>
      <c r="G33" s="61"/>
      <c r="H33" s="61"/>
      <c r="I33" s="61"/>
      <c r="J33" s="61"/>
      <c r="K33" s="61"/>
      <c r="L33" s="61"/>
      <c r="M33" s="61"/>
      <c r="N33" s="61"/>
      <c r="O33" s="61"/>
      <c r="P33" s="61"/>
      <c r="Q33" s="61"/>
      <c r="R33" s="61"/>
      <c r="S33" s="61"/>
      <c r="T33" s="61"/>
      <c r="U33" s="61"/>
      <c r="V33" s="61"/>
      <c r="W33" s="61"/>
      <c r="X33" s="61"/>
      <c r="Y33" s="61"/>
      <c r="Z33" s="61"/>
      <c r="AA33" s="59"/>
      <c r="AB33" s="59"/>
      <c r="AC33" s="59"/>
      <c r="AD33" s="59"/>
      <c r="AE33" s="61"/>
      <c r="AF33" s="61"/>
      <c r="AG33" s="61"/>
      <c r="AH33" s="61"/>
      <c r="AI33" s="61"/>
      <c r="AJ33" s="61"/>
      <c r="AK33" s="61"/>
      <c r="AL33" s="61"/>
      <c r="AM33" s="61"/>
      <c r="AN33" s="61"/>
      <c r="AO33" s="61"/>
      <c r="AP33" s="61"/>
      <c r="AQ33" s="61"/>
      <c r="AR33" s="61"/>
      <c r="AS33" s="61"/>
      <c r="AT33" s="61"/>
      <c r="AU33" s="61"/>
      <c r="AV33" s="61"/>
      <c r="AW33" s="61"/>
      <c r="AX33" s="61"/>
    </row>
    <row r="34" spans="2:50" x14ac:dyDescent="0.35">
      <c r="B34" s="267" t="str">
        <f>DISTRIBUCIÓN!A179</f>
        <v>FASE 3. Identificación de usos potenciales</v>
      </c>
      <c r="C34" s="274"/>
      <c r="D34" s="274"/>
      <c r="E34" s="274"/>
      <c r="F34" s="274"/>
      <c r="G34" s="274"/>
      <c r="H34" s="274"/>
      <c r="I34" s="274"/>
      <c r="J34" s="274"/>
      <c r="K34" s="274"/>
      <c r="L34" s="274"/>
      <c r="M34" s="274"/>
      <c r="N34" s="274"/>
      <c r="O34" s="274"/>
      <c r="P34" s="274"/>
      <c r="Q34" s="274"/>
      <c r="R34" s="274"/>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74"/>
      <c r="AR34" s="274"/>
      <c r="AS34" s="274"/>
      <c r="AT34" s="274"/>
      <c r="AU34" s="61"/>
      <c r="AV34" s="57"/>
      <c r="AW34" s="61"/>
      <c r="AX34" s="61"/>
    </row>
    <row r="35" spans="2:50" x14ac:dyDescent="0.35">
      <c r="B35" s="396" t="str">
        <f>DISTRIBUCIÓN!A180</f>
        <v>Revisión y aprobación del Paso 1: Proyección de la demanda de agua</v>
      </c>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9"/>
      <c r="AF35" s="59"/>
      <c r="AG35" s="59"/>
      <c r="AH35" s="59"/>
      <c r="AI35" s="59"/>
      <c r="AJ35" s="59"/>
      <c r="AK35" s="59"/>
      <c r="AL35" s="59"/>
      <c r="AM35" s="57"/>
      <c r="AN35" s="57"/>
      <c r="AO35" s="57"/>
      <c r="AP35" s="57"/>
      <c r="AQ35" s="57"/>
      <c r="AR35" s="57"/>
      <c r="AS35" s="57"/>
      <c r="AT35" s="57"/>
      <c r="AU35" s="57"/>
      <c r="AV35" s="61"/>
      <c r="AW35" s="57"/>
      <c r="AX35" s="57"/>
    </row>
    <row r="36" spans="2:50" ht="15" customHeight="1" x14ac:dyDescent="0.35">
      <c r="B36" s="396" t="str">
        <f>DISTRIBUCIÓN!A181</f>
        <v>Revisión y aprobación del Paso 2: Modelación de la calidad del agua y simulación de escenarios</v>
      </c>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9"/>
      <c r="AF36" s="59"/>
      <c r="AG36" s="59"/>
      <c r="AH36" s="59"/>
      <c r="AI36" s="59"/>
      <c r="AJ36" s="59"/>
      <c r="AK36" s="59"/>
      <c r="AL36" s="59"/>
      <c r="AM36" s="57"/>
      <c r="AN36" s="57"/>
      <c r="AO36" s="57"/>
      <c r="AP36" s="57"/>
      <c r="AQ36" s="57"/>
      <c r="AR36" s="57"/>
      <c r="AS36" s="57"/>
      <c r="AT36" s="57"/>
      <c r="AU36" s="57"/>
      <c r="AV36" s="61"/>
      <c r="AW36" s="57"/>
      <c r="AX36" s="57"/>
    </row>
    <row r="37" spans="2:50" ht="23.25" x14ac:dyDescent="0.35">
      <c r="B37" s="396" t="str">
        <f>DISTRIBUCIÓN!A182</f>
        <v>Revisión y aprobación del Paso 3: Clasificación del cuerpo de agua e identificación de usos potenciales</v>
      </c>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9"/>
      <c r="AF37" s="59"/>
      <c r="AG37" s="59"/>
      <c r="AH37" s="59"/>
      <c r="AI37" s="59"/>
      <c r="AJ37" s="59"/>
      <c r="AK37" s="59"/>
      <c r="AL37" s="59"/>
      <c r="AM37" s="57"/>
      <c r="AN37" s="57"/>
      <c r="AO37" s="57"/>
      <c r="AP37" s="57"/>
      <c r="AQ37" s="57"/>
      <c r="AR37" s="57"/>
      <c r="AS37" s="57"/>
      <c r="AT37" s="57"/>
      <c r="AU37" s="57"/>
      <c r="AV37" s="61"/>
      <c r="AW37" s="57"/>
      <c r="AX37" s="57"/>
    </row>
    <row r="38" spans="2:50" ht="27" customHeight="1" x14ac:dyDescent="0.35">
      <c r="B38" s="396" t="str">
        <f>DISTRIBUCIÓN!A183</f>
        <v>Revisión y aprobación del Paso 4. Estimación cualitativa de riesgos asociados a reducción de la oferta y disponibilidad del recurso hídrico</v>
      </c>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9"/>
      <c r="AF38" s="59"/>
      <c r="AG38" s="59"/>
      <c r="AH38" s="59"/>
      <c r="AI38" s="59"/>
      <c r="AJ38" s="59"/>
      <c r="AK38" s="59"/>
      <c r="AL38" s="59"/>
      <c r="AM38" s="57"/>
      <c r="AN38" s="57"/>
      <c r="AO38" s="57"/>
      <c r="AP38" s="57"/>
      <c r="AQ38" s="57"/>
      <c r="AR38" s="57"/>
      <c r="AS38" s="57"/>
      <c r="AT38" s="57"/>
      <c r="AU38" s="57"/>
      <c r="AV38" s="61"/>
      <c r="AW38" s="57"/>
      <c r="AX38" s="57"/>
    </row>
    <row r="39" spans="2:50" x14ac:dyDescent="0.35">
      <c r="B39" s="396" t="str">
        <f>DISTRIBUCIÓN!A184</f>
        <v>Revisión y aprobación Paso 5. Socialización de los resultados de la fase de Usos Potenciales</v>
      </c>
      <c r="C39" s="57"/>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9"/>
      <c r="AJ39" s="59"/>
      <c r="AK39" s="59"/>
      <c r="AL39" s="59"/>
      <c r="AM39" s="57"/>
      <c r="AN39" s="57"/>
      <c r="AO39" s="57"/>
      <c r="AP39" s="57"/>
      <c r="AQ39" s="57"/>
      <c r="AR39" s="57"/>
      <c r="AS39" s="57"/>
      <c r="AT39" s="57"/>
      <c r="AU39" s="57"/>
      <c r="AV39" s="61"/>
      <c r="AW39" s="57"/>
      <c r="AX39" s="57"/>
    </row>
    <row r="40" spans="2:50" x14ac:dyDescent="0.35">
      <c r="B40" s="267" t="str">
        <f>DISTRIBUCIÓN!A95</f>
        <v>FASE 4. Elaboración del plan</v>
      </c>
      <c r="C40" s="274"/>
      <c r="D40" s="274"/>
      <c r="E40" s="274"/>
      <c r="F40" s="274"/>
      <c r="G40" s="274"/>
      <c r="H40" s="274"/>
      <c r="I40" s="274"/>
      <c r="J40" s="274"/>
      <c r="K40" s="274"/>
      <c r="L40" s="274"/>
      <c r="M40" s="274"/>
      <c r="N40" s="274"/>
      <c r="O40" s="274"/>
      <c r="P40" s="274"/>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c r="AN40" s="274"/>
      <c r="AO40" s="274"/>
      <c r="AP40" s="274"/>
      <c r="AQ40" s="274"/>
      <c r="AR40" s="274"/>
      <c r="AS40" s="274"/>
      <c r="AT40" s="274"/>
      <c r="AU40" s="274"/>
      <c r="AV40" s="274"/>
      <c r="AW40" s="274"/>
      <c r="AX40" s="274"/>
    </row>
    <row r="41" spans="2:50" x14ac:dyDescent="0.35">
      <c r="B41" s="396" t="str">
        <f>DISTRIBUCIÓN!A190</f>
        <v xml:space="preserve">Revisión y aprobación del Paso 1: Definición o ajuste de objetivos y criterios de calidad por uso </v>
      </c>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9"/>
      <c r="AN41" s="59"/>
      <c r="AO41" s="59"/>
      <c r="AP41" s="59"/>
      <c r="AQ41" s="57"/>
      <c r="AR41" s="57"/>
      <c r="AS41" s="57"/>
      <c r="AT41" s="57"/>
      <c r="AU41" s="57"/>
      <c r="AV41" s="57"/>
      <c r="AW41" s="57"/>
      <c r="AX41" s="57"/>
    </row>
    <row r="42" spans="2:50" x14ac:dyDescent="0.35">
      <c r="B42" s="396" t="str">
        <f>DISTRIBUCIÓN!A191</f>
        <v>Revisión y aprobación del Paso 2: Definición de prohibiciones y condicionamientos</v>
      </c>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9"/>
      <c r="AN42" s="59"/>
      <c r="AO42" s="59"/>
      <c r="AP42" s="59"/>
      <c r="AQ42" s="57"/>
      <c r="AR42" s="57"/>
      <c r="AS42" s="57"/>
      <c r="AT42" s="57"/>
      <c r="AU42" s="57"/>
      <c r="AV42" s="57"/>
      <c r="AW42" s="57"/>
      <c r="AX42" s="57"/>
    </row>
    <row r="43" spans="2:50" ht="27.75" customHeight="1" x14ac:dyDescent="0.35">
      <c r="B43" s="396" t="str">
        <f>DISTRIBUCIÓN!A192</f>
        <v>Revisión y aprobación del Paso 3: Definición o ajuste de metas quinquenales de reducción de cargas contaminantes</v>
      </c>
      <c r="C43" s="57"/>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9"/>
      <c r="AN43" s="59"/>
      <c r="AO43" s="59"/>
      <c r="AP43" s="59"/>
      <c r="AQ43" s="57"/>
      <c r="AR43" s="57"/>
      <c r="AS43" s="57"/>
      <c r="AT43" s="57"/>
      <c r="AU43" s="57"/>
      <c r="AV43" s="57"/>
      <c r="AW43" s="57"/>
      <c r="AX43" s="57"/>
    </row>
    <row r="44" spans="2:50" x14ac:dyDescent="0.35">
      <c r="B44" s="396" t="str">
        <f>DISTRIBUCIÓN!A193</f>
        <v>Revisión y aprobación del Paso 4. Articulación con el POMCA</v>
      </c>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9"/>
      <c r="AN44" s="59"/>
      <c r="AO44" s="59"/>
      <c r="AP44" s="59"/>
      <c r="AQ44" s="57"/>
      <c r="AR44" s="57"/>
      <c r="AS44" s="57"/>
      <c r="AT44" s="57"/>
      <c r="AU44" s="57"/>
      <c r="AV44" s="57"/>
      <c r="AW44" s="57"/>
      <c r="AX44" s="57"/>
    </row>
    <row r="45" spans="2:50" x14ac:dyDescent="0.35">
      <c r="B45" s="396" t="str">
        <f>DISTRIBUCIÓN!A194</f>
        <v>Revisión y aprobación del Paso 5: Articulación con otros instrumentos</v>
      </c>
      <c r="C45" s="57"/>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9"/>
      <c r="AN45" s="59"/>
      <c r="AO45" s="59"/>
      <c r="AP45" s="59"/>
      <c r="AQ45" s="57"/>
      <c r="AR45" s="57"/>
      <c r="AS45" s="57"/>
      <c r="AT45" s="57"/>
      <c r="AU45" s="57"/>
      <c r="AV45" s="57"/>
      <c r="AW45" s="57"/>
      <c r="AX45" s="57"/>
    </row>
    <row r="46" spans="2:50" ht="26.25" customHeight="1" x14ac:dyDescent="0.35">
      <c r="B46" s="396" t="str">
        <f>DISTRIBUCIÓN!A195</f>
        <v>Revisión y aprobación del Paso 6: Elaboración del programa de seguimiento y monitoreo al recurso hídrico</v>
      </c>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9"/>
      <c r="AR46" s="59"/>
      <c r="AS46" s="59"/>
      <c r="AT46" s="59"/>
      <c r="AU46" s="57"/>
      <c r="AV46" s="57"/>
      <c r="AW46" s="57"/>
      <c r="AX46" s="57"/>
    </row>
    <row r="47" spans="2:50" x14ac:dyDescent="0.35">
      <c r="B47" s="396" t="str">
        <f>DISTRIBUCIÓN!A196</f>
        <v>Revisión y aprobación del Paso 7: Estructuración de proyectos y actividades</v>
      </c>
      <c r="C47" s="57"/>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9"/>
      <c r="AR47" s="59"/>
      <c r="AS47" s="59"/>
      <c r="AT47" s="59"/>
      <c r="AU47" s="57"/>
      <c r="AV47" s="57"/>
      <c r="AW47" s="57"/>
      <c r="AX47" s="57"/>
    </row>
    <row r="48" spans="2:50" x14ac:dyDescent="0.35">
      <c r="B48" s="396" t="str">
        <f>DISTRIBUCIÓN!A197</f>
        <v>Revisión y aprobación del Paso 8: Elaboración de informes</v>
      </c>
      <c r="C48" s="57"/>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57"/>
      <c r="AO48" s="57"/>
      <c r="AP48" s="57"/>
      <c r="AQ48" s="59"/>
      <c r="AR48" s="59"/>
      <c r="AS48" s="59"/>
      <c r="AT48" s="59"/>
      <c r="AU48" s="57"/>
      <c r="AV48" s="57"/>
      <c r="AW48" s="57"/>
      <c r="AX48" s="57"/>
    </row>
    <row r="49" spans="2:50" x14ac:dyDescent="0.35">
      <c r="B49" s="396" t="str">
        <f>DISTRIBUCIÓN!A198</f>
        <v>Revisión y aprobación del Paso 9: Socialización del PORH</v>
      </c>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57"/>
      <c r="AQ49" s="59"/>
      <c r="AR49" s="59"/>
      <c r="AS49" s="59"/>
      <c r="AT49" s="59"/>
      <c r="AU49" s="57"/>
      <c r="AV49" s="57"/>
      <c r="AW49" s="57"/>
      <c r="AX49" s="57"/>
    </row>
    <row r="50" spans="2:50" x14ac:dyDescent="0.35">
      <c r="B50" s="396" t="str">
        <f>DISTRIBUCIÓN!A199</f>
        <v xml:space="preserve">Revisión y aprobación de informes y publicaciones </v>
      </c>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9"/>
      <c r="AV50" s="59"/>
      <c r="AW50" s="59"/>
      <c r="AX50" s="59"/>
    </row>
  </sheetData>
  <mergeCells count="13">
    <mergeCell ref="AU1:AX1"/>
    <mergeCell ref="W1:Z1"/>
    <mergeCell ref="AA1:AD1"/>
    <mergeCell ref="AE1:AH1"/>
    <mergeCell ref="AI1:AL1"/>
    <mergeCell ref="AM1:AP1"/>
    <mergeCell ref="AQ1:AT1"/>
    <mergeCell ref="S1:V1"/>
    <mergeCell ref="B1:B2"/>
    <mergeCell ref="C1:F1"/>
    <mergeCell ref="G1:J1"/>
    <mergeCell ref="K1:N1"/>
    <mergeCell ref="O1:R1"/>
  </mergeCells>
  <hyperlinks>
    <hyperlink ref="B1:B2" location="'TABLERO CONTROL'!A1" display="ACTIVIDADES" xr:uid="{B6061879-F3F3-499D-9D59-467FF4708F3D}"/>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EA39B-7055-4A96-8C0A-AD17D9A3A5E2}">
  <sheetPr codeName="Hoja15"/>
  <dimension ref="A1:T114"/>
  <sheetViews>
    <sheetView showGridLines="0" zoomScale="80" zoomScaleNormal="80" workbookViewId="0"/>
  </sheetViews>
  <sheetFormatPr defaultColWidth="11.3984375" defaultRowHeight="12.75" x14ac:dyDescent="0.35"/>
  <cols>
    <col min="1" max="1" width="66.86328125" style="1" customWidth="1"/>
    <col min="2" max="2" width="8.86328125" style="63" customWidth="1"/>
    <col min="3" max="3" width="6.265625" style="63" hidden="1" customWidth="1"/>
    <col min="4" max="4" width="10.59765625" style="89" hidden="1" customWidth="1"/>
    <col min="5" max="5" width="15.1328125" style="62" hidden="1" customWidth="1"/>
    <col min="6" max="14" width="7" style="1" bestFit="1" customWidth="1"/>
    <col min="15" max="16" width="7.265625" style="1" bestFit="1" customWidth="1"/>
    <col min="17" max="17" width="8" style="1" customWidth="1"/>
    <col min="18" max="18" width="10.73046875" style="1" bestFit="1" customWidth="1"/>
    <col min="19" max="19" width="11" style="1" customWidth="1"/>
    <col min="20" max="20" width="2.1328125" style="1" customWidth="1"/>
    <col min="21" max="16384" width="11.3984375" style="1"/>
  </cols>
  <sheetData>
    <row r="1" spans="1:20" ht="15" customHeight="1" x14ac:dyDescent="0.35">
      <c r="A1" s="400" t="s">
        <v>45</v>
      </c>
      <c r="B1" s="127" t="s">
        <v>36</v>
      </c>
      <c r="C1" s="127" t="s">
        <v>28</v>
      </c>
      <c r="D1" s="128" t="s">
        <v>8</v>
      </c>
      <c r="E1" s="129" t="s">
        <v>24</v>
      </c>
      <c r="F1" s="130" t="s">
        <v>53</v>
      </c>
      <c r="G1" s="130" t="s">
        <v>54</v>
      </c>
      <c r="H1" s="130" t="s">
        <v>55</v>
      </c>
      <c r="I1" s="130" t="s">
        <v>56</v>
      </c>
      <c r="J1" s="130" t="s">
        <v>57</v>
      </c>
      <c r="K1" s="130" t="s">
        <v>58</v>
      </c>
      <c r="L1" s="130" t="s">
        <v>117</v>
      </c>
      <c r="M1" s="130" t="s">
        <v>177</v>
      </c>
      <c r="N1" s="130" t="s">
        <v>178</v>
      </c>
      <c r="O1" s="130" t="s">
        <v>180</v>
      </c>
      <c r="P1" s="130" t="s">
        <v>181</v>
      </c>
      <c r="Q1" s="130" t="s">
        <v>301</v>
      </c>
      <c r="R1" s="130" t="s">
        <v>308</v>
      </c>
    </row>
    <row r="2" spans="1:20" ht="16.5" customHeight="1" x14ac:dyDescent="0.35">
      <c r="A2" s="244" t="str">
        <f>DISTRIBUCIÓN!A46</f>
        <v>FASE 1. Declaratoria y Acciones Previas</v>
      </c>
      <c r="B2" s="245">
        <f>DISTRIBUCIÓN!E130</f>
        <v>0.104533858534662</v>
      </c>
      <c r="C2" s="246"/>
      <c r="D2" s="247"/>
      <c r="E2" s="248">
        <f>DISTRIBUCIÓN!D130</f>
        <v>27126623.575516667</v>
      </c>
      <c r="F2" s="245"/>
      <c r="G2" s="366"/>
      <c r="H2" s="366"/>
      <c r="I2" s="366"/>
      <c r="J2" s="366"/>
      <c r="K2" s="366"/>
      <c r="L2" s="366"/>
      <c r="M2" s="366"/>
      <c r="N2" s="366"/>
      <c r="O2" s="366"/>
      <c r="P2" s="366"/>
      <c r="Q2" s="366"/>
      <c r="R2" s="367">
        <f>SUM(R3:R11)</f>
        <v>0.104533858534662</v>
      </c>
      <c r="S2" s="222" t="str">
        <f>IF(ABS(R2-B2)&lt;0.0001,"OK"," ERROR")</f>
        <v>OK</v>
      </c>
    </row>
    <row r="3" spans="1:20" s="221" customFormat="1" ht="17.25" customHeight="1" x14ac:dyDescent="0.35">
      <c r="A3" s="387" t="str">
        <f>DISTRIBUCIÓN!A141</f>
        <v>Revisión y aprobación de la localización del cuerpo de agua</v>
      </c>
      <c r="B3" s="259">
        <f>DISTRIBUCIÓN!V141</f>
        <v>8.9624975529141032E-3</v>
      </c>
      <c r="C3" s="132" t="s">
        <v>34</v>
      </c>
      <c r="D3" s="217">
        <v>1</v>
      </c>
      <c r="E3" s="260">
        <f>B3*$E$2/$B$2</f>
        <v>2325775.5986666665</v>
      </c>
      <c r="F3" s="368">
        <f>B3</f>
        <v>8.9624975529141032E-3</v>
      </c>
      <c r="G3" s="394"/>
      <c r="H3" s="394"/>
      <c r="I3" s="394"/>
      <c r="J3" s="394"/>
      <c r="K3" s="394"/>
      <c r="L3" s="394"/>
      <c r="M3" s="394"/>
      <c r="N3" s="394"/>
      <c r="O3" s="394"/>
      <c r="P3" s="394"/>
      <c r="Q3" s="394"/>
      <c r="R3" s="395">
        <f>SUM(F3:Q3)</f>
        <v>8.9624975529141032E-3</v>
      </c>
      <c r="S3" s="386" t="s">
        <v>146</v>
      </c>
    </row>
    <row r="4" spans="1:20" s="221" customFormat="1" ht="17.25" customHeight="1" x14ac:dyDescent="0.35">
      <c r="A4" s="387" t="str">
        <f>DISTRIBUCIÓN!A142</f>
        <v>Revisión y aprobación del Alistamiento Institucional</v>
      </c>
      <c r="B4" s="259">
        <f>DISTRIBUCIÓN!V142</f>
        <v>8.9624975529141032E-3</v>
      </c>
      <c r="C4" s="132" t="s">
        <v>34</v>
      </c>
      <c r="D4" s="217">
        <v>1</v>
      </c>
      <c r="E4" s="260">
        <f t="shared" ref="E4:E11" si="0">B4*$E$2/$B$2</f>
        <v>2325775.5986666665</v>
      </c>
      <c r="F4" s="368">
        <f t="shared" ref="F4:F11" si="1">B4</f>
        <v>8.9624975529141032E-3</v>
      </c>
      <c r="G4" s="394"/>
      <c r="H4" s="394"/>
      <c r="I4" s="394"/>
      <c r="J4" s="394"/>
      <c r="K4" s="394"/>
      <c r="L4" s="394"/>
      <c r="M4" s="394"/>
      <c r="N4" s="394"/>
      <c r="O4" s="394"/>
      <c r="P4" s="394"/>
      <c r="Q4" s="394"/>
      <c r="R4" s="395">
        <f t="shared" ref="R4:R11" si="2">SUM(F4:Q4)</f>
        <v>8.9624975529141032E-3</v>
      </c>
    </row>
    <row r="5" spans="1:20" s="221" customFormat="1" ht="17.25" customHeight="1" x14ac:dyDescent="0.35">
      <c r="A5" s="387" t="str">
        <f>DISTRIBUCIÓN!A143</f>
        <v>Revisión y aprobación de la Identificación de actores relevantes para el ordenamiento</v>
      </c>
      <c r="B5" s="259">
        <f>DISTRIBUCIÓN!V143</f>
        <v>2.0898187832131633E-2</v>
      </c>
      <c r="C5" s="132" t="s">
        <v>34</v>
      </c>
      <c r="D5" s="217">
        <v>1</v>
      </c>
      <c r="E5" s="260">
        <f t="shared" si="0"/>
        <v>5423097.1924249986</v>
      </c>
      <c r="F5" s="368">
        <f t="shared" si="1"/>
        <v>2.0898187832131633E-2</v>
      </c>
      <c r="G5" s="394"/>
      <c r="H5" s="394"/>
      <c r="I5" s="394"/>
      <c r="J5" s="394"/>
      <c r="K5" s="394"/>
      <c r="L5" s="394"/>
      <c r="M5" s="394"/>
      <c r="N5" s="394"/>
      <c r="O5" s="394"/>
      <c r="P5" s="394"/>
      <c r="Q5" s="394"/>
      <c r="R5" s="395">
        <f t="shared" si="2"/>
        <v>2.0898187832131633E-2</v>
      </c>
    </row>
    <row r="6" spans="1:20" s="221" customFormat="1" ht="17.25" customHeight="1" x14ac:dyDescent="0.35">
      <c r="A6" s="387" t="str">
        <f>DISTRIBUCIÓN!A144</f>
        <v>Revisión y aprobación de la recopilación de información de instrumentos existentes</v>
      </c>
      <c r="B6" s="259">
        <f>DISTRIBUCIÓN!V144</f>
        <v>8.9624975529141032E-3</v>
      </c>
      <c r="C6" s="132" t="s">
        <v>34</v>
      </c>
      <c r="D6" s="217">
        <v>1</v>
      </c>
      <c r="E6" s="260">
        <f t="shared" si="0"/>
        <v>2325775.5986666665</v>
      </c>
      <c r="F6" s="368">
        <f t="shared" si="1"/>
        <v>8.9624975529141032E-3</v>
      </c>
      <c r="G6" s="394"/>
      <c r="H6" s="394"/>
      <c r="I6" s="394"/>
      <c r="J6" s="394"/>
      <c r="K6" s="394"/>
      <c r="L6" s="394"/>
      <c r="M6" s="394"/>
      <c r="N6" s="394"/>
      <c r="O6" s="394"/>
      <c r="P6" s="394"/>
      <c r="Q6" s="394"/>
      <c r="R6" s="395">
        <f t="shared" si="2"/>
        <v>8.9624975529141032E-3</v>
      </c>
    </row>
    <row r="7" spans="1:20" s="221" customFormat="1" ht="17.25" customHeight="1" x14ac:dyDescent="0.35">
      <c r="A7" s="387" t="str">
        <f>DISTRIBUCIÓN!A145</f>
        <v>Revisión y aprobación de la recopilación de información de redes hidrometeorológicas hidrobiológicas y de calidad</v>
      </c>
      <c r="B7" s="259">
        <f>DISTRIBUCIÓN!V145</f>
        <v>8.9624975529141032E-3</v>
      </c>
      <c r="C7" s="132" t="s">
        <v>34</v>
      </c>
      <c r="D7" s="217">
        <v>1</v>
      </c>
      <c r="E7" s="260">
        <f t="shared" si="0"/>
        <v>2325775.5986666665</v>
      </c>
      <c r="F7" s="368">
        <f t="shared" si="1"/>
        <v>8.9624975529141032E-3</v>
      </c>
      <c r="G7" s="394"/>
      <c r="H7" s="394"/>
      <c r="I7" s="394"/>
      <c r="J7" s="394"/>
      <c r="K7" s="394"/>
      <c r="L7" s="394"/>
      <c r="M7" s="394"/>
      <c r="N7" s="394"/>
      <c r="O7" s="394"/>
      <c r="P7" s="394"/>
      <c r="Q7" s="394"/>
      <c r="R7" s="395">
        <f t="shared" si="2"/>
        <v>8.9624975529141032E-3</v>
      </c>
    </row>
    <row r="8" spans="1:20" s="221" customFormat="1" ht="17.25" customHeight="1" x14ac:dyDescent="0.35">
      <c r="A8" s="387" t="str">
        <f>DISTRIBUCIÓN!A146</f>
        <v>Revisión y aprobación de la identificación preliminar de usuarios y clasificación de los usos actuales</v>
      </c>
      <c r="B8" s="259">
        <f>DISTRIBUCIÓN!V146</f>
        <v>8.9624975529141032E-3</v>
      </c>
      <c r="C8" s="132" t="s">
        <v>34</v>
      </c>
      <c r="D8" s="217">
        <v>1</v>
      </c>
      <c r="E8" s="260">
        <f t="shared" si="0"/>
        <v>2325775.5986666665</v>
      </c>
      <c r="F8" s="368">
        <f t="shared" si="1"/>
        <v>8.9624975529141032E-3</v>
      </c>
      <c r="G8" s="394"/>
      <c r="H8" s="394"/>
      <c r="I8" s="394"/>
      <c r="J8" s="394"/>
      <c r="K8" s="394"/>
      <c r="L8" s="394"/>
      <c r="M8" s="394"/>
      <c r="N8" s="394"/>
      <c r="O8" s="394"/>
      <c r="P8" s="394"/>
      <c r="Q8" s="394"/>
      <c r="R8" s="395">
        <f t="shared" si="2"/>
        <v>8.9624975529141032E-3</v>
      </c>
    </row>
    <row r="9" spans="1:20" s="221" customFormat="1" ht="17.25" customHeight="1" x14ac:dyDescent="0.35">
      <c r="A9" s="387" t="str">
        <f>DISTRIBUCIÓN!A147</f>
        <v>Revisión y aprobación de la información asociada a los conflictos por uso del recurso hídrico</v>
      </c>
      <c r="B9" s="259">
        <f>DISTRIBUCIÓN!V147</f>
        <v>8.9624975529141032E-3</v>
      </c>
      <c r="C9" s="132" t="s">
        <v>34</v>
      </c>
      <c r="D9" s="217">
        <v>1</v>
      </c>
      <c r="E9" s="260">
        <f t="shared" si="0"/>
        <v>2325775.5986666665</v>
      </c>
      <c r="F9" s="368">
        <f t="shared" si="1"/>
        <v>8.9624975529141032E-3</v>
      </c>
      <c r="G9" s="394"/>
      <c r="H9" s="394"/>
      <c r="I9" s="394"/>
      <c r="J9" s="394"/>
      <c r="K9" s="394"/>
      <c r="L9" s="394"/>
      <c r="M9" s="394"/>
      <c r="N9" s="394"/>
      <c r="O9" s="394"/>
      <c r="P9" s="394"/>
      <c r="Q9" s="394"/>
      <c r="R9" s="395">
        <f t="shared" si="2"/>
        <v>8.9624975529141032E-3</v>
      </c>
    </row>
    <row r="10" spans="1:20" s="221" customFormat="1" ht="27" x14ac:dyDescent="0.35">
      <c r="A10" s="387" t="str">
        <f>DISTRIBUCIÓN!A148</f>
        <v>Revisión y aprobación del prediseño del plan de monitoreo de calidad y cantidad del recurso hídrico</v>
      </c>
      <c r="B10" s="259">
        <f>DISTRIBUCIÓN!V148</f>
        <v>2.0898187832131633E-2</v>
      </c>
      <c r="C10" s="132" t="s">
        <v>34</v>
      </c>
      <c r="D10" s="217">
        <v>1</v>
      </c>
      <c r="E10" s="260">
        <f t="shared" si="0"/>
        <v>5423097.1924249986</v>
      </c>
      <c r="F10" s="368">
        <f t="shared" si="1"/>
        <v>2.0898187832131633E-2</v>
      </c>
      <c r="G10" s="368"/>
      <c r="H10" s="394"/>
      <c r="I10" s="394"/>
      <c r="J10" s="394"/>
      <c r="K10" s="394"/>
      <c r="L10" s="394"/>
      <c r="M10" s="394"/>
      <c r="N10" s="394"/>
      <c r="O10" s="394"/>
      <c r="P10" s="394"/>
      <c r="Q10" s="394"/>
      <c r="R10" s="394">
        <f t="shared" si="2"/>
        <v>2.0898187832131633E-2</v>
      </c>
    </row>
    <row r="11" spans="1:20" s="221" customFormat="1" ht="13.5" x14ac:dyDescent="0.35">
      <c r="A11" s="387" t="str">
        <f>DISTRIBUCIÓN!A149</f>
        <v xml:space="preserve">Revisión y aprobación del Plan de Trabajo </v>
      </c>
      <c r="B11" s="259">
        <f>DISTRIBUCIÓN!V149</f>
        <v>8.9624975529141032E-3</v>
      </c>
      <c r="C11" s="132" t="s">
        <v>34</v>
      </c>
      <c r="D11" s="217">
        <v>1</v>
      </c>
      <c r="E11" s="260">
        <f t="shared" si="0"/>
        <v>2325775.5986666665</v>
      </c>
      <c r="F11" s="368">
        <f t="shared" si="1"/>
        <v>8.9624975529141032E-3</v>
      </c>
      <c r="G11" s="368"/>
      <c r="H11" s="394"/>
      <c r="I11" s="394"/>
      <c r="J11" s="394"/>
      <c r="K11" s="394"/>
      <c r="L11" s="394"/>
      <c r="M11" s="394"/>
      <c r="N11" s="394"/>
      <c r="O11" s="394"/>
      <c r="P11" s="394"/>
      <c r="Q11" s="394"/>
      <c r="R11" s="395">
        <f t="shared" si="2"/>
        <v>8.9624975529141032E-3</v>
      </c>
    </row>
    <row r="12" spans="1:20" ht="13.5" x14ac:dyDescent="0.35">
      <c r="A12" s="249" t="str">
        <f>DISTRIBUCIÓN!A59</f>
        <v>FASE 2. Diagnóstico</v>
      </c>
      <c r="B12" s="245">
        <f>DISTRIBUCIÓN!E131</f>
        <v>0.55671000000000004</v>
      </c>
      <c r="C12" s="246"/>
      <c r="D12" s="247"/>
      <c r="E12" s="248">
        <f>DISTRIBUCIÓN!D131</f>
        <v>144465527.78558332</v>
      </c>
      <c r="F12" s="245"/>
      <c r="G12" s="371"/>
      <c r="H12" s="371"/>
      <c r="I12" s="371"/>
      <c r="J12" s="371"/>
      <c r="K12" s="371"/>
      <c r="L12" s="371"/>
      <c r="M12" s="366"/>
      <c r="N12" s="366"/>
      <c r="O12" s="366"/>
      <c r="P12" s="366"/>
      <c r="Q12" s="366"/>
      <c r="R12" s="367">
        <f>SUM(R13:R32)</f>
        <v>0.55671000000000015</v>
      </c>
      <c r="S12" s="222" t="str">
        <f>IF(ABS(R12-B12)&lt;0.0001,"OK"," ERROR")</f>
        <v>OK</v>
      </c>
    </row>
    <row r="13" spans="1:20" ht="13.5" x14ac:dyDescent="0.35">
      <c r="A13" s="256" t="str">
        <f>DISTRIBUCIÓN!A155</f>
        <v>Caracterización Inicial</v>
      </c>
      <c r="B13" s="392"/>
      <c r="C13" s="255"/>
      <c r="D13" s="255"/>
      <c r="E13" s="255"/>
      <c r="F13" s="372"/>
      <c r="G13" s="372"/>
      <c r="H13" s="372"/>
      <c r="I13" s="372"/>
      <c r="J13" s="372"/>
      <c r="K13" s="372"/>
      <c r="L13" s="372"/>
      <c r="M13" s="377"/>
      <c r="N13" s="377"/>
      <c r="O13" s="377"/>
      <c r="P13" s="377"/>
      <c r="Q13" s="377"/>
      <c r="R13" s="366"/>
      <c r="S13" s="277" t="s">
        <v>146</v>
      </c>
    </row>
    <row r="14" spans="1:20" ht="31.5" customHeight="1" x14ac:dyDescent="0.35">
      <c r="A14" s="220" t="str">
        <f>DISTRIBUCIÓN!A156</f>
        <v xml:space="preserve">Revisión y aprobación del Paso 1. Diseño e implementación del proceso de participación </v>
      </c>
      <c r="B14" s="259">
        <f>DISTRIBUCIÓN!V156</f>
        <v>4.5619575230698005E-2</v>
      </c>
      <c r="C14" s="132" t="s">
        <v>34</v>
      </c>
      <c r="D14" s="133">
        <v>1</v>
      </c>
      <c r="E14" s="260">
        <f>B14*$E$12/$B$12</f>
        <v>11838221.000263892</v>
      </c>
      <c r="F14" s="373"/>
      <c r="G14" s="373">
        <f>$B$14</f>
        <v>4.5619575230698005E-2</v>
      </c>
      <c r="H14" s="373"/>
      <c r="I14" s="373"/>
      <c r="J14" s="373"/>
      <c r="K14" s="373"/>
      <c r="L14" s="373"/>
      <c r="M14" s="373"/>
      <c r="N14" s="373"/>
      <c r="O14" s="373"/>
      <c r="P14" s="373"/>
      <c r="Q14" s="373"/>
      <c r="R14" s="369">
        <f>SUM(F14:Q14)</f>
        <v>4.5619575230698005E-2</v>
      </c>
      <c r="S14" s="67"/>
      <c r="T14" s="67"/>
    </row>
    <row r="15" spans="1:20" ht="19.5" customHeight="1" x14ac:dyDescent="0.35">
      <c r="A15" s="390" t="str">
        <f>DISTRIBUCIÓN!A157</f>
        <v>Revisión y aprobación del Paso 2. Definición de los tramos o sectores de análisis</v>
      </c>
      <c r="B15" s="259">
        <f>DISTRIBUCIÓN!V157</f>
        <v>2.5726595328710196E-2</v>
      </c>
      <c r="C15" s="132" t="s">
        <v>34</v>
      </c>
      <c r="D15" s="133">
        <v>1</v>
      </c>
      <c r="E15" s="260">
        <f>B15*$E$12/$B$12</f>
        <v>6676018.3440000014</v>
      </c>
      <c r="F15" s="373"/>
      <c r="G15" s="373">
        <f>$B$15</f>
        <v>2.5726595328710196E-2</v>
      </c>
      <c r="H15" s="373"/>
      <c r="I15" s="373"/>
      <c r="J15" s="373"/>
      <c r="K15" s="373"/>
      <c r="L15" s="373"/>
      <c r="M15" s="373"/>
      <c r="N15" s="373"/>
      <c r="O15" s="373"/>
      <c r="P15" s="373"/>
      <c r="Q15" s="373"/>
      <c r="R15" s="369">
        <f t="shared" ref="R15:R32" si="3">SUM(F15:Q15)</f>
        <v>2.5726595328710196E-2</v>
      </c>
      <c r="S15" s="67"/>
      <c r="T15" s="67"/>
    </row>
    <row r="16" spans="1:20" ht="27" x14ac:dyDescent="0.35">
      <c r="A16" s="220" t="str">
        <f>DISTRIBUCIÓN!A158</f>
        <v xml:space="preserve">Revisión y aprobación del Paso 3. Definición para la estructura conceptual para la modelación de calidad del agua </v>
      </c>
      <c r="B16" s="259">
        <f>DISTRIBUCIÓN!V158</f>
        <v>4.5619575230698005E-2</v>
      </c>
      <c r="C16" s="132" t="s">
        <v>34</v>
      </c>
      <c r="D16" s="133">
        <v>1</v>
      </c>
      <c r="E16" s="260">
        <f>B16*$E$12/$B$12</f>
        <v>11838221.000263892</v>
      </c>
      <c r="F16" s="373"/>
      <c r="G16" s="373">
        <f>$B$16</f>
        <v>4.5619575230698005E-2</v>
      </c>
      <c r="H16" s="373"/>
      <c r="I16" s="373"/>
      <c r="J16" s="373"/>
      <c r="K16" s="373"/>
      <c r="L16" s="373"/>
      <c r="M16" s="373"/>
      <c r="N16" s="373"/>
      <c r="O16" s="373"/>
      <c r="P16" s="373"/>
      <c r="Q16" s="373"/>
      <c r="R16" s="369">
        <f t="shared" si="3"/>
        <v>4.5619575230698005E-2</v>
      </c>
      <c r="S16" s="67"/>
      <c r="T16" s="67"/>
    </row>
    <row r="17" spans="1:20" ht="13.5" x14ac:dyDescent="0.35">
      <c r="A17" s="256" t="str">
        <f>DISTRIBUCIÓN!A159</f>
        <v>Trabajo de campo</v>
      </c>
      <c r="B17" s="392"/>
      <c r="C17" s="255"/>
      <c r="D17" s="255"/>
      <c r="E17" s="255"/>
      <c r="F17" s="372"/>
      <c r="G17" s="372"/>
      <c r="H17" s="372"/>
      <c r="I17" s="372"/>
      <c r="J17" s="372"/>
      <c r="K17" s="372"/>
      <c r="L17" s="372"/>
      <c r="M17" s="373"/>
      <c r="N17" s="373"/>
      <c r="O17" s="373"/>
      <c r="P17" s="373"/>
      <c r="Q17" s="373"/>
      <c r="R17" s="369"/>
      <c r="S17" s="67"/>
      <c r="T17" s="67"/>
    </row>
    <row r="18" spans="1:20" ht="19.5" customHeight="1" x14ac:dyDescent="0.35">
      <c r="A18" s="220" t="str">
        <f>DISTRIBUCIÓN!A160</f>
        <v xml:space="preserve">Revisión y aprobación del Paso 1. Censo de usuarios y consolidación de información </v>
      </c>
      <c r="B18" s="259">
        <f>DISTRIBUCIÓN!V160</f>
        <v>4.5619575230698005E-2</v>
      </c>
      <c r="C18" s="132" t="s">
        <v>34</v>
      </c>
      <c r="D18" s="133">
        <v>1</v>
      </c>
      <c r="E18" s="260">
        <f>B18*$E$12/$B$12</f>
        <v>11838221.000263892</v>
      </c>
      <c r="F18" s="373"/>
      <c r="G18" s="373">
        <f>$B$18/4</f>
        <v>1.1404893807674501E-2</v>
      </c>
      <c r="H18" s="373">
        <f t="shared" ref="H18:J18" si="4">$B$18/4</f>
        <v>1.1404893807674501E-2</v>
      </c>
      <c r="I18" s="373">
        <f t="shared" si="4"/>
        <v>1.1404893807674501E-2</v>
      </c>
      <c r="J18" s="373">
        <f t="shared" si="4"/>
        <v>1.1404893807674501E-2</v>
      </c>
      <c r="K18" s="373"/>
      <c r="L18" s="373"/>
      <c r="M18" s="373"/>
      <c r="N18" s="373"/>
      <c r="O18" s="373"/>
      <c r="P18" s="373"/>
      <c r="Q18" s="373"/>
      <c r="R18" s="369">
        <f t="shared" si="3"/>
        <v>4.5619575230698005E-2</v>
      </c>
      <c r="S18" s="67"/>
      <c r="T18" s="67"/>
    </row>
    <row r="19" spans="1:20" ht="13.5" x14ac:dyDescent="0.35">
      <c r="A19" s="220" t="str">
        <f>DISTRIBUCIÓN!A161</f>
        <v>Revisión y aprobación del Paso 2. Diseño y ejecución del plan de monitoreo</v>
      </c>
      <c r="B19" s="259">
        <f>DISTRIBUCIÓN!V161</f>
        <v>4.5619575230698005E-2</v>
      </c>
      <c r="C19" s="132" t="s">
        <v>34</v>
      </c>
      <c r="D19" s="133">
        <v>1</v>
      </c>
      <c r="E19" s="260">
        <f>B19*$E$12/$B$12</f>
        <v>11838221.000263892</v>
      </c>
      <c r="F19" s="373"/>
      <c r="G19" s="373"/>
      <c r="H19" s="373">
        <f>$B$19/3</f>
        <v>1.5206525076899334E-2</v>
      </c>
      <c r="I19" s="373">
        <f>$B$19/3</f>
        <v>1.5206525076899334E-2</v>
      </c>
      <c r="J19" s="373"/>
      <c r="K19" s="373">
        <f>$B$19/3</f>
        <v>1.5206525076899334E-2</v>
      </c>
      <c r="L19" s="373"/>
      <c r="M19" s="373"/>
      <c r="N19" s="373"/>
      <c r="O19" s="373"/>
      <c r="P19" s="373"/>
      <c r="Q19" s="373"/>
      <c r="R19" s="369">
        <f t="shared" si="3"/>
        <v>4.5619575230698005E-2</v>
      </c>
      <c r="S19" s="67"/>
      <c r="T19" s="67"/>
    </row>
    <row r="20" spans="1:20" ht="13.5" x14ac:dyDescent="0.35">
      <c r="A20" s="256" t="str">
        <f>DISTRIBUCIÓN!A162</f>
        <v>Construcción de línea base</v>
      </c>
      <c r="B20" s="393"/>
      <c r="C20" s="256"/>
      <c r="D20" s="256"/>
      <c r="E20" s="256"/>
      <c r="F20" s="376"/>
      <c r="G20" s="376"/>
      <c r="H20" s="376"/>
      <c r="I20" s="376"/>
      <c r="J20" s="376"/>
      <c r="K20" s="376"/>
      <c r="L20" s="376"/>
      <c r="M20" s="373"/>
      <c r="N20" s="373"/>
      <c r="O20" s="373"/>
      <c r="P20" s="373"/>
      <c r="Q20" s="373"/>
      <c r="R20" s="369"/>
      <c r="S20" s="67"/>
      <c r="T20" s="67"/>
    </row>
    <row r="21" spans="1:20" ht="21.75" customHeight="1" x14ac:dyDescent="0.35">
      <c r="A21" s="284" t="str">
        <f>DISTRIBUCIÓN!A163</f>
        <v>Revisión y aprobación del Paso 1. Consolidación de usos existentes del recurso hídrico</v>
      </c>
      <c r="B21" s="259">
        <f>DISTRIBUCIÓN!V163</f>
        <v>2.5726595328710196E-2</v>
      </c>
      <c r="C21" s="132" t="s">
        <v>34</v>
      </c>
      <c r="D21" s="133">
        <v>1</v>
      </c>
      <c r="E21" s="260">
        <f>B21*$E$12/$B$12</f>
        <v>6676018.3440000014</v>
      </c>
      <c r="F21" s="373"/>
      <c r="G21" s="373"/>
      <c r="H21" s="373"/>
      <c r="I21" s="373"/>
      <c r="J21" s="373"/>
      <c r="K21" s="373">
        <f>$B$21/2</f>
        <v>1.2863297664355098E-2</v>
      </c>
      <c r="L21" s="373">
        <f>$B$21/2</f>
        <v>1.2863297664355098E-2</v>
      </c>
      <c r="M21" s="373"/>
      <c r="N21" s="373"/>
      <c r="O21" s="373"/>
      <c r="P21" s="373"/>
      <c r="Q21" s="373"/>
      <c r="R21" s="369">
        <f t="shared" si="3"/>
        <v>2.5726595328710196E-2</v>
      </c>
      <c r="S21" s="67"/>
      <c r="T21" s="67"/>
    </row>
    <row r="22" spans="1:20" ht="27" x14ac:dyDescent="0.35">
      <c r="A22" s="284" t="str">
        <f>DISTRIBUCIÓN!A164</f>
        <v>Revisión y aprobación del Paso 2. Estimación de la oferta hídrica total y oferta hídrica total disponible e indicadores de estado</v>
      </c>
      <c r="B22" s="259">
        <f>DISTRIBUCIÓN!V164</f>
        <v>2.5726595328710196E-2</v>
      </c>
      <c r="C22" s="132" t="s">
        <v>34</v>
      </c>
      <c r="D22" s="133">
        <v>1</v>
      </c>
      <c r="E22" s="260">
        <f>B22*$E$12/$B$12</f>
        <v>6676018.3440000014</v>
      </c>
      <c r="F22" s="373"/>
      <c r="G22" s="373"/>
      <c r="H22" s="373">
        <f>$B$22/3</f>
        <v>8.575531776236732E-3</v>
      </c>
      <c r="I22" s="373">
        <f t="shared" ref="I22:J22" si="5">$B$22/3</f>
        <v>8.575531776236732E-3</v>
      </c>
      <c r="J22" s="373">
        <f t="shared" si="5"/>
        <v>8.575531776236732E-3</v>
      </c>
      <c r="K22" s="373"/>
      <c r="L22" s="373"/>
      <c r="M22" s="373"/>
      <c r="N22" s="373"/>
      <c r="O22" s="373"/>
      <c r="P22" s="373"/>
      <c r="Q22" s="373"/>
      <c r="R22" s="369">
        <f t="shared" si="3"/>
        <v>2.5726595328710196E-2</v>
      </c>
      <c r="S22" s="67"/>
      <c r="T22" s="67"/>
    </row>
    <row r="23" spans="1:20" ht="27" x14ac:dyDescent="0.35">
      <c r="A23" s="284" t="str">
        <f>DISTRIBUCIÓN!A165</f>
        <v>Revisión y aprobación del Paso 3. Identificación de zonas de recarga del acuífero o interacciones con las aguas superficiales</v>
      </c>
      <c r="B23" s="259">
        <f>DISTRIBUCIÓN!V165</f>
        <v>4.5619575230698005E-2</v>
      </c>
      <c r="C23" s="132" t="s">
        <v>34</v>
      </c>
      <c r="D23" s="133">
        <v>1</v>
      </c>
      <c r="E23" s="260">
        <f t="shared" ref="E23:E32" si="6">B23*$E$12/$B$12</f>
        <v>11838221.000263892</v>
      </c>
      <c r="F23" s="373"/>
      <c r="G23" s="373"/>
      <c r="H23" s="373"/>
      <c r="I23" s="373">
        <f>$B$23/2</f>
        <v>2.2809787615349002E-2</v>
      </c>
      <c r="J23" s="373">
        <f>$B$23/2</f>
        <v>2.2809787615349002E-2</v>
      </c>
      <c r="K23" s="373"/>
      <c r="L23" s="373"/>
      <c r="M23" s="373"/>
      <c r="N23" s="373"/>
      <c r="O23" s="373"/>
      <c r="P23" s="373"/>
      <c r="Q23" s="373"/>
      <c r="R23" s="369">
        <f t="shared" si="3"/>
        <v>4.5619575230698005E-2</v>
      </c>
      <c r="S23" s="67"/>
      <c r="T23" s="67"/>
    </row>
    <row r="24" spans="1:20" ht="27" x14ac:dyDescent="0.35">
      <c r="A24" s="284" t="str">
        <f>DISTRIBUCIÓN!A166</f>
        <v>Revisión y aprobación del Paso 4. Elaboración de perfiles de calidad actual de cada cuerpo de agua</v>
      </c>
      <c r="B24" s="259">
        <f>DISTRIBUCIÓN!V166</f>
        <v>2.5726595328710196E-2</v>
      </c>
      <c r="C24" s="132" t="s">
        <v>34</v>
      </c>
      <c r="D24" s="133">
        <v>1</v>
      </c>
      <c r="E24" s="260">
        <f t="shared" si="6"/>
        <v>6676018.3440000014</v>
      </c>
      <c r="F24" s="373"/>
      <c r="G24" s="373"/>
      <c r="H24" s="373"/>
      <c r="I24" s="373"/>
      <c r="J24" s="373">
        <f>$B$24/2</f>
        <v>1.2863297664355098E-2</v>
      </c>
      <c r="K24" s="373"/>
      <c r="L24" s="373">
        <f>$B$24/2</f>
        <v>1.2863297664355098E-2</v>
      </c>
      <c r="M24" s="373"/>
      <c r="N24" s="373"/>
      <c r="O24" s="373"/>
      <c r="P24" s="373"/>
      <c r="Q24" s="373"/>
      <c r="R24" s="369">
        <f t="shared" si="3"/>
        <v>2.5726595328710196E-2</v>
      </c>
      <c r="S24" s="67"/>
      <c r="T24" s="67"/>
    </row>
    <row r="25" spans="1:20" ht="13.5" x14ac:dyDescent="0.35">
      <c r="A25" s="284" t="str">
        <f>DISTRIBUCIÓN!A167</f>
        <v>Revisión y aprobación del Paso 5. Estimación de indicadores de calidad de agua</v>
      </c>
      <c r="B25" s="259">
        <f>DISTRIBUCIÓN!V167</f>
        <v>2.5726595328710196E-2</v>
      </c>
      <c r="C25" s="132" t="s">
        <v>34</v>
      </c>
      <c r="D25" s="133">
        <v>1</v>
      </c>
      <c r="E25" s="260">
        <f t="shared" si="6"/>
        <v>6676018.3440000014</v>
      </c>
      <c r="F25" s="373"/>
      <c r="G25" s="373"/>
      <c r="H25" s="373"/>
      <c r="I25" s="373"/>
      <c r="J25" s="373">
        <f>$B$25/2</f>
        <v>1.2863297664355098E-2</v>
      </c>
      <c r="K25" s="373"/>
      <c r="L25" s="373">
        <f>$B$25/2</f>
        <v>1.2863297664355098E-2</v>
      </c>
      <c r="M25" s="373"/>
      <c r="N25" s="373"/>
      <c r="O25" s="373"/>
      <c r="P25" s="373"/>
      <c r="Q25" s="373"/>
      <c r="R25" s="369">
        <f t="shared" si="3"/>
        <v>2.5726595328710196E-2</v>
      </c>
      <c r="S25" s="67"/>
      <c r="T25" s="67"/>
    </row>
    <row r="26" spans="1:20" ht="13.5" x14ac:dyDescent="0.35">
      <c r="A26" s="284" t="str">
        <f>DISTRIBUCIÓN!A168</f>
        <v xml:space="preserve">Revisión y aprobación del Paso 6. Clasificación de los usos actuales </v>
      </c>
      <c r="B26" s="259">
        <f>DISTRIBUCIÓN!V168</f>
        <v>2.5726595328710196E-2</v>
      </c>
      <c r="C26" s="132" t="s">
        <v>34</v>
      </c>
      <c r="D26" s="133">
        <v>1</v>
      </c>
      <c r="E26" s="260">
        <f t="shared" si="6"/>
        <v>6676018.3440000014</v>
      </c>
      <c r="F26" s="373"/>
      <c r="G26" s="373"/>
      <c r="H26" s="373"/>
      <c r="I26" s="373"/>
      <c r="J26" s="373"/>
      <c r="K26" s="373">
        <f>$B$26/2</f>
        <v>1.2863297664355098E-2</v>
      </c>
      <c r="L26" s="373">
        <f>$B$26/2</f>
        <v>1.2863297664355098E-2</v>
      </c>
      <c r="M26" s="373"/>
      <c r="N26" s="373"/>
      <c r="O26" s="373"/>
      <c r="P26" s="373"/>
      <c r="Q26" s="373"/>
      <c r="R26" s="369">
        <f t="shared" si="3"/>
        <v>2.5726595328710196E-2</v>
      </c>
      <c r="S26" s="67"/>
      <c r="T26" s="67"/>
    </row>
    <row r="27" spans="1:20" ht="13.5" x14ac:dyDescent="0.35">
      <c r="A27" s="284" t="str">
        <f>DISTRIBUCIÓN!A169</f>
        <v>Revisión y aprobación del Paso 7. Estudio de demanda de agua</v>
      </c>
      <c r="B27" s="259">
        <f>DISTRIBUCIÓN!V169</f>
        <v>2.5726595328710196E-2</v>
      </c>
      <c r="C27" s="132" t="s">
        <v>34</v>
      </c>
      <c r="D27" s="133">
        <v>1</v>
      </c>
      <c r="E27" s="260">
        <f t="shared" si="6"/>
        <v>6676018.3440000014</v>
      </c>
      <c r="F27" s="373"/>
      <c r="G27" s="373"/>
      <c r="H27" s="373"/>
      <c r="I27" s="373"/>
      <c r="J27" s="373"/>
      <c r="K27" s="373">
        <f>B27</f>
        <v>2.5726595328710196E-2</v>
      </c>
      <c r="L27" s="373"/>
      <c r="M27" s="373"/>
      <c r="N27" s="373"/>
      <c r="O27" s="373"/>
      <c r="P27" s="373"/>
      <c r="Q27" s="373"/>
      <c r="R27" s="369">
        <f t="shared" si="3"/>
        <v>2.5726595328710196E-2</v>
      </c>
      <c r="S27" s="67"/>
      <c r="T27" s="67"/>
    </row>
    <row r="28" spans="1:20" ht="13.5" x14ac:dyDescent="0.35">
      <c r="A28" s="284" t="str">
        <f>DISTRIBUCIÓN!A170</f>
        <v>Revisión y aprobación del Paso 8. Indicadores de presión sobre el recurso hídrico superficial</v>
      </c>
      <c r="B28" s="259">
        <f>DISTRIBUCIÓN!V170</f>
        <v>2.5726595328710196E-2</v>
      </c>
      <c r="C28" s="132" t="s">
        <v>34</v>
      </c>
      <c r="D28" s="133">
        <v>1</v>
      </c>
      <c r="E28" s="260">
        <f t="shared" si="6"/>
        <v>6676018.3440000014</v>
      </c>
      <c r="F28" s="373"/>
      <c r="G28" s="373"/>
      <c r="H28" s="373"/>
      <c r="I28" s="373"/>
      <c r="J28" s="373"/>
      <c r="K28" s="373"/>
      <c r="L28" s="373">
        <f>B28</f>
        <v>2.5726595328710196E-2</v>
      </c>
      <c r="M28" s="373"/>
      <c r="N28" s="373"/>
      <c r="O28" s="373"/>
      <c r="P28" s="373"/>
      <c r="Q28" s="373"/>
      <c r="R28" s="369">
        <f t="shared" si="3"/>
        <v>2.5726595328710196E-2</v>
      </c>
      <c r="S28" s="67"/>
      <c r="T28" s="67"/>
    </row>
    <row r="29" spans="1:20" ht="13.5" x14ac:dyDescent="0.35">
      <c r="A29" s="284" t="str">
        <f>DISTRIBUCIÓN!A171</f>
        <v>Revisión y aprobación del Paso 9. Estimación cualitativa del riesgo</v>
      </c>
      <c r="B29" s="259">
        <f>DISTRIBUCIÓN!V171</f>
        <v>2.5726595328710196E-2</v>
      </c>
      <c r="C29" s="132" t="s">
        <v>34</v>
      </c>
      <c r="D29" s="133">
        <v>1</v>
      </c>
      <c r="E29" s="260">
        <f t="shared" si="6"/>
        <v>6676018.3440000014</v>
      </c>
      <c r="F29" s="373"/>
      <c r="G29" s="373"/>
      <c r="H29" s="373"/>
      <c r="I29" s="373"/>
      <c r="J29" s="373"/>
      <c r="K29" s="373"/>
      <c r="L29" s="373">
        <f>B29</f>
        <v>2.5726595328710196E-2</v>
      </c>
      <c r="M29" s="373"/>
      <c r="N29" s="373"/>
      <c r="O29" s="373"/>
      <c r="P29" s="373"/>
      <c r="Q29" s="373"/>
      <c r="R29" s="369">
        <f t="shared" si="3"/>
        <v>2.5726595328710196E-2</v>
      </c>
      <c r="S29" s="67"/>
      <c r="T29" s="67"/>
    </row>
    <row r="30" spans="1:20" ht="27" x14ac:dyDescent="0.35">
      <c r="A30" s="284" t="str">
        <f>DISTRIBUCIÓN!A172</f>
        <v xml:space="preserve">Revisión y aprobación del Paso 10. Análisis de problemáticas y conflictos derivados del recurso hídrico </v>
      </c>
      <c r="B30" s="259">
        <f>DISTRIBUCIÓN!V172</f>
        <v>2.5726595328710196E-2</v>
      </c>
      <c r="C30" s="132" t="s">
        <v>34</v>
      </c>
      <c r="D30" s="133">
        <v>1</v>
      </c>
      <c r="E30" s="260">
        <f t="shared" si="6"/>
        <v>6676018.3440000014</v>
      </c>
      <c r="F30" s="373"/>
      <c r="G30" s="373"/>
      <c r="H30" s="373">
        <f>$B$30/5</f>
        <v>5.1453190657420392E-3</v>
      </c>
      <c r="I30" s="373">
        <f t="shared" ref="I30:L30" si="7">$B$30/5</f>
        <v>5.1453190657420392E-3</v>
      </c>
      <c r="J30" s="373">
        <f t="shared" si="7"/>
        <v>5.1453190657420392E-3</v>
      </c>
      <c r="K30" s="373">
        <f t="shared" si="7"/>
        <v>5.1453190657420392E-3</v>
      </c>
      <c r="L30" s="373">
        <f t="shared" si="7"/>
        <v>5.1453190657420392E-3</v>
      </c>
      <c r="M30" s="373"/>
      <c r="N30" s="373"/>
      <c r="O30" s="373"/>
      <c r="P30" s="373"/>
      <c r="Q30" s="373"/>
      <c r="R30" s="369">
        <f t="shared" si="3"/>
        <v>2.5726595328710196E-2</v>
      </c>
      <c r="S30" s="67"/>
      <c r="T30" s="67"/>
    </row>
    <row r="31" spans="1:20" ht="27" x14ac:dyDescent="0.35">
      <c r="A31" s="284" t="str">
        <f>DISTRIBUCIÓN!A173</f>
        <v xml:space="preserve">Revisión y aprobación del Paso 11. Sistematización de la información resultado de la fase de diagnóstico </v>
      </c>
      <c r="B31" s="259">
        <f>DISTRIBUCIÓN!V173</f>
        <v>2.5726595328710196E-2</v>
      </c>
      <c r="C31" s="132" t="s">
        <v>34</v>
      </c>
      <c r="D31" s="133">
        <v>1</v>
      </c>
      <c r="E31" s="260">
        <f t="shared" si="6"/>
        <v>6676018.3440000014</v>
      </c>
      <c r="F31" s="373"/>
      <c r="G31" s="373">
        <f>$B$31/6</f>
        <v>4.287765888118366E-3</v>
      </c>
      <c r="H31" s="373">
        <f t="shared" ref="H31:L31" si="8">$B$31/6</f>
        <v>4.287765888118366E-3</v>
      </c>
      <c r="I31" s="373">
        <f t="shared" si="8"/>
        <v>4.287765888118366E-3</v>
      </c>
      <c r="J31" s="373">
        <f t="shared" si="8"/>
        <v>4.287765888118366E-3</v>
      </c>
      <c r="K31" s="373">
        <f t="shared" si="8"/>
        <v>4.287765888118366E-3</v>
      </c>
      <c r="L31" s="373">
        <f t="shared" si="8"/>
        <v>4.287765888118366E-3</v>
      </c>
      <c r="M31" s="373"/>
      <c r="N31" s="373"/>
      <c r="O31" s="373"/>
      <c r="P31" s="373"/>
      <c r="Q31" s="373"/>
      <c r="R31" s="369">
        <f t="shared" si="3"/>
        <v>2.5726595328710196E-2</v>
      </c>
      <c r="S31" s="67"/>
      <c r="T31" s="67"/>
    </row>
    <row r="32" spans="1:20" ht="33.75" customHeight="1" x14ac:dyDescent="0.35">
      <c r="A32" s="284" t="str">
        <f>DISTRIBUCIÓN!A174</f>
        <v>Revisión y aprobación del Paso 12. Socialización de los resultados de la fase de diagnóstico</v>
      </c>
      <c r="B32" s="259">
        <f>DISTRIBUCIÓN!V174</f>
        <v>4.5619575230698005E-2</v>
      </c>
      <c r="C32" s="132" t="s">
        <v>34</v>
      </c>
      <c r="D32" s="133">
        <v>1</v>
      </c>
      <c r="E32" s="260">
        <f t="shared" si="6"/>
        <v>11838221.000263892</v>
      </c>
      <c r="F32" s="373"/>
      <c r="G32" s="373"/>
      <c r="H32" s="373"/>
      <c r="I32" s="373"/>
      <c r="J32" s="373"/>
      <c r="K32" s="373"/>
      <c r="L32" s="373">
        <f>B32</f>
        <v>4.5619575230698005E-2</v>
      </c>
      <c r="M32" s="373"/>
      <c r="N32" s="373"/>
      <c r="O32" s="373"/>
      <c r="P32" s="373"/>
      <c r="Q32" s="373"/>
      <c r="R32" s="369">
        <f t="shared" si="3"/>
        <v>4.5619575230698005E-2</v>
      </c>
      <c r="S32" s="67"/>
      <c r="T32" s="67"/>
    </row>
    <row r="33" spans="1:20" ht="13.5" x14ac:dyDescent="0.35">
      <c r="A33" s="250" t="str">
        <f>DISTRIBUCIÓN!A85</f>
        <v>FASE 3. Identificación de usos potenciales</v>
      </c>
      <c r="B33" s="251">
        <f>DISTRIBUCIÓN!E132</f>
        <v>0.13707014149498464</v>
      </c>
      <c r="C33" s="252"/>
      <c r="D33" s="252"/>
      <c r="E33" s="248">
        <f>DISTRIBUCIÓN!D132</f>
        <v>35569816.171516664</v>
      </c>
      <c r="F33" s="251"/>
      <c r="G33" s="251"/>
      <c r="H33" s="251"/>
      <c r="I33" s="251"/>
      <c r="J33" s="251"/>
      <c r="K33" s="251"/>
      <c r="L33" s="251"/>
      <c r="M33" s="251"/>
      <c r="N33" s="251"/>
      <c r="O33" s="373"/>
      <c r="P33" s="373"/>
      <c r="Q33" s="373"/>
      <c r="R33" s="367">
        <f>SUM(R34:R38)</f>
        <v>0.13707014149498464</v>
      </c>
      <c r="S33" s="222" t="str">
        <f>IF(ABS(R33-B33)&lt;0.0001,"OK"," ERROR")</f>
        <v>OK</v>
      </c>
      <c r="T33" s="67"/>
    </row>
    <row r="34" spans="1:20" ht="13.5" x14ac:dyDescent="0.35">
      <c r="A34" s="220" t="str">
        <f>DISTRIBUCIÓN!A180</f>
        <v>Revisión y aprobación del Paso 1: Proyección de la demanda de agua</v>
      </c>
      <c r="B34" s="259">
        <f>DISTRIBUCIÓN!V180</f>
        <v>2.2639752187309913E-2</v>
      </c>
      <c r="C34" s="132" t="s">
        <v>34</v>
      </c>
      <c r="D34" s="133">
        <v>1</v>
      </c>
      <c r="E34" s="260">
        <f>B34*$E$33/$B$33</f>
        <v>5875034.5967999985</v>
      </c>
      <c r="F34" s="377"/>
      <c r="G34" s="377"/>
      <c r="H34" s="377"/>
      <c r="I34" s="377"/>
      <c r="J34" s="373"/>
      <c r="K34" s="377"/>
      <c r="L34" s="377"/>
      <c r="M34" s="373">
        <f>B34/2</f>
        <v>1.1319876093654957E-2</v>
      </c>
      <c r="N34" s="373">
        <f>B34/2</f>
        <v>1.1319876093654957E-2</v>
      </c>
      <c r="O34" s="377"/>
      <c r="P34" s="377"/>
      <c r="Q34" s="377"/>
      <c r="R34" s="366">
        <f>SUM(F34:Q34)</f>
        <v>2.2639752187309913E-2</v>
      </c>
      <c r="S34" s="277" t="s">
        <v>146</v>
      </c>
      <c r="T34" s="67"/>
    </row>
    <row r="35" spans="1:20" ht="33.75" customHeight="1" x14ac:dyDescent="0.35">
      <c r="A35" s="220" t="str">
        <f>DISTRIBUCIÓN!A181</f>
        <v>Revisión y aprobación del Paso 2: Modelación de la calidad del agua y simulación de escenarios</v>
      </c>
      <c r="B35" s="259">
        <f>DISTRIBUCIÓN!V181</f>
        <v>2.2639752187309913E-2</v>
      </c>
      <c r="C35" s="132" t="s">
        <v>34</v>
      </c>
      <c r="D35" s="133">
        <v>1</v>
      </c>
      <c r="E35" s="260">
        <f t="shared" ref="E35:E38" si="9">B35*$E$33/$B$33</f>
        <v>5875034.5967999985</v>
      </c>
      <c r="F35" s="377"/>
      <c r="G35" s="377"/>
      <c r="H35" s="377"/>
      <c r="I35" s="377"/>
      <c r="J35" s="373"/>
      <c r="K35" s="377"/>
      <c r="L35" s="377"/>
      <c r="M35" s="373">
        <f>B35/2</f>
        <v>1.1319876093654957E-2</v>
      </c>
      <c r="N35" s="373">
        <f>B35/2</f>
        <v>1.1319876093654957E-2</v>
      </c>
      <c r="O35" s="377"/>
      <c r="P35" s="377"/>
      <c r="Q35" s="377"/>
      <c r="R35" s="366">
        <f t="shared" ref="R35:R38" si="10">SUM(F35:Q35)</f>
        <v>2.2639752187309913E-2</v>
      </c>
      <c r="S35" s="277"/>
      <c r="T35" s="67"/>
    </row>
    <row r="36" spans="1:20" ht="33.75" customHeight="1" x14ac:dyDescent="0.35">
      <c r="A36" s="220" t="str">
        <f>DISTRIBUCIÓN!A182</f>
        <v>Revisión y aprobación del Paso 3: Clasificación del cuerpo de agua e identificación de usos potenciales</v>
      </c>
      <c r="B36" s="259">
        <f>DISTRIBUCIÓN!V182</f>
        <v>2.2639752187309913E-2</v>
      </c>
      <c r="C36" s="132" t="s">
        <v>34</v>
      </c>
      <c r="D36" s="133">
        <v>1</v>
      </c>
      <c r="E36" s="260">
        <f t="shared" si="9"/>
        <v>5875034.5967999985</v>
      </c>
      <c r="F36" s="377"/>
      <c r="G36" s="377"/>
      <c r="H36" s="377"/>
      <c r="I36" s="377"/>
      <c r="J36" s="373"/>
      <c r="K36" s="377"/>
      <c r="L36" s="377"/>
      <c r="M36" s="373">
        <f>B36/2</f>
        <v>1.1319876093654957E-2</v>
      </c>
      <c r="N36" s="373">
        <f>B36/2</f>
        <v>1.1319876093654957E-2</v>
      </c>
      <c r="O36" s="377"/>
      <c r="P36" s="377"/>
      <c r="Q36" s="377"/>
      <c r="R36" s="366">
        <f t="shared" si="10"/>
        <v>2.2639752187309913E-2</v>
      </c>
      <c r="T36" s="67"/>
    </row>
    <row r="37" spans="1:20" ht="33.75" customHeight="1" x14ac:dyDescent="0.35">
      <c r="A37" s="220" t="str">
        <f>DISTRIBUCIÓN!A183</f>
        <v>Revisión y aprobación del Paso 4. Estimación cualitativa de riesgos asociados a reducción de la oferta y disponibilidad del recurso hídrico</v>
      </c>
      <c r="B37" s="259">
        <f>DISTRIBUCIÓN!V183</f>
        <v>2.2639752187309913E-2</v>
      </c>
      <c r="C37" s="132" t="s">
        <v>34</v>
      </c>
      <c r="D37" s="133">
        <v>1</v>
      </c>
      <c r="E37" s="260">
        <f t="shared" si="9"/>
        <v>5875034.5967999985</v>
      </c>
      <c r="F37" s="377"/>
      <c r="G37" s="377"/>
      <c r="H37" s="377"/>
      <c r="I37" s="377"/>
      <c r="J37" s="373"/>
      <c r="K37" s="377"/>
      <c r="L37" s="377"/>
      <c r="M37" s="373">
        <f>B37/2</f>
        <v>1.1319876093654957E-2</v>
      </c>
      <c r="N37" s="373">
        <f>B37/2</f>
        <v>1.1319876093654957E-2</v>
      </c>
      <c r="O37" s="377"/>
      <c r="P37" s="377"/>
      <c r="Q37" s="377"/>
      <c r="R37" s="366">
        <f t="shared" si="10"/>
        <v>2.2639752187309913E-2</v>
      </c>
      <c r="T37" s="67"/>
    </row>
    <row r="38" spans="1:20" ht="33.75" customHeight="1" x14ac:dyDescent="0.35">
      <c r="A38" s="220" t="str">
        <f>DISTRIBUCIÓN!A184</f>
        <v>Revisión y aprobación Paso 5. Socialización de los resultados de la fase de Usos Potenciales</v>
      </c>
      <c r="B38" s="259">
        <f>DISTRIBUCIÓN!V184</f>
        <v>4.6511132745744983E-2</v>
      </c>
      <c r="C38" s="132" t="s">
        <v>34</v>
      </c>
      <c r="D38" s="133">
        <v>1</v>
      </c>
      <c r="E38" s="260">
        <f t="shared" si="9"/>
        <v>12069677.784316666</v>
      </c>
      <c r="F38" s="377"/>
      <c r="G38" s="377"/>
      <c r="H38" s="377"/>
      <c r="I38" s="377"/>
      <c r="J38" s="373"/>
      <c r="K38" s="377"/>
      <c r="L38" s="377"/>
      <c r="M38" s="373"/>
      <c r="N38" s="373">
        <f>B38</f>
        <v>4.6511132745744983E-2</v>
      </c>
      <c r="O38" s="377"/>
      <c r="P38" s="377"/>
      <c r="Q38" s="377"/>
      <c r="R38" s="366">
        <f t="shared" si="10"/>
        <v>4.6511132745744983E-2</v>
      </c>
      <c r="T38" s="67"/>
    </row>
    <row r="39" spans="1:20" ht="13.5" x14ac:dyDescent="0.35">
      <c r="A39" s="250" t="str">
        <f>DISTRIBUCIÓN!A95</f>
        <v>FASE 4. Elaboración del plan</v>
      </c>
      <c r="B39" s="365">
        <f>DISTRIBUCIÓN!E133</f>
        <v>0.20169055446591014</v>
      </c>
      <c r="C39" s="250" t="s">
        <v>34</v>
      </c>
      <c r="D39" s="250">
        <v>1</v>
      </c>
      <c r="E39" s="254">
        <f>DISTRIBUCIÓN!D133</f>
        <v>52338867.295516662</v>
      </c>
      <c r="F39" s="253"/>
      <c r="G39" s="253"/>
      <c r="H39" s="253"/>
      <c r="I39" s="253"/>
      <c r="J39" s="253"/>
      <c r="K39" s="253"/>
      <c r="L39" s="253"/>
      <c r="M39" s="253"/>
      <c r="N39" s="253"/>
      <c r="O39" s="253"/>
      <c r="P39" s="253"/>
      <c r="Q39" s="253"/>
      <c r="R39" s="367">
        <f>SUM(R40:R49)</f>
        <v>0.20169055446591014</v>
      </c>
      <c r="S39" s="222" t="str">
        <f>IF(ABS(R39-B39)&lt;0.0001,"OK"," ERROR")</f>
        <v>OK</v>
      </c>
      <c r="T39" s="67"/>
    </row>
    <row r="40" spans="1:20" ht="27" x14ac:dyDescent="0.35">
      <c r="A40" s="243" t="str">
        <f>DISTRIBUCIÓN!A190</f>
        <v xml:space="preserve">Revisión y aprobación del Paso 1: Definición o ajuste de objetivos y criterios de calidad por uso </v>
      </c>
      <c r="B40" s="259">
        <f>DISTRIBUCIÓN!V190</f>
        <v>1.7781917390747509E-2</v>
      </c>
      <c r="C40" s="132" t="s">
        <v>34</v>
      </c>
      <c r="D40" s="133">
        <v>1</v>
      </c>
      <c r="E40" s="187">
        <f>B40*$E$33/$B$33</f>
        <v>4614422.4108000007</v>
      </c>
      <c r="F40" s="377"/>
      <c r="G40" s="377"/>
      <c r="H40" s="377"/>
      <c r="I40" s="377"/>
      <c r="J40" s="377"/>
      <c r="K40" s="377"/>
      <c r="L40" s="377"/>
      <c r="M40" s="377"/>
      <c r="N40" s="377"/>
      <c r="O40" s="377">
        <f>B40</f>
        <v>1.7781917390747509E-2</v>
      </c>
      <c r="P40" s="377"/>
      <c r="Q40" s="377"/>
      <c r="R40" s="366">
        <f t="shared" ref="R40:R49" si="11">SUM(F40:Q40)</f>
        <v>1.7781917390747509E-2</v>
      </c>
      <c r="S40" s="166" t="s">
        <v>146</v>
      </c>
      <c r="T40" s="67"/>
    </row>
    <row r="41" spans="1:20" ht="17.25" customHeight="1" x14ac:dyDescent="0.35">
      <c r="A41" s="243" t="str">
        <f>DISTRIBUCIÓN!A191</f>
        <v>Revisión y aprobación del Paso 2: Definición de prohibiciones y condicionamientos</v>
      </c>
      <c r="B41" s="259">
        <f>DISTRIBUCIÓN!V191</f>
        <v>1.7781917390747509E-2</v>
      </c>
      <c r="C41" s="132" t="s">
        <v>34</v>
      </c>
      <c r="D41" s="133">
        <v>1</v>
      </c>
      <c r="E41" s="187">
        <f t="shared" ref="E41:E49" si="12">B41*$E$33/$B$33</f>
        <v>4614422.4108000007</v>
      </c>
      <c r="F41" s="377"/>
      <c r="G41" s="377"/>
      <c r="H41" s="377"/>
      <c r="I41" s="377"/>
      <c r="J41" s="377"/>
      <c r="K41" s="377"/>
      <c r="L41" s="377"/>
      <c r="M41" s="377"/>
      <c r="N41" s="377"/>
      <c r="O41" s="377">
        <f t="shared" ref="O41:O44" si="13">B41</f>
        <v>1.7781917390747509E-2</v>
      </c>
      <c r="P41" s="377"/>
      <c r="Q41" s="377"/>
      <c r="R41" s="366">
        <f t="shared" si="11"/>
        <v>1.7781917390747509E-2</v>
      </c>
      <c r="S41" s="166"/>
      <c r="T41" s="67"/>
    </row>
    <row r="42" spans="1:20" ht="27" x14ac:dyDescent="0.35">
      <c r="A42" s="243" t="str">
        <f>DISTRIBUCIÓN!A192</f>
        <v>Revisión y aprobación del Paso 3: Definición o ajuste de metas quinquenales de reducción de cargas contaminantes</v>
      </c>
      <c r="B42" s="259">
        <f>DISTRIBUCIÓN!V192</f>
        <v>1.7781917390747509E-2</v>
      </c>
      <c r="C42" s="132" t="s">
        <v>34</v>
      </c>
      <c r="D42" s="133">
        <v>1</v>
      </c>
      <c r="E42" s="187">
        <f t="shared" si="12"/>
        <v>4614422.4108000007</v>
      </c>
      <c r="F42" s="377"/>
      <c r="G42" s="377"/>
      <c r="H42" s="377"/>
      <c r="I42" s="377"/>
      <c r="J42" s="377"/>
      <c r="K42" s="377"/>
      <c r="L42" s="377"/>
      <c r="M42" s="377"/>
      <c r="N42" s="377"/>
      <c r="O42" s="377">
        <f t="shared" si="13"/>
        <v>1.7781917390747509E-2</v>
      </c>
      <c r="P42" s="373"/>
      <c r="Q42" s="373"/>
      <c r="R42" s="366">
        <f t="shared" si="11"/>
        <v>1.7781917390747509E-2</v>
      </c>
      <c r="S42" s="166"/>
      <c r="T42" s="67"/>
    </row>
    <row r="43" spans="1:20" ht="13.5" x14ac:dyDescent="0.35">
      <c r="A43" s="243" t="str">
        <f>DISTRIBUCIÓN!A193</f>
        <v>Revisión y aprobación del Paso 4. Articulación con el POMCA</v>
      </c>
      <c r="B43" s="259">
        <f>DISTRIBUCIÓN!V193</f>
        <v>1.7781917390747509E-2</v>
      </c>
      <c r="C43" s="132" t="s">
        <v>34</v>
      </c>
      <c r="D43" s="133">
        <v>1</v>
      </c>
      <c r="E43" s="187">
        <f t="shared" si="12"/>
        <v>4614422.4108000007</v>
      </c>
      <c r="F43" s="377"/>
      <c r="G43" s="377"/>
      <c r="H43" s="377"/>
      <c r="I43" s="377"/>
      <c r="J43" s="377"/>
      <c r="K43" s="377"/>
      <c r="L43" s="377"/>
      <c r="M43" s="377"/>
      <c r="N43" s="377"/>
      <c r="O43" s="377">
        <f t="shared" si="13"/>
        <v>1.7781917390747509E-2</v>
      </c>
      <c r="P43" s="377"/>
      <c r="Q43" s="377"/>
      <c r="R43" s="366">
        <f t="shared" si="11"/>
        <v>1.7781917390747509E-2</v>
      </c>
      <c r="S43" s="166"/>
      <c r="T43" s="67"/>
    </row>
    <row r="44" spans="1:20" ht="13.5" x14ac:dyDescent="0.35">
      <c r="A44" s="243" t="str">
        <f>DISTRIBUCIÓN!A194</f>
        <v>Revisión y aprobación del Paso 5: Articulación con otros instrumentos</v>
      </c>
      <c r="B44" s="259">
        <f>DISTRIBUCIÓN!V194</f>
        <v>1.7781917390747509E-2</v>
      </c>
      <c r="C44" s="132" t="s">
        <v>34</v>
      </c>
      <c r="D44" s="133">
        <v>1</v>
      </c>
      <c r="E44" s="187">
        <f t="shared" si="12"/>
        <v>4614422.4108000007</v>
      </c>
      <c r="F44" s="377"/>
      <c r="G44" s="377"/>
      <c r="H44" s="377"/>
      <c r="I44" s="377"/>
      <c r="J44" s="377"/>
      <c r="K44" s="377"/>
      <c r="L44" s="377"/>
      <c r="M44" s="377"/>
      <c r="N44" s="377"/>
      <c r="O44" s="377">
        <f t="shared" si="13"/>
        <v>1.7781917390747509E-2</v>
      </c>
      <c r="P44" s="377"/>
      <c r="Q44" s="377"/>
      <c r="R44" s="366">
        <f t="shared" si="11"/>
        <v>1.7781917390747509E-2</v>
      </c>
      <c r="S44" s="166"/>
      <c r="T44" s="67"/>
    </row>
    <row r="45" spans="1:20" ht="27" x14ac:dyDescent="0.35">
      <c r="A45" s="243" t="str">
        <f>DISTRIBUCIÓN!A195</f>
        <v>Revisión y aprobación del Paso 6: Elaboración del programa de seguimiento y monitoreo al recurso hídrico</v>
      </c>
      <c r="B45" s="259">
        <f>DISTRIBUCIÓN!V195</f>
        <v>1.7781917390747509E-2</v>
      </c>
      <c r="C45" s="132" t="s">
        <v>34</v>
      </c>
      <c r="D45" s="133">
        <v>1</v>
      </c>
      <c r="E45" s="187">
        <f t="shared" si="12"/>
        <v>4614422.4108000007</v>
      </c>
      <c r="F45" s="377"/>
      <c r="G45" s="377"/>
      <c r="H45" s="377"/>
      <c r="I45" s="377"/>
      <c r="J45" s="377"/>
      <c r="K45" s="377"/>
      <c r="L45" s="377"/>
      <c r="M45" s="377"/>
      <c r="N45" s="377"/>
      <c r="O45" s="377"/>
      <c r="P45" s="377">
        <f>B45</f>
        <v>1.7781917390747509E-2</v>
      </c>
      <c r="Q45" s="377"/>
      <c r="R45" s="366">
        <f t="shared" si="11"/>
        <v>1.7781917390747509E-2</v>
      </c>
      <c r="S45" s="166"/>
      <c r="T45" s="67"/>
    </row>
    <row r="46" spans="1:20" ht="13.5" x14ac:dyDescent="0.35">
      <c r="A46" s="243" t="str">
        <f>DISTRIBUCIÓN!A196</f>
        <v>Revisión y aprobación del Paso 7: Estructuración de proyectos y actividades</v>
      </c>
      <c r="B46" s="259">
        <f>DISTRIBUCIÓN!V196</f>
        <v>1.7781917390747509E-2</v>
      </c>
      <c r="C46" s="132" t="s">
        <v>34</v>
      </c>
      <c r="D46" s="133">
        <v>1</v>
      </c>
      <c r="E46" s="187">
        <f t="shared" si="12"/>
        <v>4614422.4108000007</v>
      </c>
      <c r="F46" s="377"/>
      <c r="G46" s="377"/>
      <c r="H46" s="377"/>
      <c r="I46" s="377"/>
      <c r="J46" s="377"/>
      <c r="K46" s="377"/>
      <c r="L46" s="377"/>
      <c r="M46" s="377"/>
      <c r="N46" s="377"/>
      <c r="O46" s="377"/>
      <c r="P46" s="377">
        <f t="shared" ref="P46:P48" si="14">B46</f>
        <v>1.7781917390747509E-2</v>
      </c>
      <c r="Q46" s="377"/>
      <c r="R46" s="366">
        <f t="shared" si="11"/>
        <v>1.7781917390747509E-2</v>
      </c>
      <c r="S46" s="166"/>
      <c r="T46" s="67"/>
    </row>
    <row r="47" spans="1:20" ht="13.5" x14ac:dyDescent="0.35">
      <c r="A47" s="243" t="str">
        <f>DISTRIBUCIÓN!A197</f>
        <v>Revisión y aprobación del Paso 8: Elaboración de informes</v>
      </c>
      <c r="B47" s="259">
        <f>DISTRIBUCIÓN!V197</f>
        <v>1.7781917390747509E-2</v>
      </c>
      <c r="C47" s="132" t="s">
        <v>34</v>
      </c>
      <c r="D47" s="133">
        <v>1</v>
      </c>
      <c r="E47" s="187">
        <f t="shared" si="12"/>
        <v>4614422.4108000007</v>
      </c>
      <c r="F47" s="377"/>
      <c r="G47" s="377"/>
      <c r="H47" s="377"/>
      <c r="I47" s="377"/>
      <c r="J47" s="377"/>
      <c r="K47" s="377"/>
      <c r="L47" s="377"/>
      <c r="M47" s="377"/>
      <c r="N47" s="377"/>
      <c r="O47" s="377"/>
      <c r="P47" s="377">
        <f t="shared" si="14"/>
        <v>1.7781917390747509E-2</v>
      </c>
      <c r="Q47" s="377"/>
      <c r="R47" s="366">
        <f t="shared" si="11"/>
        <v>1.7781917390747509E-2</v>
      </c>
      <c r="T47" s="67"/>
    </row>
    <row r="48" spans="1:20" ht="13.5" x14ac:dyDescent="0.35">
      <c r="A48" s="243" t="str">
        <f>DISTRIBUCIÓN!A198</f>
        <v>Revisión y aprobación del Paso 9: Socialización del PORH</v>
      </c>
      <c r="B48" s="259">
        <f>DISTRIBUCIÓN!V198</f>
        <v>4.1653297949182572E-2</v>
      </c>
      <c r="C48" s="132" t="s">
        <v>34</v>
      </c>
      <c r="D48" s="133">
        <v>1</v>
      </c>
      <c r="E48" s="187">
        <f t="shared" si="12"/>
        <v>10809065.598316664</v>
      </c>
      <c r="F48" s="377"/>
      <c r="G48" s="377"/>
      <c r="H48" s="377"/>
      <c r="I48" s="377"/>
      <c r="J48" s="377"/>
      <c r="K48" s="377"/>
      <c r="L48" s="377"/>
      <c r="M48" s="377"/>
      <c r="N48" s="377"/>
      <c r="O48" s="377"/>
      <c r="P48" s="377">
        <f t="shared" si="14"/>
        <v>4.1653297949182572E-2</v>
      </c>
      <c r="Q48" s="377"/>
      <c r="R48" s="366">
        <f t="shared" si="11"/>
        <v>4.1653297949182572E-2</v>
      </c>
      <c r="T48" s="67"/>
    </row>
    <row r="49" spans="1:20" ht="13.5" x14ac:dyDescent="0.35">
      <c r="A49" s="243" t="str">
        <f>DISTRIBUCIÓN!A199</f>
        <v xml:space="preserve">Revisión y aprobación de informes y publicaciones </v>
      </c>
      <c r="B49" s="259">
        <f>DISTRIBUCIÓN!V199</f>
        <v>1.7781917390747509E-2</v>
      </c>
      <c r="C49" s="132" t="s">
        <v>34</v>
      </c>
      <c r="D49" s="133">
        <v>1</v>
      </c>
      <c r="E49" s="187">
        <f t="shared" si="12"/>
        <v>4614422.4108000007</v>
      </c>
      <c r="F49" s="377"/>
      <c r="G49" s="377"/>
      <c r="H49" s="377"/>
      <c r="I49" s="377"/>
      <c r="J49" s="377"/>
      <c r="K49" s="377"/>
      <c r="L49" s="377"/>
      <c r="M49" s="377"/>
      <c r="N49" s="377"/>
      <c r="O49" s="377"/>
      <c r="P49" s="377"/>
      <c r="Q49" s="377">
        <f>B49</f>
        <v>1.7781917390747509E-2</v>
      </c>
      <c r="R49" s="366">
        <f t="shared" si="11"/>
        <v>1.7781917390747509E-2</v>
      </c>
      <c r="T49" s="67"/>
    </row>
    <row r="50" spans="1:20" s="64" customFormat="1" ht="13.5" x14ac:dyDescent="0.35">
      <c r="A50" s="135" t="s">
        <v>309</v>
      </c>
      <c r="B50" s="136"/>
      <c r="C50" s="136"/>
      <c r="D50" s="137"/>
      <c r="E50" s="191">
        <f>ROUND((E2+E12+E33+E39),0)</f>
        <v>259500835</v>
      </c>
      <c r="F50" s="378">
        <f>SUM(F2:F49)</f>
        <v>0.104533858534662</v>
      </c>
      <c r="G50" s="378">
        <f t="shared" ref="G50:Q50" si="15">SUM(G2:G49)</f>
        <v>0.13265840548589908</v>
      </c>
      <c r="H50" s="378">
        <f t="shared" si="15"/>
        <v>4.4620035614670969E-2</v>
      </c>
      <c r="I50" s="378">
        <f t="shared" si="15"/>
        <v>6.7429823230019989E-2</v>
      </c>
      <c r="J50" s="378">
        <f t="shared" si="15"/>
        <v>7.7949893481830831E-2</v>
      </c>
      <c r="K50" s="378">
        <f t="shared" si="15"/>
        <v>7.6092800688180126E-2</v>
      </c>
      <c r="L50" s="378">
        <f t="shared" si="15"/>
        <v>0.15795904149939918</v>
      </c>
      <c r="M50" s="378">
        <f t="shared" si="15"/>
        <v>4.5279504374619826E-2</v>
      </c>
      <c r="N50" s="378">
        <f t="shared" si="15"/>
        <v>9.179063712036481E-2</v>
      </c>
      <c r="O50" s="378">
        <f t="shared" si="15"/>
        <v>8.8909586953737546E-2</v>
      </c>
      <c r="P50" s="378">
        <f t="shared" si="15"/>
        <v>9.4999050121425094E-2</v>
      </c>
      <c r="Q50" s="378">
        <f t="shared" si="15"/>
        <v>1.7781917390747509E-2</v>
      </c>
      <c r="R50" s="379">
        <f>ROUND((SUM(R2+R12+R33+R39)),0)</f>
        <v>1</v>
      </c>
      <c r="S50" s="1"/>
    </row>
    <row r="51" spans="1:20" ht="13.5" x14ac:dyDescent="0.35">
      <c r="A51" s="139" t="s">
        <v>310</v>
      </c>
      <c r="B51" s="140"/>
      <c r="C51" s="140"/>
      <c r="D51" s="141"/>
      <c r="E51" s="192">
        <f>ROUND((E50*0.19),0)</f>
        <v>49305159</v>
      </c>
      <c r="F51" s="380">
        <f>F50</f>
        <v>0.104533858534662</v>
      </c>
      <c r="G51" s="380">
        <f>G50+F51</f>
        <v>0.23719226402056109</v>
      </c>
      <c r="H51" s="380">
        <f t="shared" ref="H51:Q51" si="16">H50+G51</f>
        <v>0.28181229963523208</v>
      </c>
      <c r="I51" s="380">
        <f t="shared" si="16"/>
        <v>0.34924212286525208</v>
      </c>
      <c r="J51" s="380">
        <f t="shared" si="16"/>
        <v>0.42719201634708293</v>
      </c>
      <c r="K51" s="380">
        <f t="shared" si="16"/>
        <v>0.50328481703526307</v>
      </c>
      <c r="L51" s="380">
        <f t="shared" si="16"/>
        <v>0.66124385853466228</v>
      </c>
      <c r="M51" s="380">
        <f t="shared" si="16"/>
        <v>0.70652336290928208</v>
      </c>
      <c r="N51" s="380">
        <f t="shared" si="16"/>
        <v>0.79831400002964692</v>
      </c>
      <c r="O51" s="380">
        <f t="shared" si="16"/>
        <v>0.88722358698338444</v>
      </c>
      <c r="P51" s="380">
        <f t="shared" si="16"/>
        <v>0.9822226371048095</v>
      </c>
      <c r="Q51" s="380">
        <f t="shared" si="16"/>
        <v>1.0000045544955569</v>
      </c>
      <c r="R51" s="169"/>
    </row>
    <row r="52" spans="1:20" ht="18.75" customHeight="1" x14ac:dyDescent="0.35">
      <c r="A52" s="144" t="s">
        <v>29</v>
      </c>
      <c r="B52" s="145"/>
      <c r="C52" s="145"/>
      <c r="D52" s="146"/>
      <c r="E52" s="193">
        <f>ROUND((SUM(E50:E51)),0)</f>
        <v>308805994</v>
      </c>
      <c r="F52" s="147" t="s">
        <v>53</v>
      </c>
      <c r="G52" s="147" t="s">
        <v>54</v>
      </c>
      <c r="H52" s="147" t="s">
        <v>55</v>
      </c>
      <c r="I52" s="147" t="s">
        <v>56</v>
      </c>
      <c r="J52" s="147" t="s">
        <v>57</v>
      </c>
      <c r="K52" s="147" t="s">
        <v>58</v>
      </c>
      <c r="L52" s="147" t="s">
        <v>117</v>
      </c>
      <c r="M52" s="147" t="s">
        <v>177</v>
      </c>
      <c r="N52" s="147" t="s">
        <v>178</v>
      </c>
      <c r="O52" s="147" t="s">
        <v>180</v>
      </c>
      <c r="P52" s="147" t="s">
        <v>181</v>
      </c>
      <c r="Q52" s="147" t="s">
        <v>301</v>
      </c>
      <c r="R52" s="178"/>
    </row>
    <row r="53" spans="1:20" ht="16.5" customHeight="1" x14ac:dyDescent="0.35">
      <c r="E53" s="264" t="str">
        <f>IF(ABS(E52-INTERVENTORÍA!G22)&lt;0.001,"OK"," ERROR")</f>
        <v>OK</v>
      </c>
      <c r="F53" s="92"/>
      <c r="G53" s="92"/>
      <c r="H53" s="92"/>
      <c r="I53" s="92"/>
      <c r="J53" s="92"/>
      <c r="K53" s="92"/>
      <c r="L53" s="92"/>
      <c r="M53" s="92"/>
      <c r="N53" s="92"/>
      <c r="O53" s="92"/>
      <c r="P53" s="92"/>
      <c r="Q53" s="92"/>
    </row>
    <row r="54" spans="1:20" ht="13.5" x14ac:dyDescent="0.35">
      <c r="A54" s="65"/>
      <c r="E54" s="166" t="s">
        <v>146</v>
      </c>
    </row>
    <row r="55" spans="1:20" x14ac:dyDescent="0.35">
      <c r="A55" s="65"/>
    </row>
    <row r="56" spans="1:20" x14ac:dyDescent="0.35">
      <c r="A56" s="120"/>
      <c r="B56" s="122"/>
    </row>
    <row r="57" spans="1:20" x14ac:dyDescent="0.35">
      <c r="A57" s="65"/>
      <c r="B57" s="122"/>
    </row>
    <row r="58" spans="1:20" x14ac:dyDescent="0.35">
      <c r="A58" s="65"/>
    </row>
    <row r="60" spans="1:20" x14ac:dyDescent="0.35">
      <c r="A60" s="65"/>
    </row>
    <row r="62" spans="1:20" x14ac:dyDescent="0.35">
      <c r="A62" s="121"/>
    </row>
    <row r="64" spans="1:20" x14ac:dyDescent="0.35">
      <c r="A64" s="65"/>
    </row>
    <row r="66" spans="1:20" x14ac:dyDescent="0.35">
      <c r="A66" s="65"/>
    </row>
    <row r="68" spans="1:20" s="63" customFormat="1" x14ac:dyDescent="0.35">
      <c r="A68" s="65"/>
      <c r="D68" s="89"/>
      <c r="E68" s="62"/>
      <c r="F68" s="1"/>
      <c r="G68" s="1"/>
      <c r="H68" s="1"/>
      <c r="I68" s="1"/>
      <c r="J68" s="1"/>
      <c r="K68" s="1"/>
      <c r="L68" s="1"/>
      <c r="M68" s="1"/>
      <c r="N68" s="1"/>
      <c r="O68" s="1"/>
      <c r="P68" s="1"/>
      <c r="Q68" s="1"/>
      <c r="R68" s="1"/>
      <c r="S68" s="1"/>
      <c r="T68" s="1"/>
    </row>
    <row r="70" spans="1:20" s="63" customFormat="1" x14ac:dyDescent="0.35">
      <c r="A70" s="65"/>
      <c r="D70" s="89"/>
      <c r="E70" s="62"/>
      <c r="F70" s="1"/>
      <c r="G70" s="1"/>
      <c r="H70" s="1"/>
      <c r="I70" s="1"/>
      <c r="J70" s="1"/>
      <c r="K70" s="1"/>
      <c r="L70" s="1"/>
      <c r="M70" s="1"/>
      <c r="N70" s="1"/>
      <c r="O70" s="1"/>
      <c r="P70" s="1"/>
      <c r="Q70" s="1"/>
      <c r="R70" s="1"/>
      <c r="S70" s="1"/>
      <c r="T70" s="1"/>
    </row>
    <row r="72" spans="1:20" s="63" customFormat="1" x14ac:dyDescent="0.35">
      <c r="A72" s="65"/>
      <c r="D72" s="89"/>
      <c r="E72" s="62"/>
      <c r="F72" s="1"/>
      <c r="G72" s="1"/>
      <c r="H72" s="1"/>
      <c r="I72" s="1"/>
      <c r="J72" s="1"/>
      <c r="K72" s="1"/>
      <c r="L72" s="1"/>
      <c r="M72" s="1"/>
      <c r="N72" s="1"/>
      <c r="O72" s="1"/>
      <c r="P72" s="1"/>
      <c r="Q72" s="1"/>
      <c r="R72" s="1"/>
      <c r="S72" s="1"/>
      <c r="T72" s="1"/>
    </row>
    <row r="74" spans="1:20" s="63" customFormat="1" x14ac:dyDescent="0.35">
      <c r="A74" s="65"/>
      <c r="D74" s="89"/>
      <c r="E74" s="62"/>
      <c r="F74" s="1"/>
      <c r="G74" s="1"/>
      <c r="H74" s="1"/>
      <c r="I74" s="1"/>
      <c r="J74" s="1"/>
      <c r="K74" s="1"/>
      <c r="L74" s="1"/>
      <c r="M74" s="1"/>
      <c r="N74" s="1"/>
      <c r="O74" s="1"/>
      <c r="P74" s="1"/>
      <c r="Q74" s="1"/>
      <c r="R74" s="1"/>
      <c r="S74" s="1"/>
      <c r="T74" s="1"/>
    </row>
    <row r="76" spans="1:20" s="63" customFormat="1" x14ac:dyDescent="0.35">
      <c r="A76" s="65"/>
      <c r="D76" s="89"/>
      <c r="E76" s="62"/>
      <c r="F76" s="1"/>
      <c r="G76" s="1"/>
      <c r="H76" s="1"/>
      <c r="I76" s="1"/>
      <c r="J76" s="1"/>
      <c r="K76" s="1"/>
      <c r="L76" s="1"/>
      <c r="M76" s="1"/>
      <c r="N76" s="1"/>
      <c r="O76" s="1"/>
      <c r="P76" s="1"/>
      <c r="Q76" s="1"/>
      <c r="R76" s="1"/>
      <c r="S76" s="1"/>
      <c r="T76" s="1"/>
    </row>
    <row r="78" spans="1:20" s="63" customFormat="1" x14ac:dyDescent="0.35">
      <c r="A78" s="65"/>
      <c r="D78" s="89"/>
      <c r="E78" s="62"/>
      <c r="F78" s="1"/>
      <c r="G78" s="1"/>
      <c r="H78" s="1"/>
      <c r="I78" s="1"/>
      <c r="J78" s="1"/>
      <c r="K78" s="1"/>
      <c r="L78" s="1"/>
      <c r="M78" s="1"/>
      <c r="N78" s="1"/>
      <c r="O78" s="1"/>
      <c r="P78" s="1"/>
      <c r="Q78" s="1"/>
      <c r="R78" s="1"/>
      <c r="S78" s="1"/>
      <c r="T78" s="1"/>
    </row>
    <row r="80" spans="1:20" s="63" customFormat="1" x14ac:dyDescent="0.35">
      <c r="A80" s="65"/>
      <c r="D80" s="89"/>
      <c r="E80" s="62"/>
      <c r="F80" s="1"/>
      <c r="G80" s="1"/>
      <c r="H80" s="1"/>
      <c r="I80" s="1"/>
      <c r="J80" s="1"/>
      <c r="K80" s="1"/>
      <c r="L80" s="1"/>
      <c r="M80" s="1"/>
      <c r="N80" s="1"/>
      <c r="O80" s="1"/>
      <c r="P80" s="1"/>
      <c r="Q80" s="1"/>
      <c r="R80" s="1"/>
      <c r="S80" s="1"/>
      <c r="T80" s="1"/>
    </row>
    <row r="82" spans="1:20" s="63" customFormat="1" x14ac:dyDescent="0.35">
      <c r="A82" s="65"/>
      <c r="D82" s="89"/>
      <c r="E82" s="62"/>
      <c r="F82" s="1"/>
      <c r="G82" s="1"/>
      <c r="H82" s="1"/>
      <c r="I82" s="1"/>
      <c r="J82" s="1"/>
      <c r="K82" s="1"/>
      <c r="L82" s="1"/>
      <c r="M82" s="1"/>
      <c r="N82" s="1"/>
      <c r="O82" s="1"/>
      <c r="P82" s="1"/>
      <c r="Q82" s="1"/>
      <c r="R82" s="1"/>
      <c r="S82" s="1"/>
      <c r="T82" s="1"/>
    </row>
    <row r="84" spans="1:20" s="63" customFormat="1" x14ac:dyDescent="0.35">
      <c r="A84" s="65"/>
      <c r="D84" s="89"/>
      <c r="E84" s="62"/>
      <c r="F84" s="1"/>
      <c r="G84" s="1"/>
      <c r="H84" s="1"/>
      <c r="I84" s="1"/>
      <c r="J84" s="1"/>
      <c r="K84" s="1"/>
      <c r="L84" s="1"/>
      <c r="M84" s="1"/>
      <c r="N84" s="1"/>
      <c r="O84" s="1"/>
      <c r="P84" s="1"/>
      <c r="Q84" s="1"/>
      <c r="R84" s="1"/>
      <c r="S84" s="1"/>
      <c r="T84" s="1"/>
    </row>
    <row r="86" spans="1:20" s="63" customFormat="1" x14ac:dyDescent="0.35">
      <c r="A86" s="65"/>
      <c r="D86" s="89"/>
      <c r="E86" s="62"/>
      <c r="F86" s="1"/>
      <c r="G86" s="1"/>
      <c r="H86" s="1"/>
      <c r="I86" s="1"/>
      <c r="J86" s="1"/>
      <c r="K86" s="1"/>
      <c r="L86" s="1"/>
      <c r="M86" s="1"/>
      <c r="N86" s="1"/>
      <c r="O86" s="1"/>
      <c r="P86" s="1"/>
      <c r="Q86" s="1"/>
      <c r="R86" s="1"/>
      <c r="S86" s="1"/>
      <c r="T86" s="1"/>
    </row>
    <row r="88" spans="1:20" s="63" customFormat="1" x14ac:dyDescent="0.35">
      <c r="A88" s="65"/>
      <c r="D88" s="89"/>
      <c r="E88" s="62"/>
      <c r="F88" s="1"/>
      <c r="G88" s="1"/>
      <c r="H88" s="1"/>
      <c r="I88" s="1"/>
      <c r="J88" s="1"/>
      <c r="K88" s="1"/>
      <c r="L88" s="1"/>
      <c r="M88" s="1"/>
      <c r="N88" s="1"/>
      <c r="O88" s="1"/>
      <c r="P88" s="1"/>
      <c r="Q88" s="1"/>
      <c r="R88" s="1"/>
      <c r="S88" s="1"/>
      <c r="T88" s="1"/>
    </row>
    <row r="90" spans="1:20" s="63" customFormat="1" x14ac:dyDescent="0.35">
      <c r="A90" s="65"/>
      <c r="D90" s="89"/>
      <c r="E90" s="62"/>
      <c r="F90" s="1"/>
      <c r="G90" s="1"/>
      <c r="H90" s="1"/>
      <c r="I90" s="1"/>
      <c r="J90" s="1"/>
      <c r="K90" s="1"/>
      <c r="L90" s="1"/>
      <c r="M90" s="1"/>
      <c r="N90" s="1"/>
      <c r="O90" s="1"/>
      <c r="P90" s="1"/>
      <c r="Q90" s="1"/>
      <c r="R90" s="1"/>
      <c r="S90" s="1"/>
      <c r="T90" s="1"/>
    </row>
    <row r="92" spans="1:20" s="63" customFormat="1" x14ac:dyDescent="0.35">
      <c r="A92" s="65"/>
      <c r="D92" s="89"/>
      <c r="E92" s="62"/>
      <c r="F92" s="1"/>
      <c r="G92" s="1"/>
      <c r="H92" s="1"/>
      <c r="I92" s="1"/>
      <c r="J92" s="1"/>
      <c r="K92" s="1"/>
      <c r="L92" s="1"/>
      <c r="M92" s="1"/>
      <c r="N92" s="1"/>
      <c r="O92" s="1"/>
      <c r="P92" s="1"/>
      <c r="Q92" s="1"/>
      <c r="R92" s="1"/>
      <c r="S92" s="1"/>
      <c r="T92" s="1"/>
    </row>
    <row r="94" spans="1:20" s="63" customFormat="1" x14ac:dyDescent="0.35">
      <c r="A94" s="65"/>
      <c r="D94" s="89"/>
      <c r="E94" s="62"/>
      <c r="F94" s="1"/>
      <c r="G94" s="1"/>
      <c r="H94" s="1"/>
      <c r="I94" s="1"/>
      <c r="J94" s="1"/>
      <c r="K94" s="1"/>
      <c r="L94" s="1"/>
      <c r="M94" s="1"/>
      <c r="N94" s="1"/>
      <c r="O94" s="1"/>
      <c r="P94" s="1"/>
      <c r="Q94" s="1"/>
      <c r="R94" s="1"/>
      <c r="S94" s="1"/>
      <c r="T94" s="1"/>
    </row>
    <row r="96" spans="1:20" s="63" customFormat="1" x14ac:dyDescent="0.35">
      <c r="A96" s="65"/>
      <c r="D96" s="89"/>
      <c r="E96" s="62"/>
      <c r="F96" s="1"/>
      <c r="G96" s="1"/>
      <c r="H96" s="1"/>
      <c r="I96" s="1"/>
      <c r="J96" s="1"/>
      <c r="K96" s="1"/>
      <c r="L96" s="1"/>
      <c r="M96" s="1"/>
      <c r="N96" s="1"/>
      <c r="O96" s="1"/>
      <c r="P96" s="1"/>
      <c r="Q96" s="1"/>
      <c r="R96" s="1"/>
      <c r="S96" s="1"/>
      <c r="T96" s="1"/>
    </row>
    <row r="98" spans="1:20" s="63" customFormat="1" x14ac:dyDescent="0.35">
      <c r="A98" s="65"/>
      <c r="D98" s="89"/>
      <c r="E98" s="62"/>
      <c r="F98" s="1"/>
      <c r="G98" s="1"/>
      <c r="H98" s="1"/>
      <c r="I98" s="1"/>
      <c r="J98" s="1"/>
      <c r="K98" s="1"/>
      <c r="L98" s="1"/>
      <c r="M98" s="1"/>
      <c r="N98" s="1"/>
      <c r="O98" s="1"/>
      <c r="P98" s="1"/>
      <c r="Q98" s="1"/>
      <c r="R98" s="1"/>
      <c r="S98" s="1"/>
      <c r="T98" s="1"/>
    </row>
    <row r="100" spans="1:20" s="63" customFormat="1" x14ac:dyDescent="0.35">
      <c r="A100" s="65"/>
      <c r="D100" s="89"/>
      <c r="E100" s="62"/>
      <c r="F100" s="1"/>
      <c r="G100" s="1"/>
      <c r="H100" s="1"/>
      <c r="I100" s="1"/>
      <c r="J100" s="1"/>
      <c r="K100" s="1"/>
      <c r="L100" s="1"/>
      <c r="M100" s="1"/>
      <c r="N100" s="1"/>
      <c r="O100" s="1"/>
      <c r="P100" s="1"/>
      <c r="Q100" s="1"/>
      <c r="R100" s="1"/>
      <c r="S100" s="1"/>
      <c r="T100" s="1"/>
    </row>
    <row r="102" spans="1:20" s="63" customFormat="1" x14ac:dyDescent="0.35">
      <c r="A102" s="65"/>
      <c r="D102" s="89"/>
      <c r="E102" s="62"/>
      <c r="F102" s="1"/>
      <c r="G102" s="1"/>
      <c r="H102" s="1"/>
      <c r="I102" s="1"/>
      <c r="J102" s="1"/>
      <c r="K102" s="1"/>
      <c r="L102" s="1"/>
      <c r="M102" s="1"/>
      <c r="N102" s="1"/>
      <c r="O102" s="1"/>
      <c r="P102" s="1"/>
      <c r="Q102" s="1"/>
      <c r="R102" s="1"/>
      <c r="S102" s="1"/>
      <c r="T102" s="1"/>
    </row>
    <row r="104" spans="1:20" s="63" customFormat="1" x14ac:dyDescent="0.35">
      <c r="A104" s="65"/>
      <c r="D104" s="89"/>
      <c r="E104" s="62"/>
      <c r="F104" s="1"/>
      <c r="G104" s="1"/>
      <c r="H104" s="1"/>
      <c r="I104" s="1"/>
      <c r="J104" s="1"/>
      <c r="K104" s="1"/>
      <c r="L104" s="1"/>
      <c r="M104" s="1"/>
      <c r="N104" s="1"/>
      <c r="O104" s="1"/>
      <c r="P104" s="1"/>
      <c r="Q104" s="1"/>
      <c r="R104" s="1"/>
      <c r="S104" s="1"/>
      <c r="T104" s="1"/>
    </row>
    <row r="106" spans="1:20" s="63" customFormat="1" x14ac:dyDescent="0.35">
      <c r="A106" s="65"/>
      <c r="D106" s="89"/>
      <c r="E106" s="62"/>
      <c r="F106" s="1"/>
      <c r="G106" s="1"/>
      <c r="H106" s="1"/>
      <c r="I106" s="1"/>
      <c r="J106" s="1"/>
      <c r="K106" s="1"/>
      <c r="L106" s="1"/>
      <c r="M106" s="1"/>
      <c r="N106" s="1"/>
      <c r="O106" s="1"/>
      <c r="P106" s="1"/>
      <c r="Q106" s="1"/>
      <c r="R106" s="1"/>
      <c r="S106" s="1"/>
      <c r="T106" s="1"/>
    </row>
    <row r="108" spans="1:20" s="63" customFormat="1" x14ac:dyDescent="0.35">
      <c r="A108" s="65"/>
      <c r="D108" s="89"/>
      <c r="E108" s="62"/>
      <c r="F108" s="1"/>
      <c r="G108" s="1"/>
      <c r="H108" s="1"/>
      <c r="I108" s="1"/>
      <c r="J108" s="1"/>
      <c r="K108" s="1"/>
      <c r="L108" s="1"/>
      <c r="M108" s="1"/>
      <c r="N108" s="1"/>
      <c r="O108" s="1"/>
      <c r="P108" s="1"/>
      <c r="Q108" s="1"/>
      <c r="R108" s="1"/>
      <c r="S108" s="1"/>
      <c r="T108" s="1"/>
    </row>
    <row r="110" spans="1:20" s="63" customFormat="1" x14ac:dyDescent="0.35">
      <c r="A110" s="65"/>
      <c r="D110" s="89"/>
      <c r="E110" s="62"/>
      <c r="F110" s="1"/>
      <c r="G110" s="1"/>
      <c r="H110" s="1"/>
      <c r="I110" s="1"/>
      <c r="J110" s="1"/>
      <c r="K110" s="1"/>
      <c r="L110" s="1"/>
      <c r="M110" s="1"/>
      <c r="N110" s="1"/>
      <c r="O110" s="1"/>
      <c r="P110" s="1"/>
      <c r="Q110" s="1"/>
      <c r="R110" s="1"/>
      <c r="S110" s="1"/>
      <c r="T110" s="1"/>
    </row>
    <row r="112" spans="1:20" s="63" customFormat="1" x14ac:dyDescent="0.35">
      <c r="A112" s="65"/>
      <c r="D112" s="89"/>
      <c r="E112" s="62"/>
      <c r="F112" s="1"/>
      <c r="G112" s="1"/>
      <c r="H112" s="1"/>
      <c r="I112" s="1"/>
      <c r="J112" s="1"/>
      <c r="K112" s="1"/>
      <c r="L112" s="1"/>
      <c r="M112" s="1"/>
      <c r="N112" s="1"/>
      <c r="O112" s="1"/>
      <c r="P112" s="1"/>
      <c r="Q112" s="1"/>
      <c r="R112" s="1"/>
      <c r="S112" s="1"/>
      <c r="T112" s="1"/>
    </row>
    <row r="114" spans="1:20" s="63" customFormat="1" x14ac:dyDescent="0.35">
      <c r="A114" s="65"/>
      <c r="D114" s="89"/>
      <c r="E114" s="62"/>
      <c r="F114" s="1"/>
      <c r="G114" s="1"/>
      <c r="H114" s="1"/>
      <c r="I114" s="1"/>
      <c r="J114" s="1"/>
      <c r="K114" s="1"/>
      <c r="L114" s="1"/>
      <c r="M114" s="1"/>
      <c r="N114" s="1"/>
      <c r="O114" s="1"/>
      <c r="P114" s="1"/>
      <c r="Q114" s="1"/>
      <c r="R114" s="1"/>
      <c r="S114" s="1"/>
      <c r="T114" s="1"/>
    </row>
  </sheetData>
  <phoneticPr fontId="5" type="noConversion"/>
  <conditionalFormatting sqref="E53">
    <cfRule type="expression" dxfId="38" priority="9">
      <formula>E53="OK"</formula>
    </cfRule>
    <cfRule type="expression" dxfId="37" priority="10">
      <formula>E53=" Error"</formula>
    </cfRule>
  </conditionalFormatting>
  <conditionalFormatting sqref="R2">
    <cfRule type="cellIs" dxfId="36" priority="30" operator="greaterThan">
      <formula>$B$2</formula>
    </cfRule>
    <cfRule type="cellIs" dxfId="35" priority="31" operator="lessThan">
      <formula>$B$2</formula>
    </cfRule>
    <cfRule type="cellIs" dxfId="34" priority="32" operator="equal">
      <formula>$B$2</formula>
    </cfRule>
  </conditionalFormatting>
  <conditionalFormatting sqref="R12">
    <cfRule type="cellIs" dxfId="33" priority="27" operator="equal">
      <formula>$B$12</formula>
    </cfRule>
    <cfRule type="cellIs" dxfId="32" priority="28" operator="lessThan">
      <formula>$B$12</formula>
    </cfRule>
    <cfRule type="cellIs" dxfId="31" priority="29" operator="greaterThan">
      <formula>$B$12</formula>
    </cfRule>
  </conditionalFormatting>
  <conditionalFormatting sqref="R33">
    <cfRule type="cellIs" dxfId="30" priority="24" operator="equal">
      <formula>$B$33</formula>
    </cfRule>
    <cfRule type="cellIs" dxfId="29" priority="25" operator="lessThan">
      <formula>$B$33</formula>
    </cfRule>
    <cfRule type="cellIs" dxfId="28" priority="26" operator="greaterThan">
      <formula>$B$33</formula>
    </cfRule>
  </conditionalFormatting>
  <conditionalFormatting sqref="R39">
    <cfRule type="cellIs" dxfId="27" priority="21" operator="equal">
      <formula>$B$39</formula>
    </cfRule>
    <cfRule type="cellIs" dxfId="26" priority="22" operator="lessThan">
      <formula>$B$39</formula>
    </cfRule>
    <cfRule type="cellIs" dxfId="25" priority="23" operator="greaterThan">
      <formula>$B$39</formula>
    </cfRule>
  </conditionalFormatting>
  <conditionalFormatting sqref="S2">
    <cfRule type="expression" dxfId="24" priority="11">
      <formula>S2="OK"</formula>
    </cfRule>
    <cfRule type="expression" dxfId="23" priority="12">
      <formula>S2=" Error"</formula>
    </cfRule>
  </conditionalFormatting>
  <conditionalFormatting sqref="S12">
    <cfRule type="expression" dxfId="22" priority="5">
      <formula>S12="OK"</formula>
    </cfRule>
    <cfRule type="expression" dxfId="21" priority="6">
      <formula>S12=" Error"</formula>
    </cfRule>
  </conditionalFormatting>
  <conditionalFormatting sqref="S33">
    <cfRule type="expression" dxfId="20" priority="1">
      <formula>S33="OK"</formula>
    </cfRule>
    <cfRule type="expression" dxfId="19" priority="2">
      <formula>S33=" Error"</formula>
    </cfRule>
  </conditionalFormatting>
  <conditionalFormatting sqref="S39">
    <cfRule type="expression" dxfId="18" priority="3">
      <formula>S39="OK"</formula>
    </cfRule>
    <cfRule type="expression" dxfId="17" priority="4">
      <formula>S39=" Error"</formula>
    </cfRule>
  </conditionalFormatting>
  <hyperlinks>
    <hyperlink ref="A1" location="'TABLERO CONTROL'!A1" display="ACTIVIDADES" xr:uid="{1BC8C5A0-8667-4622-82BA-0EAFEFE2101D}"/>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tabColor rgb="FFFF0000"/>
  </sheetPr>
  <dimension ref="B1:F48"/>
  <sheetViews>
    <sheetView showGridLines="0" zoomScaleNormal="100" workbookViewId="0">
      <selection activeCell="C2" sqref="C2:D3"/>
    </sheetView>
  </sheetViews>
  <sheetFormatPr defaultColWidth="12.265625" defaultRowHeight="13.5" x14ac:dyDescent="0.35"/>
  <cols>
    <col min="1" max="1" width="12.265625" style="24"/>
    <col min="2" max="2" width="10.3984375" style="24" customWidth="1"/>
    <col min="3" max="3" width="54.73046875" style="24" bestFit="1" customWidth="1"/>
    <col min="4" max="4" width="29.73046875" style="24" customWidth="1"/>
    <col min="5" max="5" width="12.265625" style="24"/>
    <col min="6" max="6" width="14.265625" style="24" bestFit="1" customWidth="1"/>
    <col min="7" max="16384" width="12.265625" style="24"/>
  </cols>
  <sheetData>
    <row r="1" spans="2:6" ht="13.9" customHeight="1" thickBot="1" x14ac:dyDescent="0.4"/>
    <row r="2" spans="2:6" x14ac:dyDescent="0.35">
      <c r="B2" s="806"/>
      <c r="C2" s="808" t="s">
        <v>544</v>
      </c>
      <c r="D2" s="809"/>
    </row>
    <row r="3" spans="2:6" x14ac:dyDescent="0.35">
      <c r="B3" s="807"/>
      <c r="C3" s="810"/>
      <c r="D3" s="811"/>
    </row>
    <row r="4" spans="2:6" ht="13.9" x14ac:dyDescent="0.35">
      <c r="B4" s="25"/>
      <c r="C4" s="26"/>
      <c r="D4" s="27"/>
    </row>
    <row r="5" spans="2:6" ht="48.75" customHeight="1" x14ac:dyDescent="0.35">
      <c r="B5" s="812" t="str">
        <f>ECONÓMICA!B2</f>
        <v>“FORMULACIÓN DEL PLAN DE ORDENAMIENTO DEL RECURSO HÍDRICO (PORH) DE LA CORRIENTE PRINCIPAL DE LA CUENCA DEL RÍO MEDIO Y BAJO SUÁREZ - NSS Y SUS PRINCIPALES TRIBUTARIOS EN LA JURISDICCIÓN DE LA CORPORACIÓN AUTÓNOMA REGIONAL DE SANTANDER (CAS)”</v>
      </c>
      <c r="C5" s="813"/>
      <c r="D5" s="814"/>
      <c r="F5" s="218" t="s">
        <v>127</v>
      </c>
    </row>
    <row r="6" spans="2:6" ht="13.9" x14ac:dyDescent="0.35">
      <c r="B6" s="815" t="s">
        <v>586</v>
      </c>
      <c r="C6" s="816"/>
      <c r="D6" s="817"/>
    </row>
    <row r="7" spans="2:6" ht="13.9" x14ac:dyDescent="0.4">
      <c r="B7" s="28" t="s">
        <v>26</v>
      </c>
      <c r="C7" s="29" t="s">
        <v>585</v>
      </c>
      <c r="D7" s="30" t="s">
        <v>36</v>
      </c>
    </row>
    <row r="8" spans="2:6" ht="13.9" x14ac:dyDescent="0.4">
      <c r="B8" s="31" t="s">
        <v>1</v>
      </c>
      <c r="C8" s="32" t="s">
        <v>584</v>
      </c>
      <c r="D8" s="33">
        <v>100</v>
      </c>
    </row>
    <row r="9" spans="2:6" ht="13.9" x14ac:dyDescent="0.4">
      <c r="B9" s="34"/>
      <c r="C9" s="35" t="s">
        <v>37</v>
      </c>
      <c r="D9" s="33">
        <f>D8</f>
        <v>100</v>
      </c>
    </row>
    <row r="10" spans="2:6" ht="13.9" x14ac:dyDescent="0.4">
      <c r="B10" s="31" t="s">
        <v>2</v>
      </c>
      <c r="C10" s="35" t="s">
        <v>38</v>
      </c>
      <c r="D10" s="36"/>
    </row>
    <row r="11" spans="2:6" x14ac:dyDescent="0.35">
      <c r="B11" s="34"/>
      <c r="C11" s="37" t="s">
        <v>60</v>
      </c>
      <c r="D11" s="36">
        <v>8.3330000000000002</v>
      </c>
    </row>
    <row r="12" spans="2:6" x14ac:dyDescent="0.35">
      <c r="B12" s="34"/>
      <c r="C12" s="37" t="s">
        <v>61</v>
      </c>
      <c r="D12" s="36">
        <v>1</v>
      </c>
    </row>
    <row r="13" spans="2:6" x14ac:dyDescent="0.35">
      <c r="B13" s="34"/>
      <c r="C13" s="37" t="s">
        <v>22</v>
      </c>
      <c r="D13" s="36">
        <v>8.3330000000000002</v>
      </c>
    </row>
    <row r="14" spans="2:6" x14ac:dyDescent="0.35">
      <c r="B14" s="34"/>
      <c r="C14" s="37" t="s">
        <v>18</v>
      </c>
      <c r="D14" s="36">
        <v>4.17</v>
      </c>
    </row>
    <row r="15" spans="2:6" x14ac:dyDescent="0.35">
      <c r="B15" s="34"/>
      <c r="C15" s="37" t="s">
        <v>14</v>
      </c>
      <c r="D15" s="36">
        <v>12.5</v>
      </c>
    </row>
    <row r="16" spans="2:6" x14ac:dyDescent="0.35">
      <c r="B16" s="34"/>
      <c r="C16" s="37" t="s">
        <v>15</v>
      </c>
      <c r="D16" s="36">
        <v>16</v>
      </c>
    </row>
    <row r="17" spans="2:6" x14ac:dyDescent="0.35">
      <c r="B17" s="34"/>
      <c r="C17" s="37" t="s">
        <v>39</v>
      </c>
      <c r="D17" s="36">
        <v>4.3499999999999996</v>
      </c>
    </row>
    <row r="18" spans="2:6" x14ac:dyDescent="0.35">
      <c r="B18" s="34"/>
      <c r="C18" s="37" t="s">
        <v>16</v>
      </c>
      <c r="D18" s="36">
        <v>2</v>
      </c>
    </row>
    <row r="19" spans="2:6" x14ac:dyDescent="0.35">
      <c r="B19" s="34"/>
      <c r="C19" s="37" t="s">
        <v>17</v>
      </c>
      <c r="D19" s="36">
        <v>3</v>
      </c>
    </row>
    <row r="20" spans="2:6" x14ac:dyDescent="0.35">
      <c r="B20" s="34"/>
      <c r="C20" s="37" t="s">
        <v>40</v>
      </c>
      <c r="D20" s="36">
        <v>4</v>
      </c>
    </row>
    <row r="21" spans="2:6" ht="13.9" x14ac:dyDescent="0.4">
      <c r="B21" s="34"/>
      <c r="C21" s="35" t="s">
        <v>31</v>
      </c>
      <c r="D21" s="33">
        <f>SUM(D11:D20)</f>
        <v>63.686</v>
      </c>
    </row>
    <row r="22" spans="2:6" ht="13.9" x14ac:dyDescent="0.4">
      <c r="B22" s="31" t="s">
        <v>3</v>
      </c>
      <c r="C22" s="35" t="s">
        <v>27</v>
      </c>
      <c r="D22" s="38"/>
    </row>
    <row r="23" spans="2:6" x14ac:dyDescent="0.35">
      <c r="B23" s="34"/>
      <c r="C23" s="37" t="s">
        <v>62</v>
      </c>
      <c r="D23" s="38">
        <v>1</v>
      </c>
      <c r="F23" s="39"/>
    </row>
    <row r="24" spans="2:6" x14ac:dyDescent="0.35">
      <c r="B24" s="34"/>
      <c r="C24" s="37" t="s">
        <v>63</v>
      </c>
      <c r="D24" s="38">
        <v>1.5</v>
      </c>
    </row>
    <row r="25" spans="2:6" x14ac:dyDescent="0.35">
      <c r="B25" s="34"/>
      <c r="C25" s="37" t="s">
        <v>92</v>
      </c>
      <c r="D25" s="38">
        <v>3</v>
      </c>
    </row>
    <row r="26" spans="2:6" x14ac:dyDescent="0.35">
      <c r="B26" s="34"/>
      <c r="C26" s="37" t="s">
        <v>93</v>
      </c>
      <c r="D26" s="38">
        <v>3</v>
      </c>
    </row>
    <row r="27" spans="2:6" x14ac:dyDescent="0.35">
      <c r="B27" s="34"/>
      <c r="C27" s="37" t="s">
        <v>94</v>
      </c>
      <c r="D27" s="38">
        <v>5.81</v>
      </c>
    </row>
    <row r="28" spans="2:6" ht="13.9" x14ac:dyDescent="0.4">
      <c r="B28" s="34"/>
      <c r="C28" s="35" t="s">
        <v>31</v>
      </c>
      <c r="D28" s="40">
        <f>(SUM(D23:D27))</f>
        <v>14.309999999999999</v>
      </c>
    </row>
    <row r="29" spans="2:6" ht="13.9" x14ac:dyDescent="0.4">
      <c r="B29" s="31" t="s">
        <v>4</v>
      </c>
      <c r="C29" s="35" t="s">
        <v>23</v>
      </c>
      <c r="D29" s="38"/>
    </row>
    <row r="30" spans="2:6" x14ac:dyDescent="0.35">
      <c r="B30" s="34"/>
      <c r="C30" s="37" t="s">
        <v>64</v>
      </c>
      <c r="D30" s="36">
        <v>0.53</v>
      </c>
    </row>
    <row r="31" spans="2:6" x14ac:dyDescent="0.35">
      <c r="B31" s="34"/>
      <c r="C31" s="37" t="s">
        <v>65</v>
      </c>
      <c r="D31" s="36">
        <v>0.99</v>
      </c>
    </row>
    <row r="32" spans="2:6" x14ac:dyDescent="0.35">
      <c r="B32" s="34"/>
      <c r="C32" s="37" t="s">
        <v>66</v>
      </c>
      <c r="D32" s="36">
        <v>2.653</v>
      </c>
    </row>
    <row r="33" spans="2:4" ht="13.9" x14ac:dyDescent="0.4">
      <c r="B33" s="34"/>
      <c r="C33" s="35" t="s">
        <v>31</v>
      </c>
      <c r="D33" s="40">
        <f>SUM(D30:D32)</f>
        <v>4.173</v>
      </c>
    </row>
    <row r="34" spans="2:4" ht="13.9" x14ac:dyDescent="0.4">
      <c r="B34" s="31" t="s">
        <v>5</v>
      </c>
      <c r="C34" s="35" t="s">
        <v>41</v>
      </c>
      <c r="D34" s="38"/>
    </row>
    <row r="35" spans="2:4" ht="13.9" x14ac:dyDescent="0.4">
      <c r="B35" s="41"/>
      <c r="C35" s="35" t="s">
        <v>31</v>
      </c>
      <c r="D35" s="40">
        <f>0.12*(D33+D28+D21+D9)</f>
        <v>21.860279999999996</v>
      </c>
    </row>
    <row r="36" spans="2:4" ht="13.9" x14ac:dyDescent="0.4">
      <c r="B36" s="42"/>
      <c r="C36" s="43" t="s">
        <v>42</v>
      </c>
      <c r="D36" s="44">
        <f>ROUND((D35+D33+D28+D21+D9),0)</f>
        <v>204</v>
      </c>
    </row>
    <row r="37" spans="2:4" ht="14.25" thickBot="1" x14ac:dyDescent="0.45">
      <c r="B37" s="45"/>
      <c r="C37" s="46" t="s">
        <v>43</v>
      </c>
      <c r="D37" s="126">
        <f>ROUND(D36/100,4)</f>
        <v>2.04</v>
      </c>
    </row>
    <row r="38" spans="2:4" x14ac:dyDescent="0.35">
      <c r="B38" s="47"/>
      <c r="C38" s="47"/>
      <c r="D38" s="47"/>
    </row>
    <row r="39" spans="2:4" ht="13.9" x14ac:dyDescent="0.4">
      <c r="B39" s="818" t="s">
        <v>11</v>
      </c>
      <c r="C39" s="818"/>
      <c r="D39" s="818"/>
    </row>
    <row r="40" spans="2:4" ht="13.9" x14ac:dyDescent="0.4">
      <c r="B40" s="29" t="s">
        <v>26</v>
      </c>
      <c r="C40" s="29" t="s">
        <v>585</v>
      </c>
      <c r="D40" s="29" t="s">
        <v>36</v>
      </c>
    </row>
    <row r="41" spans="2:4" ht="13.9" x14ac:dyDescent="0.4">
      <c r="B41" s="48" t="s">
        <v>1</v>
      </c>
      <c r="C41" s="35" t="s">
        <v>23</v>
      </c>
      <c r="D41" s="49">
        <v>100</v>
      </c>
    </row>
    <row r="42" spans="2:4" ht="13.9" x14ac:dyDescent="0.4">
      <c r="B42" s="50"/>
      <c r="C42" s="51"/>
      <c r="D42" s="52"/>
    </row>
    <row r="43" spans="2:4" x14ac:dyDescent="0.35">
      <c r="B43" s="53"/>
      <c r="C43" s="37" t="s">
        <v>64</v>
      </c>
      <c r="D43" s="54">
        <v>0.53</v>
      </c>
    </row>
    <row r="44" spans="2:4" x14ac:dyDescent="0.35">
      <c r="B44" s="53"/>
      <c r="C44" s="37" t="s">
        <v>65</v>
      </c>
      <c r="D44" s="54">
        <v>0.99</v>
      </c>
    </row>
    <row r="45" spans="2:4" x14ac:dyDescent="0.35">
      <c r="B45" s="47"/>
      <c r="C45" s="37" t="s">
        <v>66</v>
      </c>
      <c r="D45" s="54">
        <v>2.653</v>
      </c>
    </row>
    <row r="46" spans="2:4" ht="13.9" x14ac:dyDescent="0.4">
      <c r="B46" s="47"/>
      <c r="C46" s="35" t="s">
        <v>31</v>
      </c>
      <c r="D46" s="55">
        <f>ROUND((SUM(D43:D45)+D41)/100,4)</f>
        <v>1.0417000000000001</v>
      </c>
    </row>
    <row r="47" spans="2:4" x14ac:dyDescent="0.35">
      <c r="B47" s="47"/>
      <c r="C47" s="47"/>
      <c r="D47" s="47"/>
    </row>
    <row r="48" spans="2:4" ht="13.9" x14ac:dyDescent="0.4">
      <c r="B48" s="47"/>
      <c r="C48" s="35" t="s">
        <v>44</v>
      </c>
      <c r="D48" s="55">
        <f>D46</f>
        <v>1.0417000000000001</v>
      </c>
    </row>
  </sheetData>
  <mergeCells count="5">
    <mergeCell ref="B2:B3"/>
    <mergeCell ref="C2:D3"/>
    <mergeCell ref="B5:D5"/>
    <mergeCell ref="B6:D6"/>
    <mergeCell ref="B39:D39"/>
  </mergeCells>
  <hyperlinks>
    <hyperlink ref="C2:D3" location="'TABLERO CONTROL'!A1" display="FACTOR MULTIPLICADOR CONSULTORIA" xr:uid="{A32772A3-E2C6-4325-B4EB-5DD6073BD508}"/>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EF935-653D-433C-99DA-4BF247DEA288}">
  <sheetPr codeName="Hoja31"/>
  <dimension ref="A1:O20"/>
  <sheetViews>
    <sheetView showGridLines="0" workbookViewId="0">
      <selection sqref="A1:L1"/>
    </sheetView>
  </sheetViews>
  <sheetFormatPr defaultColWidth="11.3984375" defaultRowHeight="12.75" x14ac:dyDescent="0.35"/>
  <cols>
    <col min="1" max="1" width="13.265625" style="1" customWidth="1"/>
    <col min="2" max="2" width="15.59765625" style="1" customWidth="1"/>
    <col min="3" max="3" width="20.86328125" style="1" customWidth="1"/>
    <col min="4" max="4" width="55.1328125" style="1" customWidth="1"/>
    <col min="5" max="5" width="8.86328125" style="1" customWidth="1"/>
    <col min="6" max="8" width="11.265625" style="1" customWidth="1"/>
    <col min="9" max="9" width="11.73046875" style="1" customWidth="1"/>
    <col min="10" max="11" width="9.3984375" style="1" customWidth="1"/>
    <col min="12" max="12" width="9.59765625" style="1" customWidth="1"/>
    <col min="13" max="13" width="14" style="1" customWidth="1"/>
    <col min="14" max="16384" width="11.3984375" style="1"/>
  </cols>
  <sheetData>
    <row r="1" spans="1:15" ht="30.75" customHeight="1" x14ac:dyDescent="0.35">
      <c r="A1" s="823" t="str">
        <f>ECONÓMICA!B17</f>
        <v>2.1. Transporte</v>
      </c>
      <c r="B1" s="823"/>
      <c r="C1" s="823"/>
      <c r="D1" s="823"/>
      <c r="E1" s="823"/>
      <c r="F1" s="823"/>
      <c r="G1" s="823"/>
      <c r="H1" s="823"/>
      <c r="I1" s="823"/>
      <c r="J1" s="823"/>
      <c r="K1" s="823"/>
      <c r="L1" s="823"/>
    </row>
    <row r="2" spans="1:15" ht="25.5" x14ac:dyDescent="0.35">
      <c r="A2" s="310" t="s">
        <v>68</v>
      </c>
      <c r="B2" s="309" t="s">
        <v>69</v>
      </c>
      <c r="C2" s="310" t="s">
        <v>70</v>
      </c>
      <c r="D2" s="310" t="s">
        <v>71</v>
      </c>
      <c r="E2" s="309" t="s">
        <v>72</v>
      </c>
      <c r="F2" s="309" t="s">
        <v>155</v>
      </c>
      <c r="G2" s="309" t="s">
        <v>153</v>
      </c>
      <c r="H2" s="309" t="s">
        <v>154</v>
      </c>
      <c r="I2" s="309" t="s">
        <v>73</v>
      </c>
      <c r="J2" s="309" t="s">
        <v>588</v>
      </c>
      <c r="K2" s="309" t="s">
        <v>378</v>
      </c>
      <c r="L2" s="309" t="s">
        <v>379</v>
      </c>
    </row>
    <row r="3" spans="1:15" x14ac:dyDescent="0.35">
      <c r="A3" s="820" t="str">
        <f>DISTRIBUCIÓN!A46</f>
        <v>FASE 1. Declaratoria y Acciones Previas</v>
      </c>
      <c r="B3" s="820"/>
      <c r="C3" s="820"/>
      <c r="D3" s="820"/>
      <c r="E3" s="820"/>
      <c r="F3" s="820"/>
      <c r="G3" s="820"/>
      <c r="H3" s="820"/>
      <c r="I3" s="820"/>
      <c r="J3" s="820"/>
      <c r="K3" s="820"/>
      <c r="L3" s="820"/>
    </row>
    <row r="4" spans="1:15" ht="76.5" x14ac:dyDescent="0.35">
      <c r="A4" s="825" t="s">
        <v>227</v>
      </c>
      <c r="B4" s="824" t="s">
        <v>147</v>
      </c>
      <c r="C4" s="306" t="str">
        <f>'VIÁTICOS-TRANSP'!A5</f>
        <v>Identificación preliminar de usuarios y clasificación de los usos actuales (SOCIALIZACIÓN CON ENTIDADES GUBERNAMENTALES)</v>
      </c>
      <c r="D4" s="306" t="s">
        <v>235</v>
      </c>
      <c r="E4" s="303">
        <f>'VIÁTICOS-TRANSP'!B19</f>
        <v>1</v>
      </c>
      <c r="F4" s="307">
        <f t="shared" ref="F4:F12" si="0">(18200000/30)</f>
        <v>606666.66666666663</v>
      </c>
      <c r="G4" s="307">
        <f t="shared" ref="G4:G12" si="1">15000000/30</f>
        <v>500000</v>
      </c>
      <c r="H4" s="307">
        <f t="shared" ref="H4:H12" si="2">18000000/30</f>
        <v>600000</v>
      </c>
      <c r="I4" s="308">
        <f t="shared" ref="I4:I12" si="3">ROUND(AVERAGE(F4:H4),0)</f>
        <v>568889</v>
      </c>
      <c r="J4" s="312">
        <f>'VIÁTICOS-TRANSP'!D5</f>
        <v>1</v>
      </c>
      <c r="K4" s="313">
        <f>'VIÁTICOS-TRANSP'!E5</f>
        <v>6</v>
      </c>
      <c r="L4" s="303"/>
      <c r="M4" s="302">
        <f ca="1">M4:M20</f>
        <v>0</v>
      </c>
      <c r="O4" s="92"/>
    </row>
    <row r="5" spans="1:15" ht="127.5" x14ac:dyDescent="0.35">
      <c r="A5" s="825"/>
      <c r="B5" s="824"/>
      <c r="C5" s="318" t="str">
        <f>'VIÁTICOS-TRANSP'!A6</f>
        <v>Prediseño del plan de monitoreo de calidad y cantidad del recurso hídrico (MACROLOCALIZACIÓN PUNTOS DE MONITOREO)</v>
      </c>
      <c r="D5" s="319" t="s">
        <v>228</v>
      </c>
      <c r="E5" s="299">
        <f>'VIÁTICOS-TRANSP'!B20</f>
        <v>2</v>
      </c>
      <c r="F5" s="320">
        <f t="shared" si="0"/>
        <v>606666.66666666663</v>
      </c>
      <c r="G5" s="320">
        <f t="shared" si="1"/>
        <v>500000</v>
      </c>
      <c r="H5" s="320">
        <f t="shared" si="2"/>
        <v>600000</v>
      </c>
      <c r="I5" s="321">
        <f t="shared" si="3"/>
        <v>568889</v>
      </c>
      <c r="J5" s="322">
        <f>'VIÁTICOS-TRANSP'!D6</f>
        <v>1</v>
      </c>
      <c r="K5" s="323">
        <f>'VIÁTICOS-TRANSP'!E6</f>
        <v>8</v>
      </c>
      <c r="L5" s="324"/>
      <c r="M5" s="302"/>
    </row>
    <row r="6" spans="1:15" x14ac:dyDescent="0.35">
      <c r="A6" s="820" t="str">
        <f>DISTRIBUCIÓN!A59</f>
        <v>FASE 2. Diagnóstico</v>
      </c>
      <c r="B6" s="820"/>
      <c r="C6" s="820"/>
      <c r="D6" s="820"/>
      <c r="E6" s="820"/>
      <c r="F6" s="820"/>
      <c r="G6" s="820"/>
      <c r="H6" s="820"/>
      <c r="I6" s="820"/>
      <c r="J6" s="820"/>
      <c r="K6" s="820"/>
      <c r="L6" s="820"/>
      <c r="M6" s="302"/>
    </row>
    <row r="7" spans="1:15" x14ac:dyDescent="0.35">
      <c r="A7" s="819" t="str">
        <f>'VIÁTICOS-TRANSP'!A18</f>
        <v>Caracterización Inicial</v>
      </c>
      <c r="B7" s="819"/>
      <c r="C7" s="819"/>
      <c r="D7" s="819"/>
      <c r="E7" s="819"/>
      <c r="F7" s="819"/>
      <c r="G7" s="819"/>
      <c r="H7" s="819"/>
      <c r="I7" s="819"/>
      <c r="J7" s="819"/>
      <c r="K7" s="819"/>
      <c r="L7" s="819"/>
      <c r="M7" s="302"/>
    </row>
    <row r="8" spans="1:15" ht="128.25" customHeight="1" x14ac:dyDescent="0.35">
      <c r="A8" s="317" t="s">
        <v>227</v>
      </c>
      <c r="B8" s="303" t="s">
        <v>147</v>
      </c>
      <c r="C8" s="317" t="str">
        <f>'VIÁTICOS-TRANSP'!A19</f>
        <v>Paso 1. Diseño e implementación del proceso de participación.
IDENTIFICACIÓN DE ACTORES CLAVE - SOCIAL</v>
      </c>
      <c r="D8" s="306" t="s">
        <v>523</v>
      </c>
      <c r="E8" s="301">
        <f>'VIÁTICOS-TRANSP'!B19</f>
        <v>1</v>
      </c>
      <c r="F8" s="307">
        <f t="shared" si="0"/>
        <v>606666.66666666663</v>
      </c>
      <c r="G8" s="307">
        <f t="shared" si="1"/>
        <v>500000</v>
      </c>
      <c r="H8" s="307">
        <f t="shared" si="2"/>
        <v>600000</v>
      </c>
      <c r="I8" s="308">
        <f t="shared" si="3"/>
        <v>568889</v>
      </c>
      <c r="J8" s="312">
        <f>'VIÁTICOS-TRANSP'!D19</f>
        <v>1</v>
      </c>
      <c r="K8" s="312">
        <f>'VIÁTICOS-TRANSP'!E19</f>
        <v>18</v>
      </c>
      <c r="L8" s="303"/>
      <c r="M8" s="302"/>
    </row>
    <row r="9" spans="1:15" ht="181.5" customHeight="1" x14ac:dyDescent="0.35">
      <c r="A9" s="318" t="s">
        <v>231</v>
      </c>
      <c r="B9" s="324" t="s">
        <v>147</v>
      </c>
      <c r="C9" s="318" t="str">
        <f>'VIÁTICOS-TRANSP'!A20</f>
        <v>Paso 3. Definición para la estructura conceptual para la modelación de calidad del agua (DETERMINACIÓN DE TIEMPOS DE VIAJE) Experto en modelamiento y calidad de agua - Experto en hidrología</v>
      </c>
      <c r="D9" s="319" t="s">
        <v>229</v>
      </c>
      <c r="E9" s="299">
        <f>'VIÁTICOS-TRANSP'!B20</f>
        <v>2</v>
      </c>
      <c r="F9" s="320">
        <f t="shared" si="0"/>
        <v>606666.66666666663</v>
      </c>
      <c r="G9" s="320">
        <f t="shared" si="1"/>
        <v>500000</v>
      </c>
      <c r="H9" s="320">
        <f t="shared" si="2"/>
        <v>600000</v>
      </c>
      <c r="I9" s="321">
        <f t="shared" si="3"/>
        <v>568889</v>
      </c>
      <c r="J9" s="322">
        <f>'VIÁTICOS-TRANSP'!D20</f>
        <v>1</v>
      </c>
      <c r="K9" s="322">
        <f>'VIÁTICOS-TRANSP'!E20</f>
        <v>6</v>
      </c>
      <c r="L9" s="324"/>
      <c r="M9" s="302"/>
    </row>
    <row r="10" spans="1:15" x14ac:dyDescent="0.35">
      <c r="A10" s="819" t="str">
        <f>'VIÁTICOS-TRANSP'!A21</f>
        <v>Trabajo de Campo</v>
      </c>
      <c r="B10" s="819"/>
      <c r="C10" s="819"/>
      <c r="D10" s="819"/>
      <c r="E10" s="819"/>
      <c r="F10" s="819"/>
      <c r="G10" s="819"/>
      <c r="H10" s="819"/>
      <c r="I10" s="819"/>
      <c r="J10" s="819"/>
      <c r="K10" s="819"/>
      <c r="L10" s="819"/>
      <c r="M10" s="302"/>
    </row>
    <row r="11" spans="1:15" ht="206.25" customHeight="1" x14ac:dyDescent="0.35">
      <c r="A11" s="317" t="s">
        <v>514</v>
      </c>
      <c r="B11" s="303" t="s">
        <v>147</v>
      </c>
      <c r="C11" s="317" t="str">
        <f>'VIÁTICOS-TRANSP'!A23</f>
        <v>Paso 1. Censo de usuarios y consolidación de información (RECOLECCIÓN DE INFORMACIÓN EN CAMPO CENSO DE USUARIOS) - Profesionales de campo</v>
      </c>
      <c r="D11" s="306" t="s">
        <v>524</v>
      </c>
      <c r="E11" s="301">
        <f>'VIÁTICOS-TRANSP'!B23</f>
        <v>6</v>
      </c>
      <c r="F11" s="307">
        <f t="shared" si="0"/>
        <v>606666.66666666663</v>
      </c>
      <c r="G11" s="307">
        <f t="shared" si="1"/>
        <v>500000</v>
      </c>
      <c r="H11" s="307">
        <f t="shared" si="2"/>
        <v>600000</v>
      </c>
      <c r="I11" s="308">
        <f t="shared" si="3"/>
        <v>568889</v>
      </c>
      <c r="J11" s="312">
        <f>'VIÁTICOS-TRANSP'!D23</f>
        <v>3</v>
      </c>
      <c r="K11" s="312">
        <f>'VIÁTICOS-TRANSP'!E23</f>
        <v>132</v>
      </c>
      <c r="L11" s="303"/>
      <c r="M11" s="302"/>
    </row>
    <row r="12" spans="1:15" ht="140.25" x14ac:dyDescent="0.35">
      <c r="A12" s="318" t="s">
        <v>232</v>
      </c>
      <c r="B12" s="305" t="s">
        <v>147</v>
      </c>
      <c r="C12" s="318" t="str">
        <f>'VIÁTICOS-TRANSP'!A24</f>
        <v>Paso 2. Diseño y ejecución del plan de monitoreo Director - Experto en Calidad</v>
      </c>
      <c r="D12" s="319" t="s">
        <v>230</v>
      </c>
      <c r="E12" s="299">
        <f>'VIÁTICOS-TRANSP'!B24</f>
        <v>2</v>
      </c>
      <c r="F12" s="320">
        <f t="shared" si="0"/>
        <v>606666.66666666663</v>
      </c>
      <c r="G12" s="320">
        <f t="shared" si="1"/>
        <v>500000</v>
      </c>
      <c r="H12" s="320">
        <f t="shared" si="2"/>
        <v>600000</v>
      </c>
      <c r="I12" s="321">
        <f t="shared" si="3"/>
        <v>568889</v>
      </c>
      <c r="J12" s="322">
        <f>'VIÁTICOS-TRANSP'!D24</f>
        <v>1</v>
      </c>
      <c r="K12" s="322">
        <f>'VIÁTICOS-TRANSP'!E24</f>
        <v>16</v>
      </c>
      <c r="L12" s="324"/>
      <c r="M12" s="302"/>
    </row>
    <row r="13" spans="1:15" x14ac:dyDescent="0.35">
      <c r="A13" s="819" t="str">
        <f>'VIÁTICOS-TRANSP'!A25</f>
        <v>Construcción de Línea Base</v>
      </c>
      <c r="B13" s="819"/>
      <c r="C13" s="819"/>
      <c r="D13" s="819"/>
      <c r="E13" s="819"/>
      <c r="F13" s="819"/>
      <c r="G13" s="819"/>
      <c r="H13" s="819"/>
      <c r="I13" s="819"/>
      <c r="J13" s="819"/>
      <c r="K13" s="819"/>
      <c r="L13" s="819"/>
      <c r="M13" s="302"/>
    </row>
    <row r="14" spans="1:15" ht="63.75" x14ac:dyDescent="0.35">
      <c r="A14" s="317" t="s">
        <v>508</v>
      </c>
      <c r="B14" s="303" t="s">
        <v>147</v>
      </c>
      <c r="C14" s="317" t="str">
        <f>'VIÁTICOS-TRANSP'!A26</f>
        <v>Paso 3. Identificación de zonas de recarga del acuífero o interacciones con las aguas superficiales</v>
      </c>
      <c r="D14" s="306" t="s">
        <v>233</v>
      </c>
      <c r="E14" s="301">
        <f>'VIÁTICOS-TRANSP'!B26</f>
        <v>2</v>
      </c>
      <c r="F14" s="327">
        <f>(18200000/30)</f>
        <v>606666.66666666663</v>
      </c>
      <c r="G14" s="327">
        <f>(15000000/30)</f>
        <v>500000</v>
      </c>
      <c r="H14" s="327">
        <f>(18000000/30)</f>
        <v>600000</v>
      </c>
      <c r="I14" s="327">
        <f>AVERAGE(F14:H14)</f>
        <v>568888.88888888888</v>
      </c>
      <c r="J14" s="326">
        <f>'VIÁTICOS-TRANSP'!D26</f>
        <v>1</v>
      </c>
      <c r="K14" s="326">
        <f>'VIÁTICOS-TRANSP'!E26</f>
        <v>5</v>
      </c>
      <c r="L14" s="303"/>
      <c r="M14" s="302"/>
    </row>
    <row r="15" spans="1:15" ht="102" x14ac:dyDescent="0.35">
      <c r="A15" s="328" t="s">
        <v>508</v>
      </c>
      <c r="B15" s="305" t="s">
        <v>147</v>
      </c>
      <c r="C15" s="328" t="str">
        <f>'VIÁTICOS-TRANSP'!A27</f>
        <v>Paso 12. Socialización de los resultados de la fase de diagnóstico</v>
      </c>
      <c r="D15" s="329" t="s">
        <v>525</v>
      </c>
      <c r="E15" s="300">
        <f>'VIÁTICOS-TRANSP'!B27</f>
        <v>4</v>
      </c>
      <c r="F15" s="330">
        <f>(18200000/30)</f>
        <v>606666.66666666663</v>
      </c>
      <c r="G15" s="330">
        <f>(15000000/30)</f>
        <v>500000</v>
      </c>
      <c r="H15" s="330">
        <f>(18000000/30)</f>
        <v>600000</v>
      </c>
      <c r="I15" s="330">
        <f>AVERAGE(F15:H15)</f>
        <v>568888.88888888888</v>
      </c>
      <c r="J15" s="331">
        <f>'VIÁTICOS-TRANSP'!D27</f>
        <v>1</v>
      </c>
      <c r="K15" s="331">
        <f>'VIÁTICOS-TRANSP'!E27</f>
        <v>4</v>
      </c>
      <c r="L15" s="305"/>
      <c r="M15" s="302"/>
    </row>
    <row r="16" spans="1:15" ht="21" customHeight="1" x14ac:dyDescent="0.35">
      <c r="A16" s="820" t="str">
        <f>DISTRIBUCIÓN!A85</f>
        <v>FASE 3. Identificación de usos potenciales</v>
      </c>
      <c r="B16" s="820"/>
      <c r="C16" s="820"/>
      <c r="D16" s="820"/>
      <c r="E16" s="820"/>
      <c r="F16" s="820"/>
      <c r="G16" s="820"/>
      <c r="H16" s="820"/>
      <c r="I16" s="820"/>
      <c r="J16" s="820"/>
      <c r="K16" s="820"/>
      <c r="L16" s="820"/>
      <c r="M16" s="302"/>
    </row>
    <row r="17" spans="1:14" ht="127.5" x14ac:dyDescent="0.35">
      <c r="A17" s="328" t="s">
        <v>508</v>
      </c>
      <c r="B17" s="305" t="s">
        <v>147</v>
      </c>
      <c r="C17" s="328" t="str">
        <f>'VIÁTICOS-TRANSP'!A43</f>
        <v>Paso 5. Socialización de los resultados de la fase de Usos Potenciales (CUATRO TALLERES Equipo Técnico)</v>
      </c>
      <c r="D17" s="329" t="s">
        <v>526</v>
      </c>
      <c r="E17" s="332">
        <f>'VIÁTICOS-TRANSP'!B43</f>
        <v>4</v>
      </c>
      <c r="F17" s="330">
        <f>(18200000/30)</f>
        <v>606666.66666666663</v>
      </c>
      <c r="G17" s="330">
        <f>(15000000/30)</f>
        <v>500000</v>
      </c>
      <c r="H17" s="330">
        <f>(18000000/30)</f>
        <v>600000</v>
      </c>
      <c r="I17" s="330">
        <f>AVERAGE(F17:H17)</f>
        <v>568888.88888888888</v>
      </c>
      <c r="J17" s="332">
        <f>'VIÁTICOS-TRANSP'!D43</f>
        <v>1</v>
      </c>
      <c r="K17" s="332">
        <f>'VIÁTICOS-TRANSP'!E43</f>
        <v>4</v>
      </c>
      <c r="L17" s="332"/>
      <c r="M17" s="302"/>
    </row>
    <row r="18" spans="1:14" ht="20.25" customHeight="1" x14ac:dyDescent="0.35">
      <c r="A18" s="820" t="str">
        <f>DISTRIBUCIÓN!A95</f>
        <v>FASE 4. Elaboración del plan</v>
      </c>
      <c r="B18" s="820"/>
      <c r="C18" s="820"/>
      <c r="D18" s="820"/>
      <c r="E18" s="820"/>
      <c r="F18" s="820"/>
      <c r="G18" s="820"/>
      <c r="H18" s="820"/>
      <c r="I18" s="820"/>
      <c r="J18" s="820"/>
      <c r="K18" s="820"/>
      <c r="L18" s="820"/>
      <c r="M18" s="302"/>
    </row>
    <row r="19" spans="1:14" ht="114.75" x14ac:dyDescent="0.35">
      <c r="A19" s="328" t="s">
        <v>508</v>
      </c>
      <c r="B19" s="305" t="s">
        <v>147</v>
      </c>
      <c r="C19" s="317" t="str">
        <f>'VIÁTICOS-TRANSP'!A57</f>
        <v>Paso 9. Socialización de los resultados de la fase de Formulación del PORH (CUATRO TALLERES) Equipo Técnico)</v>
      </c>
      <c r="D19" s="306" t="s">
        <v>614</v>
      </c>
      <c r="E19" s="331">
        <f>'VIÁTICOS-TRANSP'!B57</f>
        <v>3</v>
      </c>
      <c r="F19" s="330">
        <f>(18200000/30)</f>
        <v>606666.66666666663</v>
      </c>
      <c r="G19" s="330">
        <f>(15000000/30)</f>
        <v>500000</v>
      </c>
      <c r="H19" s="330">
        <f>(18000000/30)</f>
        <v>600000</v>
      </c>
      <c r="I19" s="330">
        <f>AVERAGE(F19:H19)</f>
        <v>568888.88888888888</v>
      </c>
      <c r="J19" s="303">
        <f>'VIÁTICOS-TRANSP'!D57</f>
        <v>1</v>
      </c>
      <c r="K19" s="312">
        <f>'VIÁTICOS-TRANSP'!E57</f>
        <v>4</v>
      </c>
      <c r="L19" s="303"/>
      <c r="M19" s="302"/>
    </row>
    <row r="20" spans="1:14" ht="15" x14ac:dyDescent="0.4">
      <c r="A20" s="821" t="s">
        <v>74</v>
      </c>
      <c r="B20" s="822"/>
      <c r="C20" s="822"/>
      <c r="D20" s="822"/>
      <c r="E20" s="822"/>
      <c r="F20" s="822"/>
      <c r="G20" s="76"/>
      <c r="H20" s="76"/>
      <c r="I20" s="315">
        <f>AVERAGE(I4:I19)</f>
        <v>568888.95555555564</v>
      </c>
      <c r="J20" s="76"/>
      <c r="K20" s="314">
        <f>SUM(K4:K19)</f>
        <v>203</v>
      </c>
      <c r="L20" s="77">
        <f>SUM(L4:L19)</f>
        <v>0</v>
      </c>
      <c r="M20" s="304"/>
      <c r="N20" s="222"/>
    </row>
  </sheetData>
  <mergeCells count="11">
    <mergeCell ref="A13:L13"/>
    <mergeCell ref="A16:L16"/>
    <mergeCell ref="A18:L18"/>
    <mergeCell ref="A20:F20"/>
    <mergeCell ref="A1:L1"/>
    <mergeCell ref="A3:L3"/>
    <mergeCell ref="B4:B5"/>
    <mergeCell ref="A6:L6"/>
    <mergeCell ref="A7:L7"/>
    <mergeCell ref="A10:L10"/>
    <mergeCell ref="A4:A5"/>
  </mergeCells>
  <hyperlinks>
    <hyperlink ref="A1:L1" location="'TABLERO CONTROL'!A1" display="'TABLERO CONTROL'!A1" xr:uid="{9E96E66D-2A06-4879-979E-9737401CCAC4}"/>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F3140-AD26-44E4-A4C4-1EF410A876C0}">
  <sheetPr codeName="Hoja30"/>
  <dimension ref="A1:K21"/>
  <sheetViews>
    <sheetView showGridLines="0" workbookViewId="0">
      <selection activeCell="B20" sqref="B20"/>
    </sheetView>
  </sheetViews>
  <sheetFormatPr defaultColWidth="11.3984375" defaultRowHeight="12.75" x14ac:dyDescent="0.35"/>
  <cols>
    <col min="1" max="1" width="15.3984375" style="1" bestFit="1" customWidth="1"/>
    <col min="2" max="2" width="33.86328125" style="1" customWidth="1"/>
    <col min="3" max="3" width="67.86328125" style="1" customWidth="1"/>
    <col min="4" max="4" width="8.86328125" style="1" customWidth="1"/>
    <col min="5" max="5" width="12.3984375" style="1" customWidth="1"/>
    <col min="6" max="6" width="11.265625" style="1" customWidth="1"/>
    <col min="7" max="7" width="13.59765625" style="1" customWidth="1"/>
    <col min="8" max="8" width="12.1328125" style="1" bestFit="1" customWidth="1"/>
    <col min="9" max="9" width="14" style="1" customWidth="1"/>
    <col min="10" max="16384" width="11.3984375" style="1"/>
  </cols>
  <sheetData>
    <row r="1" spans="1:11" ht="30.75" customHeight="1" x14ac:dyDescent="0.35">
      <c r="A1" s="826" t="str">
        <f>ECONÓMICA!B18</f>
        <v>2.2. Gastos de Alojamiento, Alimentación e Hidratación</v>
      </c>
      <c r="B1" s="826"/>
      <c r="C1" s="826"/>
      <c r="D1" s="826"/>
      <c r="E1" s="826"/>
      <c r="F1" s="826"/>
      <c r="G1" s="826"/>
      <c r="H1" s="826"/>
    </row>
    <row r="2" spans="1:11" ht="25.5" x14ac:dyDescent="0.35">
      <c r="A2" s="310" t="s">
        <v>68</v>
      </c>
      <c r="B2" s="310" t="s">
        <v>70</v>
      </c>
      <c r="C2" s="310" t="s">
        <v>71</v>
      </c>
      <c r="D2" s="309" t="s">
        <v>72</v>
      </c>
      <c r="E2" s="309" t="s">
        <v>236</v>
      </c>
      <c r="F2" s="310" t="s">
        <v>608</v>
      </c>
      <c r="G2" s="310" t="s">
        <v>237</v>
      </c>
      <c r="H2" s="310" t="s">
        <v>80</v>
      </c>
    </row>
    <row r="3" spans="1:11" x14ac:dyDescent="0.35">
      <c r="A3" s="820" t="str">
        <f>DISTRIBUCIÓN!A46</f>
        <v>FASE 1. Declaratoria y Acciones Previas</v>
      </c>
      <c r="B3" s="820"/>
      <c r="C3" s="820"/>
      <c r="D3" s="820"/>
      <c r="E3" s="820"/>
      <c r="F3" s="820"/>
      <c r="G3" s="820"/>
      <c r="H3" s="820"/>
    </row>
    <row r="4" spans="1:11" ht="63.75" x14ac:dyDescent="0.35">
      <c r="A4" s="825" t="s">
        <v>227</v>
      </c>
      <c r="B4" s="306" t="str">
        <f>'VIÁTICOS-TRANSP'!A5</f>
        <v>Identificación preliminar de usuarios y clasificación de los usos actuales (SOCIALIZACIÓN CON ENTIDADES GUBERNAMENTALES)</v>
      </c>
      <c r="C4" s="306" t="s">
        <v>235</v>
      </c>
      <c r="D4" s="303">
        <f>'VIÁTICOS-TRANSP'!B19</f>
        <v>1</v>
      </c>
      <c r="E4" s="308">
        <f>'VIÁTICOS-TRANSP'!$B$13</f>
        <v>160000</v>
      </c>
      <c r="F4" s="313"/>
      <c r="G4" s="313">
        <f>'VIÁTICOS-TRANSP'!F5</f>
        <v>12</v>
      </c>
      <c r="H4" s="303"/>
      <c r="I4" s="302"/>
      <c r="K4" s="92"/>
    </row>
    <row r="5" spans="1:11" ht="63.75" x14ac:dyDescent="0.35">
      <c r="A5" s="825"/>
      <c r="B5" s="318" t="str">
        <f>'VIÁTICOS-TRANSP'!A6</f>
        <v>Prediseño del plan de monitoreo de calidad y cantidad del recurso hídrico (MACROLOCALIZACIÓN PUNTOS DE MONITOREO)</v>
      </c>
      <c r="C5" s="319" t="s">
        <v>238</v>
      </c>
      <c r="D5" s="299">
        <f>'VIÁTICOS-TRANSP'!B20</f>
        <v>2</v>
      </c>
      <c r="E5" s="321">
        <f>E4</f>
        <v>160000</v>
      </c>
      <c r="F5" s="323"/>
      <c r="G5" s="323">
        <f>'VIÁTICOS-TRANSP'!F6</f>
        <v>16</v>
      </c>
      <c r="H5" s="324"/>
      <c r="I5" s="302"/>
    </row>
    <row r="6" spans="1:11" x14ac:dyDescent="0.35">
      <c r="A6" s="820" t="str">
        <f>DISTRIBUCIÓN!A59</f>
        <v>FASE 2. Diagnóstico</v>
      </c>
      <c r="B6" s="820"/>
      <c r="C6" s="820"/>
      <c r="D6" s="820"/>
      <c r="E6" s="820"/>
      <c r="F6" s="820"/>
      <c r="G6" s="820"/>
      <c r="H6" s="820"/>
      <c r="I6" s="302"/>
    </row>
    <row r="7" spans="1:11" x14ac:dyDescent="0.35">
      <c r="A7" s="819" t="str">
        <f>'VIÁTICOS-TRANSP'!A18</f>
        <v>Caracterización Inicial</v>
      </c>
      <c r="B7" s="819"/>
      <c r="C7" s="819"/>
      <c r="D7" s="819"/>
      <c r="E7" s="819"/>
      <c r="F7" s="819"/>
      <c r="G7" s="819"/>
      <c r="H7" s="819"/>
      <c r="I7" s="302"/>
    </row>
    <row r="8" spans="1:11" ht="63.75" x14ac:dyDescent="0.35">
      <c r="A8" s="317" t="s">
        <v>227</v>
      </c>
      <c r="B8" s="317" t="str">
        <f>'VIÁTICOS-TRANSP'!A19</f>
        <v>Paso 1. Diseño e implementación del proceso de participación.
IDENTIFICACIÓN DE ACTORES CLAVE - SOCIAL</v>
      </c>
      <c r="C8" s="306" t="s">
        <v>239</v>
      </c>
      <c r="D8" s="301">
        <f>'VIÁTICOS-TRANSP'!B19</f>
        <v>1</v>
      </c>
      <c r="E8" s="308">
        <f>E4</f>
        <v>160000</v>
      </c>
      <c r="F8" s="312"/>
      <c r="G8" s="312">
        <f>'VIÁTICOS-TRANSP'!F19</f>
        <v>18</v>
      </c>
      <c r="H8" s="303"/>
      <c r="I8" s="302"/>
    </row>
    <row r="9" spans="1:11" ht="102" x14ac:dyDescent="0.35">
      <c r="A9" s="318" t="s">
        <v>231</v>
      </c>
      <c r="B9" s="318" t="str">
        <f>'VIÁTICOS-TRANSP'!A20</f>
        <v>Paso 3. Definición para la estructura conceptual para la modelación de calidad del agua (DETERMINACIÓN DE TIEMPOS DE VIAJE) Experto en modelamiento y calidad de agua - Experto en hidrología</v>
      </c>
      <c r="C9" s="319" t="s">
        <v>240</v>
      </c>
      <c r="D9" s="299">
        <f>'VIÁTICOS-TRANSP'!B20</f>
        <v>2</v>
      </c>
      <c r="E9" s="321">
        <f>E5</f>
        <v>160000</v>
      </c>
      <c r="F9" s="322"/>
      <c r="G9" s="322">
        <f>'VIÁTICOS-TRANSP'!F20</f>
        <v>12</v>
      </c>
      <c r="H9" s="324"/>
      <c r="I9" s="302"/>
    </row>
    <row r="10" spans="1:11" x14ac:dyDescent="0.35">
      <c r="A10" s="819" t="str">
        <f>'VIÁTICOS-TRANSP'!A21</f>
        <v>Trabajo de Campo</v>
      </c>
      <c r="B10" s="819"/>
      <c r="C10" s="819"/>
      <c r="D10" s="819"/>
      <c r="E10" s="819"/>
      <c r="F10" s="819"/>
      <c r="G10" s="819"/>
      <c r="H10" s="819"/>
      <c r="I10" s="302"/>
    </row>
    <row r="11" spans="1:11" ht="102" x14ac:dyDescent="0.35">
      <c r="A11" s="317" t="s">
        <v>513</v>
      </c>
      <c r="B11" s="317" t="str">
        <f>'VIÁTICOS-TRANSP'!A22</f>
        <v>Paso 1. Censo de usuarios y consolidación de información (REVISIÓN INFORMACIÓN AUTORIDAD AMBIENTAL) - Profesionales de campo</v>
      </c>
      <c r="C11" s="306" t="s">
        <v>241</v>
      </c>
      <c r="D11" s="301">
        <f>'VIÁTICOS-TRANSP'!B22</f>
        <v>6</v>
      </c>
      <c r="E11" s="333">
        <f>E4</f>
        <v>160000</v>
      </c>
      <c r="F11" s="301"/>
      <c r="G11" s="301">
        <f>'VIÁTICOS-TRANSP'!F22</f>
        <v>60</v>
      </c>
      <c r="H11" s="301"/>
      <c r="I11" s="302"/>
    </row>
    <row r="12" spans="1:11" ht="195" customHeight="1" x14ac:dyDescent="0.35">
      <c r="A12" s="317" t="s">
        <v>514</v>
      </c>
      <c r="B12" s="317" t="str">
        <f>'VIÁTICOS-TRANSP'!A23</f>
        <v>Paso 1. Censo de usuarios y consolidación de información (RECOLECCIÓN DE INFORMACIÓN EN CAMPO CENSO DE USUARIOS) - Profesionales de campo</v>
      </c>
      <c r="C12" s="306" t="s">
        <v>242</v>
      </c>
      <c r="D12" s="301">
        <f>'VIÁTICOS-TRANSP'!B23</f>
        <v>6</v>
      </c>
      <c r="E12" s="308">
        <f>E11</f>
        <v>160000</v>
      </c>
      <c r="F12" s="312"/>
      <c r="G12" s="312">
        <f>'VIÁTICOS-TRANSP'!F23</f>
        <v>264</v>
      </c>
      <c r="H12" s="303"/>
      <c r="I12" s="302"/>
    </row>
    <row r="13" spans="1:11" ht="127.5" x14ac:dyDescent="0.35">
      <c r="A13" s="318" t="s">
        <v>232</v>
      </c>
      <c r="B13" s="318" t="str">
        <f>'VIÁTICOS-TRANSP'!A24</f>
        <v>Paso 2. Diseño y ejecución del plan de monitoreo Director - Experto en Calidad</v>
      </c>
      <c r="C13" s="319" t="s">
        <v>602</v>
      </c>
      <c r="D13" s="299">
        <f>'VIÁTICOS-TRANSP'!B24</f>
        <v>2</v>
      </c>
      <c r="E13" s="321">
        <f>E12</f>
        <v>160000</v>
      </c>
      <c r="F13" s="322"/>
      <c r="G13" s="322">
        <f>'VIÁTICOS-TRANSP'!F24</f>
        <v>32</v>
      </c>
      <c r="H13" s="324"/>
      <c r="I13" s="302"/>
    </row>
    <row r="14" spans="1:11" x14ac:dyDescent="0.35">
      <c r="A14" s="819" t="str">
        <f>'VIÁTICOS-TRANSP'!A25</f>
        <v>Construcción de Línea Base</v>
      </c>
      <c r="B14" s="819"/>
      <c r="C14" s="819"/>
      <c r="D14" s="819"/>
      <c r="E14" s="819"/>
      <c r="F14" s="819"/>
      <c r="G14" s="819"/>
      <c r="H14" s="819"/>
      <c r="I14" s="302"/>
    </row>
    <row r="15" spans="1:11" ht="89.25" x14ac:dyDescent="0.35">
      <c r="A15" s="317" t="s">
        <v>508</v>
      </c>
      <c r="B15" s="317" t="str">
        <f>'VIÁTICOS-TRANSP'!A26</f>
        <v>Paso 3. Identificación de zonas de recarga del acuífero o interacciones con las aguas superficiales</v>
      </c>
      <c r="C15" s="306" t="s">
        <v>243</v>
      </c>
      <c r="D15" s="301">
        <f>'VIÁTICOS-TRANSP'!B26</f>
        <v>2</v>
      </c>
      <c r="E15" s="327">
        <f>E13</f>
        <v>160000</v>
      </c>
      <c r="F15" s="326"/>
      <c r="G15" s="326">
        <f>'VIÁTICOS-TRANSP'!F26</f>
        <v>10</v>
      </c>
      <c r="H15" s="335"/>
      <c r="I15" s="302"/>
    </row>
    <row r="16" spans="1:11" ht="102" x14ac:dyDescent="0.35">
      <c r="A16" s="328" t="s">
        <v>508</v>
      </c>
      <c r="B16" s="328" t="str">
        <f>'VIÁTICOS-TRANSP'!A27</f>
        <v>Paso 12. Socialización de los resultados de la fase de diagnóstico</v>
      </c>
      <c r="C16" s="329" t="s">
        <v>527</v>
      </c>
      <c r="D16" s="300">
        <f>'VIÁTICOS-TRANSP'!B27</f>
        <v>4</v>
      </c>
      <c r="E16" s="327">
        <f>E15</f>
        <v>160000</v>
      </c>
      <c r="F16" s="331"/>
      <c r="G16" s="331">
        <f>'VIÁTICOS-TRANSP'!F27</f>
        <v>16</v>
      </c>
      <c r="H16" s="336"/>
      <c r="I16" s="302"/>
    </row>
    <row r="17" spans="1:10" ht="21" customHeight="1" x14ac:dyDescent="0.35">
      <c r="A17" s="820" t="str">
        <f>DISTRIBUCIÓN!A85</f>
        <v>FASE 3. Identificación de usos potenciales</v>
      </c>
      <c r="B17" s="820"/>
      <c r="C17" s="820"/>
      <c r="D17" s="820"/>
      <c r="E17" s="820"/>
      <c r="F17" s="820"/>
      <c r="G17" s="820"/>
      <c r="H17" s="820"/>
      <c r="I17" s="302"/>
    </row>
    <row r="18" spans="1:10" ht="151.5" customHeight="1" x14ac:dyDescent="0.35">
      <c r="A18" s="328" t="s">
        <v>508</v>
      </c>
      <c r="B18" s="328" t="str">
        <f>'VIÁTICOS-TRANSP'!A43</f>
        <v>Paso 5. Socialización de los resultados de la fase de Usos Potenciales (CUATRO TALLERES Equipo Técnico)</v>
      </c>
      <c r="C18" s="329" t="s">
        <v>528</v>
      </c>
      <c r="D18" s="332">
        <f>'VIÁTICOS-TRANSP'!B43</f>
        <v>4</v>
      </c>
      <c r="E18" s="330">
        <f>E16</f>
        <v>160000</v>
      </c>
      <c r="F18" s="332"/>
      <c r="G18" s="332">
        <f>'VIÁTICOS-TRANSP'!F43</f>
        <v>16</v>
      </c>
      <c r="H18" s="332"/>
      <c r="I18" s="302"/>
    </row>
    <row r="19" spans="1:10" ht="20.25" customHeight="1" x14ac:dyDescent="0.35">
      <c r="A19" s="820" t="str">
        <f>DISTRIBUCIÓN!A95</f>
        <v>FASE 4. Elaboración del plan</v>
      </c>
      <c r="B19" s="820"/>
      <c r="C19" s="820"/>
      <c r="D19" s="820"/>
      <c r="E19" s="820"/>
      <c r="F19" s="820"/>
      <c r="G19" s="820"/>
      <c r="H19" s="820"/>
      <c r="I19" s="302"/>
    </row>
    <row r="20" spans="1:10" ht="102" x14ac:dyDescent="0.35">
      <c r="A20" s="328" t="s">
        <v>508</v>
      </c>
      <c r="B20" s="317" t="str">
        <f>'VIÁTICOS-TRANSP'!A57</f>
        <v>Paso 9. Socialización de los resultados de la fase de Formulación del PORH (CUATRO TALLERES) Equipo Técnico)</v>
      </c>
      <c r="C20" s="306" t="s">
        <v>645</v>
      </c>
      <c r="D20" s="331">
        <f>'VIÁTICOS-TRANSP'!B57</f>
        <v>3</v>
      </c>
      <c r="E20" s="330">
        <f>E18</f>
        <v>160000</v>
      </c>
      <c r="F20" s="303"/>
      <c r="G20" s="312">
        <f>'VIÁTICOS-TRANSP'!F57</f>
        <v>12</v>
      </c>
      <c r="H20" s="303"/>
      <c r="I20" s="302"/>
    </row>
    <row r="21" spans="1:10" ht="15" x14ac:dyDescent="0.4">
      <c r="A21" s="821" t="s">
        <v>74</v>
      </c>
      <c r="B21" s="822"/>
      <c r="C21" s="822"/>
      <c r="D21" s="822"/>
      <c r="E21" s="315">
        <f>AVERAGE(E4:E20)</f>
        <v>160000</v>
      </c>
      <c r="F21" s="76"/>
      <c r="G21" s="314">
        <f>SUM(G4:G20)</f>
        <v>468</v>
      </c>
      <c r="H21" s="77">
        <f>SUM(H4:H20)</f>
        <v>0</v>
      </c>
      <c r="I21" s="304"/>
      <c r="J21" s="222"/>
    </row>
  </sheetData>
  <mergeCells count="10">
    <mergeCell ref="A1:H1"/>
    <mergeCell ref="A3:H3"/>
    <mergeCell ref="A4:A5"/>
    <mergeCell ref="A21:D21"/>
    <mergeCell ref="A6:H6"/>
    <mergeCell ref="A7:H7"/>
    <mergeCell ref="A10:H10"/>
    <mergeCell ref="A14:H14"/>
    <mergeCell ref="A17:H17"/>
    <mergeCell ref="A19:H19"/>
  </mergeCells>
  <hyperlinks>
    <hyperlink ref="A1:H1" location="'TABLERO CONTROL'!A1" display="'TABLERO CONTROL'!A1" xr:uid="{92FC5CFD-26D0-4DE4-BE5E-C09A2A2884AE}"/>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5899D-A3AD-4093-9E75-1F9B31AB6203}">
  <sheetPr codeName="Hoja16"/>
  <dimension ref="A1:K9"/>
  <sheetViews>
    <sheetView showGridLines="0" workbookViewId="0">
      <selection activeCell="C10" sqref="C10"/>
    </sheetView>
  </sheetViews>
  <sheetFormatPr defaultColWidth="11.3984375" defaultRowHeight="12.75" x14ac:dyDescent="0.35"/>
  <cols>
    <col min="1" max="1" width="14.1328125" style="1" customWidth="1"/>
    <col min="2" max="2" width="23" style="1" customWidth="1"/>
    <col min="3" max="3" width="51.73046875" style="1" customWidth="1"/>
    <col min="4" max="4" width="12" style="1" customWidth="1"/>
    <col min="5" max="5" width="13.59765625" style="1" customWidth="1"/>
    <col min="6" max="6" width="12.59765625" style="1" customWidth="1"/>
    <col min="7" max="7" width="15.59765625" style="1" customWidth="1"/>
    <col min="8" max="8" width="11.265625" style="1" customWidth="1"/>
    <col min="9" max="9" width="13.1328125" style="1" customWidth="1"/>
    <col min="10" max="10" width="14.73046875" style="1" customWidth="1"/>
    <col min="11" max="11" width="16" style="1" customWidth="1"/>
    <col min="12" max="16384" width="11.3984375" style="1"/>
  </cols>
  <sheetData>
    <row r="1" spans="1:11" ht="30" customHeight="1" x14ac:dyDescent="0.35">
      <c r="A1" s="827" t="str">
        <f>ECONÓMICA!B19</f>
        <v>2.3. Logística de espacios de socialización PORH - 3 fases</v>
      </c>
      <c r="B1" s="827"/>
      <c r="C1" s="827"/>
      <c r="D1" s="827"/>
      <c r="E1" s="827"/>
      <c r="F1" s="827"/>
      <c r="G1" s="827"/>
      <c r="H1" s="827"/>
      <c r="I1" s="827"/>
      <c r="J1" s="827"/>
      <c r="K1" s="827"/>
    </row>
    <row r="2" spans="1:11" ht="25.5" x14ac:dyDescent="0.35">
      <c r="A2" s="262" t="s">
        <v>68</v>
      </c>
      <c r="B2" s="262" t="s">
        <v>70</v>
      </c>
      <c r="C2" s="262" t="s">
        <v>71</v>
      </c>
      <c r="D2" s="265" t="s">
        <v>72</v>
      </c>
      <c r="E2" s="265" t="s">
        <v>151</v>
      </c>
      <c r="F2" s="265" t="s">
        <v>571</v>
      </c>
      <c r="G2" s="265" t="s">
        <v>572</v>
      </c>
      <c r="H2" s="265" t="s">
        <v>573</v>
      </c>
      <c r="I2" s="265" t="s">
        <v>152</v>
      </c>
      <c r="J2" s="265" t="s">
        <v>245</v>
      </c>
      <c r="K2" s="265" t="s">
        <v>142</v>
      </c>
    </row>
    <row r="3" spans="1:11" ht="75" customHeight="1" x14ac:dyDescent="0.35">
      <c r="A3" s="828" t="s">
        <v>508</v>
      </c>
      <c r="B3" s="828" t="s">
        <v>590</v>
      </c>
      <c r="C3" s="829" t="s">
        <v>650</v>
      </c>
      <c r="D3" s="74">
        <v>30</v>
      </c>
      <c r="E3" s="74">
        <v>12</v>
      </c>
      <c r="F3" s="283">
        <v>12000</v>
      </c>
      <c r="G3" s="283">
        <v>13000</v>
      </c>
      <c r="H3" s="283">
        <v>12500</v>
      </c>
      <c r="I3" s="266">
        <f>AVERAGE(F3:H3)</f>
        <v>12500</v>
      </c>
      <c r="J3" s="266">
        <f>I3*D3</f>
        <v>375000</v>
      </c>
      <c r="K3" s="81">
        <f>I3*E3*D3</f>
        <v>4500000</v>
      </c>
    </row>
    <row r="4" spans="1:11" ht="75" customHeight="1" x14ac:dyDescent="0.35">
      <c r="A4" s="825"/>
      <c r="B4" s="825"/>
      <c r="C4" s="830"/>
      <c r="D4" s="74">
        <v>1</v>
      </c>
      <c r="E4" s="74">
        <v>12</v>
      </c>
      <c r="F4" s="283">
        <v>600000</v>
      </c>
      <c r="G4" s="283">
        <v>800000</v>
      </c>
      <c r="H4" s="283">
        <v>700000</v>
      </c>
      <c r="I4" s="266">
        <f>AVERAGE(F4:H4)</f>
        <v>700000</v>
      </c>
      <c r="J4" s="266">
        <f>I4*D4</f>
        <v>700000</v>
      </c>
      <c r="K4" s="81">
        <f>I4*E4</f>
        <v>8400000</v>
      </c>
    </row>
    <row r="5" spans="1:11" ht="15" x14ac:dyDescent="0.4">
      <c r="A5" s="821" t="s">
        <v>74</v>
      </c>
      <c r="B5" s="822"/>
      <c r="C5" s="822"/>
      <c r="D5" s="77"/>
      <c r="E5" s="76">
        <f>AVERAGE(E3:E4)</f>
        <v>12</v>
      </c>
      <c r="F5" s="77"/>
      <c r="G5" s="77"/>
      <c r="H5" s="77"/>
      <c r="I5" s="79"/>
      <c r="J5" s="79">
        <f>SUM(J3:J4)</f>
        <v>1075000</v>
      </c>
      <c r="K5" s="79">
        <f>SUM(K3:K4)</f>
        <v>12900000</v>
      </c>
    </row>
    <row r="7" spans="1:11" x14ac:dyDescent="0.35">
      <c r="K7" s="86"/>
    </row>
    <row r="8" spans="1:11" x14ac:dyDescent="0.35">
      <c r="K8" s="83"/>
    </row>
    <row r="9" spans="1:11" x14ac:dyDescent="0.35">
      <c r="J9" s="92"/>
    </row>
  </sheetData>
  <mergeCells count="5">
    <mergeCell ref="A1:K1"/>
    <mergeCell ref="A3:A4"/>
    <mergeCell ref="B3:B4"/>
    <mergeCell ref="C3:C4"/>
    <mergeCell ref="A5:C5"/>
  </mergeCells>
  <phoneticPr fontId="5" type="noConversion"/>
  <hyperlinks>
    <hyperlink ref="A1:K1" location="'TABLERO CONTROL'!A1" display="'TABLERO CONTROL'!A1" xr:uid="{E00ED666-FAF9-420A-8190-730C20E13B02}"/>
  </hyperlinks>
  <pageMargins left="0.7" right="0.7" top="0.75" bottom="0.75" header="0.3" footer="0.3"/>
  <ignoredErrors>
    <ignoredError sqref="I3:I4" formulaRange="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914BA-46E6-41EC-9211-5D414FEAFA94}">
  <dimension ref="A1:AW56"/>
  <sheetViews>
    <sheetView zoomScaleNormal="100" workbookViewId="0">
      <selection activeCell="J6" sqref="J6"/>
    </sheetView>
  </sheetViews>
  <sheetFormatPr defaultColWidth="8.73046875" defaultRowHeight="11.65" x14ac:dyDescent="0.35"/>
  <cols>
    <col min="1" max="1" width="22.86328125" style="416" customWidth="1"/>
    <col min="2" max="2" width="4.1328125" style="416" customWidth="1"/>
    <col min="3" max="3" width="21.265625" style="416" customWidth="1"/>
    <col min="4" max="4" width="9" style="416" customWidth="1"/>
    <col min="5" max="5" width="12.59765625" style="416" customWidth="1"/>
    <col min="6" max="9" width="10.86328125" style="416" customWidth="1"/>
    <col min="10" max="15" width="10" style="416" customWidth="1"/>
    <col min="16" max="16" width="9.3984375" style="416" customWidth="1"/>
    <col min="17" max="17" width="10.265625" style="416" customWidth="1"/>
    <col min="18" max="18" width="16.73046875" style="416" bestFit="1" customWidth="1"/>
    <col min="19" max="19" width="11.265625" style="416" customWidth="1"/>
    <col min="20" max="20" width="16.73046875" style="416" customWidth="1"/>
    <col min="21" max="25" width="11.265625" style="416" customWidth="1"/>
    <col min="26" max="26" width="18" style="416" customWidth="1"/>
    <col min="27" max="27" width="28" style="416" customWidth="1"/>
    <col min="28" max="28" width="62" style="416" customWidth="1"/>
    <col min="29" max="31" width="10.3984375" style="416" customWidth="1"/>
    <col min="32" max="32" width="14" style="416" customWidth="1"/>
    <col min="33" max="33" width="33.73046875" style="416" customWidth="1"/>
    <col min="34" max="35" width="13" style="416" customWidth="1"/>
    <col min="36" max="37" width="12" style="416" customWidth="1"/>
    <col min="38" max="38" width="18" style="416" customWidth="1"/>
    <col min="39" max="39" width="16" style="416" customWidth="1"/>
    <col min="40" max="40" width="18" style="416" customWidth="1"/>
    <col min="41" max="41" width="16" style="416" customWidth="1"/>
    <col min="42" max="42" width="18" style="416" customWidth="1"/>
    <col min="43" max="43" width="36.1328125" style="416" customWidth="1"/>
    <col min="44" max="44" width="49" style="416" customWidth="1"/>
    <col min="45" max="45" width="34.86328125" style="416" customWidth="1"/>
    <col min="46" max="46" width="18" style="416" customWidth="1"/>
    <col min="47" max="47" width="19.59765625" style="416" customWidth="1"/>
    <col min="48" max="48" width="47.73046875" style="416" customWidth="1"/>
    <col min="49" max="49" width="56.86328125" style="416" customWidth="1"/>
    <col min="50" max="16384" width="8.73046875" style="416"/>
  </cols>
  <sheetData>
    <row r="1" spans="1:49" ht="24" customHeight="1" x14ac:dyDescent="0.35">
      <c r="A1" s="841" t="s">
        <v>574</v>
      </c>
      <c r="B1" s="841"/>
      <c r="C1" s="841"/>
      <c r="D1" s="841"/>
      <c r="E1" s="841"/>
      <c r="F1" s="841"/>
      <c r="G1" s="841"/>
      <c r="H1" s="841"/>
      <c r="I1" s="841"/>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2"/>
      <c r="AN1" s="452"/>
      <c r="AO1" s="452"/>
      <c r="AP1" s="452"/>
      <c r="AQ1" s="452"/>
      <c r="AR1" s="452"/>
      <c r="AS1" s="452"/>
      <c r="AT1" s="452"/>
      <c r="AU1" s="452"/>
      <c r="AV1" s="452"/>
      <c r="AW1" s="452"/>
    </row>
    <row r="2" spans="1:49" ht="23.25" x14ac:dyDescent="0.35">
      <c r="A2" s="442" t="s">
        <v>79</v>
      </c>
      <c r="B2" s="442" t="s">
        <v>389</v>
      </c>
      <c r="C2" s="842" t="s">
        <v>82</v>
      </c>
      <c r="D2" s="843"/>
      <c r="E2" s="442" t="s">
        <v>482</v>
      </c>
      <c r="F2" s="831" t="s">
        <v>481</v>
      </c>
      <c r="G2" s="832"/>
      <c r="H2" s="832"/>
      <c r="I2" s="833"/>
      <c r="J2" s="445"/>
      <c r="K2" s="445"/>
      <c r="L2" s="445"/>
      <c r="M2" s="445"/>
      <c r="N2" s="445"/>
      <c r="O2" s="445"/>
      <c r="P2" s="445"/>
      <c r="Q2" s="445"/>
      <c r="R2" s="445"/>
      <c r="S2" s="445"/>
      <c r="T2" s="445"/>
      <c r="U2" s="445"/>
      <c r="V2" s="445"/>
      <c r="W2" s="445"/>
      <c r="X2" s="445"/>
      <c r="Y2" s="445"/>
      <c r="Z2" s="445"/>
      <c r="AA2" s="445"/>
      <c r="AB2" s="445"/>
      <c r="AC2" s="445"/>
      <c r="AD2" s="445"/>
      <c r="AE2" s="445"/>
      <c r="AF2" s="445"/>
      <c r="AG2" s="445"/>
      <c r="AH2" s="445"/>
      <c r="AI2" s="445"/>
      <c r="AJ2" s="445"/>
      <c r="AK2" s="445"/>
      <c r="AL2" s="445"/>
      <c r="AM2" s="445"/>
      <c r="AN2" s="445"/>
      <c r="AO2" s="445"/>
      <c r="AP2" s="445"/>
      <c r="AQ2" s="445"/>
      <c r="AR2" s="445"/>
      <c r="AV2" s="439"/>
      <c r="AW2" s="421"/>
    </row>
    <row r="3" spans="1:49" x14ac:dyDescent="0.35">
      <c r="A3" s="440" t="s">
        <v>285</v>
      </c>
      <c r="B3" s="447" t="s">
        <v>1</v>
      </c>
      <c r="C3" s="844">
        <f>AT14</f>
        <v>2580000</v>
      </c>
      <c r="D3" s="845"/>
      <c r="E3" s="444">
        <v>18</v>
      </c>
      <c r="F3" s="838" t="s">
        <v>483</v>
      </c>
      <c r="G3" s="839"/>
      <c r="H3" s="839"/>
      <c r="I3" s="840"/>
      <c r="J3" s="446"/>
      <c r="K3" s="446"/>
      <c r="L3" s="446"/>
      <c r="M3" s="446"/>
      <c r="N3" s="446"/>
      <c r="O3" s="446"/>
      <c r="P3" s="446"/>
      <c r="Q3" s="446"/>
      <c r="R3" s="446"/>
      <c r="S3" s="446"/>
      <c r="T3" s="446"/>
      <c r="U3" s="446"/>
      <c r="V3" s="446"/>
      <c r="W3" s="446"/>
      <c r="X3" s="446"/>
      <c r="Y3" s="446"/>
      <c r="Z3" s="446"/>
      <c r="AA3" s="446"/>
      <c r="AB3" s="446"/>
      <c r="AC3" s="446"/>
      <c r="AD3" s="446"/>
      <c r="AE3" s="446"/>
      <c r="AF3" s="446"/>
      <c r="AG3" s="446"/>
      <c r="AH3" s="446"/>
      <c r="AI3" s="446"/>
      <c r="AJ3" s="446"/>
      <c r="AK3" s="446"/>
      <c r="AL3" s="446"/>
      <c r="AM3" s="446"/>
      <c r="AN3" s="446"/>
      <c r="AO3" s="446"/>
      <c r="AP3" s="446"/>
      <c r="AQ3" s="446"/>
      <c r="AR3" s="446"/>
      <c r="AV3" s="439"/>
      <c r="AW3" s="421"/>
    </row>
    <row r="4" spans="1:49" ht="23.25" customHeight="1" x14ac:dyDescent="0.35">
      <c r="A4" s="440" t="s">
        <v>477</v>
      </c>
      <c r="B4" s="441" t="s">
        <v>2</v>
      </c>
      <c r="C4" s="846">
        <f>SUM(AT9:AT12)+AT15+SUM(AT16:AT52)</f>
        <v>2629542</v>
      </c>
      <c r="D4" s="847"/>
      <c r="E4" s="444">
        <v>8</v>
      </c>
      <c r="F4" s="834" t="s">
        <v>649</v>
      </c>
      <c r="G4" s="835"/>
      <c r="H4" s="835"/>
      <c r="I4" s="836"/>
      <c r="J4" s="444"/>
      <c r="K4" s="444"/>
      <c r="L4" s="444"/>
      <c r="M4" s="444"/>
      <c r="N4" s="444"/>
      <c r="O4" s="444"/>
      <c r="P4" s="444"/>
      <c r="Q4" s="444"/>
      <c r="R4" s="444"/>
      <c r="S4" s="444"/>
      <c r="T4" s="444"/>
      <c r="U4" s="444"/>
      <c r="V4" s="444"/>
      <c r="W4" s="444"/>
      <c r="X4" s="444"/>
      <c r="Y4" s="444"/>
      <c r="Z4" s="444"/>
      <c r="AA4" s="444"/>
      <c r="AB4" s="444"/>
      <c r="AC4" s="444"/>
      <c r="AD4" s="444"/>
      <c r="AE4" s="444"/>
      <c r="AF4" s="444"/>
      <c r="AG4" s="444"/>
      <c r="AH4" s="444"/>
      <c r="AI4" s="444"/>
      <c r="AJ4" s="444"/>
      <c r="AK4" s="444"/>
      <c r="AL4" s="444"/>
      <c r="AM4" s="444"/>
      <c r="AN4" s="444"/>
      <c r="AO4" s="444"/>
      <c r="AP4" s="444"/>
      <c r="AQ4" s="444"/>
      <c r="AR4" s="444"/>
      <c r="AV4" s="421"/>
      <c r="AW4" s="421"/>
    </row>
    <row r="5" spans="1:49" ht="23.25" customHeight="1" x14ac:dyDescent="0.35">
      <c r="A5" s="437" t="s">
        <v>478</v>
      </c>
      <c r="B5" s="438" t="s">
        <v>3</v>
      </c>
      <c r="C5" s="846">
        <f>SUM(AT9:AT12)+AT13+SUM(AT16:AT52)</f>
        <v>3811542</v>
      </c>
      <c r="D5" s="847"/>
      <c r="E5" s="421">
        <v>20</v>
      </c>
      <c r="F5" s="837"/>
      <c r="G5" s="835"/>
      <c r="H5" s="835"/>
      <c r="I5" s="836"/>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1"/>
      <c r="AR5" s="421"/>
      <c r="AV5" s="421"/>
      <c r="AW5" s="421"/>
    </row>
    <row r="6" spans="1:49" ht="23.25" customHeight="1" x14ac:dyDescent="0.35">
      <c r="A6" s="437" t="s">
        <v>479</v>
      </c>
      <c r="B6" s="438" t="s">
        <v>4</v>
      </c>
      <c r="C6" s="846">
        <f>SUM(AT9:AT12)+AT14+SUM(AT16:AT52)</f>
        <v>4933542</v>
      </c>
      <c r="D6" s="847"/>
      <c r="E6" s="421">
        <v>40</v>
      </c>
      <c r="F6" s="837"/>
      <c r="G6" s="835"/>
      <c r="H6" s="835"/>
      <c r="I6" s="836"/>
      <c r="J6" s="421"/>
      <c r="K6" s="421"/>
      <c r="L6" s="421"/>
      <c r="M6" s="421"/>
      <c r="N6" s="421"/>
      <c r="O6" s="421"/>
      <c r="P6" s="421"/>
      <c r="Q6" s="421"/>
      <c r="R6" s="421"/>
      <c r="S6" s="421"/>
      <c r="T6" s="421"/>
      <c r="U6" s="421"/>
      <c r="V6" s="421"/>
      <c r="W6" s="421"/>
      <c r="X6" s="421"/>
      <c r="Y6" s="421"/>
      <c r="Z6" s="421"/>
      <c r="AA6" s="421"/>
      <c r="AB6" s="421"/>
      <c r="AC6" s="421"/>
      <c r="AD6" s="421"/>
      <c r="AE6" s="421"/>
      <c r="AF6" s="421"/>
      <c r="AG6" s="421"/>
      <c r="AH6" s="421"/>
      <c r="AI6" s="421"/>
      <c r="AJ6" s="421"/>
      <c r="AK6" s="421"/>
      <c r="AL6" s="421"/>
      <c r="AM6" s="421"/>
      <c r="AN6" s="421"/>
      <c r="AO6" s="421"/>
      <c r="AP6" s="421"/>
      <c r="AQ6" s="421"/>
      <c r="AR6" s="421"/>
      <c r="AV6" s="421"/>
      <c r="AW6" s="421"/>
    </row>
    <row r="7" spans="1:49" x14ac:dyDescent="0.35">
      <c r="A7" s="421"/>
      <c r="B7" s="421"/>
      <c r="C7" s="421"/>
      <c r="D7" s="421"/>
      <c r="E7" s="437">
        <f>SUM(E4:E6)</f>
        <v>68</v>
      </c>
      <c r="F7" s="421"/>
      <c r="G7" s="421"/>
      <c r="H7" s="421"/>
      <c r="I7" s="421"/>
      <c r="J7" s="421"/>
      <c r="K7" s="421"/>
      <c r="L7" s="421"/>
      <c r="M7" s="421"/>
      <c r="N7" s="421"/>
      <c r="O7" s="421"/>
      <c r="P7" s="421"/>
      <c r="Q7" s="421"/>
      <c r="R7" s="421"/>
      <c r="S7" s="421"/>
      <c r="T7" s="421"/>
      <c r="U7" s="421"/>
      <c r="V7" s="421"/>
      <c r="W7" s="421"/>
      <c r="X7" s="421"/>
      <c r="Y7" s="421"/>
      <c r="Z7" s="421"/>
      <c r="AA7" s="421"/>
      <c r="AB7" s="421"/>
      <c r="AC7" s="421"/>
      <c r="AD7" s="421"/>
      <c r="AE7" s="421"/>
      <c r="AF7" s="421"/>
      <c r="AG7" s="421"/>
      <c r="AH7" s="421"/>
      <c r="AI7" s="421"/>
      <c r="AJ7" s="421"/>
      <c r="AK7" s="421"/>
      <c r="AL7" s="421"/>
      <c r="AM7" s="421"/>
      <c r="AN7" s="421"/>
      <c r="AO7" s="421"/>
      <c r="AP7" s="421"/>
      <c r="AQ7" s="421"/>
      <c r="AR7" s="421"/>
      <c r="AS7" s="421"/>
      <c r="AT7" s="421"/>
      <c r="AU7" s="421"/>
      <c r="AV7" s="421"/>
      <c r="AW7" s="421"/>
    </row>
    <row r="8" spans="1:49" ht="34.9" x14ac:dyDescent="0.35">
      <c r="A8" s="432" t="s">
        <v>388</v>
      </c>
      <c r="B8" s="432" t="s">
        <v>389</v>
      </c>
      <c r="C8" s="432" t="s">
        <v>390</v>
      </c>
      <c r="D8" s="432" t="s">
        <v>609</v>
      </c>
      <c r="E8" s="432" t="s">
        <v>391</v>
      </c>
      <c r="F8" s="418" t="s">
        <v>529</v>
      </c>
      <c r="G8" s="418" t="s">
        <v>530</v>
      </c>
      <c r="H8" s="418" t="s">
        <v>531</v>
      </c>
      <c r="I8" s="418" t="s">
        <v>532</v>
      </c>
      <c r="J8" s="418" t="s">
        <v>533</v>
      </c>
      <c r="K8" s="418" t="s">
        <v>534</v>
      </c>
      <c r="L8" s="418" t="s">
        <v>535</v>
      </c>
      <c r="M8" s="418" t="s">
        <v>536</v>
      </c>
      <c r="N8" s="418" t="s">
        <v>537</v>
      </c>
      <c r="O8" s="418" t="s">
        <v>538</v>
      </c>
      <c r="P8" s="419" t="s">
        <v>400</v>
      </c>
      <c r="Q8" s="419" t="s">
        <v>401</v>
      </c>
      <c r="R8" s="419" t="s">
        <v>402</v>
      </c>
      <c r="S8" s="419" t="s">
        <v>403</v>
      </c>
      <c r="T8" s="419" t="s">
        <v>404</v>
      </c>
      <c r="U8" s="419" t="s">
        <v>405</v>
      </c>
      <c r="V8" s="419" t="s">
        <v>406</v>
      </c>
      <c r="W8" s="419" t="s">
        <v>407</v>
      </c>
      <c r="X8" s="419" t="s">
        <v>408</v>
      </c>
      <c r="Y8" s="419" t="s">
        <v>409</v>
      </c>
      <c r="Z8" s="419" t="s">
        <v>410</v>
      </c>
      <c r="AA8" s="419" t="s">
        <v>411</v>
      </c>
      <c r="AB8" s="419" t="s">
        <v>412</v>
      </c>
      <c r="AC8" s="419" t="s">
        <v>413</v>
      </c>
      <c r="AD8" s="419" t="s">
        <v>414</v>
      </c>
      <c r="AE8" s="419" t="s">
        <v>415</v>
      </c>
      <c r="AF8" s="419" t="s">
        <v>416</v>
      </c>
      <c r="AG8" s="419" t="s">
        <v>417</v>
      </c>
      <c r="AH8" s="420" t="s">
        <v>418</v>
      </c>
      <c r="AI8" s="420" t="s">
        <v>419</v>
      </c>
      <c r="AJ8" s="420" t="s">
        <v>420</v>
      </c>
      <c r="AK8" s="420" t="s">
        <v>421</v>
      </c>
      <c r="AL8" s="420" t="s">
        <v>422</v>
      </c>
      <c r="AM8" s="420" t="s">
        <v>423</v>
      </c>
      <c r="AN8" s="420" t="s">
        <v>424</v>
      </c>
      <c r="AO8" s="420" t="s">
        <v>425</v>
      </c>
      <c r="AP8" s="420" t="s">
        <v>426</v>
      </c>
      <c r="AQ8" s="420" t="s">
        <v>427</v>
      </c>
      <c r="AR8" s="420" t="s">
        <v>428</v>
      </c>
      <c r="AS8" s="417" t="s">
        <v>429</v>
      </c>
      <c r="AT8" s="417" t="s">
        <v>73</v>
      </c>
      <c r="AU8" s="417" t="s">
        <v>430</v>
      </c>
      <c r="AV8" s="417" t="s">
        <v>431</v>
      </c>
      <c r="AW8" s="417" t="s">
        <v>71</v>
      </c>
    </row>
    <row r="9" spans="1:49" ht="15" customHeight="1" x14ac:dyDescent="0.35">
      <c r="A9" s="421" t="s">
        <v>467</v>
      </c>
      <c r="B9" s="422">
        <v>1</v>
      </c>
      <c r="C9" s="443" t="s">
        <v>148</v>
      </c>
      <c r="D9" s="443" t="s">
        <v>615</v>
      </c>
      <c r="E9" s="423">
        <v>68</v>
      </c>
      <c r="F9" s="424">
        <v>17000</v>
      </c>
      <c r="G9" s="424">
        <v>3500</v>
      </c>
      <c r="H9" s="424">
        <v>4000</v>
      </c>
      <c r="I9" s="424">
        <v>20100</v>
      </c>
      <c r="J9" s="424">
        <v>22000</v>
      </c>
      <c r="K9" s="424">
        <v>13796</v>
      </c>
      <c r="L9" s="424">
        <v>19639</v>
      </c>
      <c r="M9" s="424">
        <v>8800</v>
      </c>
      <c r="N9" s="424">
        <v>4500</v>
      </c>
      <c r="O9" s="424">
        <v>2930</v>
      </c>
      <c r="P9" s="425">
        <f>COUNT(F9:O9)</f>
        <v>10</v>
      </c>
      <c r="Q9" s="422">
        <f>COUNT(F9:I9)</f>
        <v>4</v>
      </c>
      <c r="R9" s="426" t="str">
        <f>IF(P9=0,"",IF(S9=F9,"Lasertec",IF(S9=G9,"Chemilab",IF(S9=H9,"CIMA",IF(S9=I9,"SGI",IF(S9=J9,"Javeriana",IF(S9=K9,"Acueducto Bogotá",IF(S9=L9,"CARDIQUE",IF(S9=M9,"UPB Montería",IF(S9=N9,"Proc_SECOP II - COT 1",IF(S9=O9,"Proc_SECOP II - COT 2","")))))))))))</f>
        <v>Proc_SECOP II - COT 2</v>
      </c>
      <c r="S9" s="424">
        <f>IF(P9=0,"",MIN(F9:O9))</f>
        <v>2930</v>
      </c>
      <c r="T9" s="426" t="str">
        <f>IF(P9=0,"",IF(U9=F9,"Lasertec",IF(U9=G9,"Chemilab",IF(U9=H9,"CIMA",IF(U9=I9,"SGI",IF(U9=J9,"Javeriana",IF(U9=K9,"Acueducto Bogotá",IF(U9=L9,"CARDIQUE",IF(U9=M9,"UPB Montería",IF(U9=N9,"Proc_SECOP II - COT 1",IF(U9=O9,"Proc_SECOP II - COT 2","")))))))))))</f>
        <v>Javeriana</v>
      </c>
      <c r="U9" s="424">
        <f>IF(P9=0,"",MAX(F9:O9))</f>
        <v>22000</v>
      </c>
      <c r="V9" s="427">
        <f>IF(P9=0,"",ROUND(MEDIAN(F9:O9),0))</f>
        <v>11298</v>
      </c>
      <c r="W9" s="427">
        <f>IF(P9=0,"",IF(P9&gt;=3,ROUND(MEDIAN(F9:O9),0),IF(P9=2,ROUND(AVERAGE(F9:O9),0),MAX(F9:O9))))</f>
        <v>11298</v>
      </c>
      <c r="X9" s="424">
        <f t="shared" ref="X9:X52" si="0">IF(OR(E9="",W9=""),"",E9*W9)</f>
        <v>768264</v>
      </c>
      <c r="Y9" s="430">
        <f>IFERROR((W9-V9)/V9,"")</f>
        <v>0</v>
      </c>
      <c r="Z9" s="421" t="str">
        <f>IF(P9=0,"Sin soporte",IF(AF9="Sí","Revisión por dispersión",IF(Q9&lt;=1,"Único soporte formal",IF(P9&gt;=4,"Robusto",IF(P9=3,"Aceptable","Débil")))))</f>
        <v>Revisión por dispersión</v>
      </c>
      <c r="AA9" s="421" t="str">
        <f t="shared" ref="AA9:AA52" si="1">IF(P9=0,"Buscar referencias adicionales",IF(Q9&lt;=1,"Solicitar 2 cotizaciones adicionales",IF(AF9="Sí","Validación técnica y segunda ronda",IF(P9=2,"Solicitar 1 cotización adicional","No obligatoria"))))</f>
        <v>Validación técnica y segunda ronda</v>
      </c>
      <c r="AB9" s="421" t="str">
        <f t="shared" ref="AB9:AB52" si="2">IF(P9=0,"Sin referencias comparables.",IF(AF9="Sí","Diferencia entre máximo y mínimo superior al 30% de la mediana; no excluir atípicos sin justificación.",IF(Q9&lt;=1,"Solo existe 1 soporte formal comparable.",IF(P9=2,"Solo hay 2 referencias de mercado; completar pluralidad.","Comparación con mercado suficiente para fijar precio de referencia."))))</f>
        <v>Diferencia entre máximo y mínimo superior al 30% de la mediana; no excluir atípicos sin justificación.</v>
      </c>
      <c r="AC9" s="428">
        <f>IFERROR((U9-S9)/V9,"")</f>
        <v>1.6879093644892902</v>
      </c>
      <c r="AD9" s="428">
        <f>IF(COUNT(F9:O9)&gt;1,STDEV(F9:O9)/AVERAGE(F9:O9),"")</f>
        <v>0.66363766835865889</v>
      </c>
      <c r="AE9" s="426" t="str">
        <f>IF(P9=0,"Sin soportes",IF(P9=1,"Soporte único",IF(AC9&lt;=0.15,"Baja",IF(AC9&lt;=0.3,"Media","Alta"))))</f>
        <v>Alta</v>
      </c>
      <c r="AF9" s="426" t="str">
        <f t="shared" ref="AF9:AF52" si="3">IF(AND(P9&gt;1,AC9&gt;0.3),"Sí","No")</f>
        <v>Sí</v>
      </c>
      <c r="AG9" s="426" t="str">
        <f t="shared" ref="AG9:AG52" si="4">IF(P9=0,"Sin referencia",IF(P9=1,"Precio único provisional",IF(AF9="Sí","Mediana referencial sujeta a validación",IF(P9&gt;=3,"Mediana",IF(P9=2,"Promedio","")))))</f>
        <v>Mediana referencial sujeta a validación</v>
      </c>
      <c r="AH9" s="426" t="str">
        <f>IF(P9&gt;=3,"Sí","No")</f>
        <v>Sí</v>
      </c>
      <c r="AI9" s="426">
        <f>IF(P9&gt;=3,P9-2,P9)</f>
        <v>8</v>
      </c>
      <c r="AJ9" s="424">
        <f>IF(P9&gt;=4,SMALL(F9:O9,2),IF(P9=3,MEDIAN(F9:O9),IF(P9&gt;0,MIN(F9:O9),"")))</f>
        <v>3500</v>
      </c>
      <c r="AK9" s="424">
        <f>IF(P9&gt;=4,LARGE(F9:O9,2),IF(P9=3,MEDIAN(F9:O9),IF(P9&gt;0,MAX(F9:O9),"")))</f>
        <v>20100</v>
      </c>
      <c r="AL9" s="427">
        <f>IF(P9&gt;=4,ROUND((SUM(F9:O9)-MIN(F9:O9)-MAX(F9:O9))/(P9-2),0),IF(P9=3,ROUND(MEDIAN(F9:O9),0),IF(P9=2,ROUND(AVERAGE(F9:O9),0),IF(P9=1,MAX(F9:O9),""))))</f>
        <v>11417</v>
      </c>
      <c r="AM9" s="424">
        <f>IF(OR(E9="",AL9=""),"",E9*AL9)</f>
        <v>776356</v>
      </c>
      <c r="AN9" s="428">
        <f>IFERROR((AL9-V9)/V9,"")</f>
        <v>1.0532837670384139E-2</v>
      </c>
      <c r="AO9" s="428">
        <f>IFERROR((AK9-AJ9)/AL9,"")</f>
        <v>1.4539721467986335</v>
      </c>
      <c r="AP9" s="426" t="str">
        <f t="shared" ref="AP9:AP52" si="5">IF(AI9=0,"Sin soportes",IF(AI9=1,"Soporte único",IF(AO9&lt;=0.15,"Baja",IF(AO9&lt;=0.3,"Media","Alta"))))</f>
        <v>Alta</v>
      </c>
      <c r="AQ9" s="421" t="str">
        <f t="shared" ref="AQ9:AQ52" si="6">IF(P9=0,"Sin referencia",IF(P9&lt;3,"Sin recorte por soportes insuficientes",IF(AP9="Alta","Revisión complementaria","Precio depurado útil")))</f>
        <v>Revisión complementaria</v>
      </c>
      <c r="AR9" s="421" t="str">
        <f t="shared" ref="AR9:AR52" si="7">IF(P9&lt;3,"No se eliminan extremos porque no hay pluralidad suficiente.",IF(AP9="Alta","Aun sin extremos persiste dispersión relevante; validar alcance técnico.","Se retiró un mínimo y un máximo para prueba de sensibilidad del mercado."))</f>
        <v>Aun sin extremos persiste dispersión relevante; validar alcance técnico.</v>
      </c>
      <c r="AS9" s="421" t="str">
        <f t="shared" ref="AS9:AS52" si="8">IF(P9=0,"Sin referencia",IF(P9=1,"Valor único de mercado",IF(AND(P9&gt;=4,AE9="Alta"),"Promedio depurado sin extremos",IF(AND(P9&gt;=3,AE9="Alta"),"Mediana de mercado (sin depuración fuerte)",IF(P9&gt;=3,"Mediana de mercado","Promedio simple de mercado")))))</f>
        <v>Promedio depurado sin extremos</v>
      </c>
      <c r="AT9" s="429">
        <f>IF(P9=0,"",IF(AND(P9&gt;=4,AE9="Alta",AL9&lt;&gt;""),AL9,W9))</f>
        <v>11417</v>
      </c>
      <c r="AU9" s="421" t="str">
        <f t="shared" ref="AU9:AU52" si="9">IF(P9=0,"Sin precio",IF(P9=1,"Provisional: soporte único",IF(P9=2,"Definido con 2 soportes",IF(AND(P9&gt;=4,AE9="Alta"),"Definido con depuración","Definido"))))</f>
        <v>Definido con depuración</v>
      </c>
      <c r="AV9" s="421" t="str">
        <f t="shared" ref="AV9:AV52" si="10">IF(P9=0,"Buscar mercado adicional",IF(P9=1,"Solicitar mínimo 2 cotizaciones adicionales",IF(P9=2,"Conveniente solicitar 1 cotización adicional",IF(AND(P9&gt;=4,AE9="Alta",AP9="Alta"),"Mantener valor final y dejar nota de dispersión residual",IF(AND(P9&gt;=4,AE9="Alta"),"Usar valor depurado y conservar trazabilidad de extremos","Usar valor final recomendado")))))</f>
        <v>Mantener valor final y dejar nota de dispersión residual</v>
      </c>
      <c r="AW9" s="421" t="str">
        <f t="shared" ref="AW9:AW52" si="11">IF(P9=0,"No hay soporte comparable.",IF(P9=1,"El valor final corresponde al único soporte comparable disponible.",IF(AND(P9&gt;=4,AE9="Alta"),"Por alta dispersión se depura un mínimo y un máximo y se adopta el promedio interior.",IF(P9&gt;=3,"Se adopta la mediana del mercado por ser una medida robusta.","Con 2 soportes se usa el promedio simple de mercado."))))</f>
        <v>Por alta dispersión se depura un mínimo y un máximo y se adopta el promedio interior.</v>
      </c>
    </row>
    <row r="10" spans="1:49" ht="15" customHeight="1" x14ac:dyDescent="0.35">
      <c r="A10" s="421" t="s">
        <v>467</v>
      </c>
      <c r="B10" s="422">
        <v>2</v>
      </c>
      <c r="C10" s="443" t="s">
        <v>432</v>
      </c>
      <c r="D10" s="443" t="s">
        <v>616</v>
      </c>
      <c r="E10" s="423">
        <v>68</v>
      </c>
      <c r="F10" s="424">
        <v>38000</v>
      </c>
      <c r="G10" s="424">
        <v>7000</v>
      </c>
      <c r="H10" s="424">
        <v>8000</v>
      </c>
      <c r="I10" s="424">
        <v>54300</v>
      </c>
      <c r="J10" s="424">
        <v>24000</v>
      </c>
      <c r="K10" s="424">
        <v>14945</v>
      </c>
      <c r="L10" s="424">
        <v>15710</v>
      </c>
      <c r="M10" s="424">
        <v>8800</v>
      </c>
      <c r="N10" s="424">
        <v>3400</v>
      </c>
      <c r="O10" s="424">
        <v>12340</v>
      </c>
      <c r="P10" s="425">
        <f t="shared" ref="P10:P52" si="12">COUNT(F10:O10)</f>
        <v>10</v>
      </c>
      <c r="Q10" s="422">
        <f t="shared" ref="Q10:Q52" si="13">COUNT(F10:I10)</f>
        <v>4</v>
      </c>
      <c r="R10" s="426" t="str">
        <f t="shared" ref="R10:R52" si="14">IF(P10=0,"",IF(S10=F10,"Lasertec",IF(S10=G10,"Chemilab",IF(S10=H10,"CIMA",IF(S10=I10,"SGI",IF(S10=J10,"Javeriana",IF(S10=K10,"Acueducto Bogotá",IF(S10=L10,"CARDIQUE",IF(S10=M10,"UPB Montería",IF(S10=N10,"Proc_SECOP II - COT 1",IF(S10=O10,"Proc_SECOP II - COT 2","")))))))))))</f>
        <v>Proc_SECOP II - COT 1</v>
      </c>
      <c r="S10" s="424">
        <f t="shared" ref="S10:S52" si="15">IF(P10=0,"",MIN(F10:O10))</f>
        <v>3400</v>
      </c>
      <c r="T10" s="426" t="str">
        <f t="shared" ref="T10:T52" si="16">IF(P10=0,"",IF(U10=F10,"Lasertec",IF(U10=G10,"Chemilab",IF(U10=H10,"CIMA",IF(U10=I10,"SGI",IF(U10=J10,"Javeriana",IF(U10=K10,"Acueducto Bogotá",IF(U10=L10,"CARDIQUE",IF(U10=M10,"UPB Montería",IF(U10=N10,"Proc_SECOP II - COT 1",IF(U10=O10,"Proc_SECOP II - COT 2","")))))))))))</f>
        <v>SGI</v>
      </c>
      <c r="U10" s="424">
        <f t="shared" ref="U10:U52" si="17">IF(P10=0,"",MAX(F10:O10))</f>
        <v>54300</v>
      </c>
      <c r="V10" s="427">
        <f t="shared" ref="V10:V52" si="18">IF(P10=0,"",ROUND(MEDIAN(F10:O10),0))</f>
        <v>13643</v>
      </c>
      <c r="W10" s="427">
        <f t="shared" ref="W10:W52" si="19">IF(P10=0,"",IF(P10&gt;=3,ROUND(MEDIAN(F10:O10),0),IF(P10=2,ROUND(AVERAGE(F10:O10),0),MAX(F10:O10))))</f>
        <v>13643</v>
      </c>
      <c r="X10" s="424">
        <f t="shared" si="0"/>
        <v>927724</v>
      </c>
      <c r="Y10" s="430">
        <f t="shared" ref="Y10:Y52" si="20">IFERROR((W10-V10)/V10,"")</f>
        <v>0</v>
      </c>
      <c r="Z10" s="421" t="str">
        <f t="shared" ref="Z10:Z52" si="21">IF(P10=0,"Sin soporte",IF(AF10="Sí","Revisión por dispersión",IF(Q10&lt;=1,"Único soporte formal",IF(P10&gt;=4,"Robusto",IF(P10=3,"Aceptable","Débil")))))</f>
        <v>Revisión por dispersión</v>
      </c>
      <c r="AA10" s="421" t="str">
        <f t="shared" si="1"/>
        <v>Validación técnica y segunda ronda</v>
      </c>
      <c r="AB10" s="421" t="str">
        <f t="shared" si="2"/>
        <v>Diferencia entre máximo y mínimo superior al 30% de la mediana; no excluir atípicos sin justificación.</v>
      </c>
      <c r="AC10" s="428">
        <f t="shared" ref="AC10:AC52" si="22">IFERROR((U10-S10)/V10,"")</f>
        <v>3.7308509858535515</v>
      </c>
      <c r="AD10" s="428">
        <f t="shared" ref="AD10:AD52" si="23">IF(COUNT(F10:O10)&gt;1,STDEV(F10:O10)/AVERAGE(F10:O10),"")</f>
        <v>0.85995591897700607</v>
      </c>
      <c r="AE10" s="426" t="str">
        <f t="shared" ref="AE10:AE52" si="24">IF(P10=0,"Sin soportes",IF(P10=1,"Soporte único",IF(AC10&lt;=0.15,"Baja",IF(AC10&lt;=0.3,"Media","Alta"))))</f>
        <v>Alta</v>
      </c>
      <c r="AF10" s="426" t="str">
        <f t="shared" si="3"/>
        <v>Sí</v>
      </c>
      <c r="AG10" s="426" t="str">
        <f t="shared" si="4"/>
        <v>Mediana referencial sujeta a validación</v>
      </c>
      <c r="AH10" s="426" t="str">
        <f t="shared" ref="AH10:AH52" si="25">IF(P10&gt;=3,"Sí","No")</f>
        <v>Sí</v>
      </c>
      <c r="AI10" s="426">
        <f t="shared" ref="AI10:AI52" si="26">IF(P10&gt;=3,P10-2,P10)</f>
        <v>8</v>
      </c>
      <c r="AJ10" s="424">
        <f t="shared" ref="AJ10:AJ52" si="27">IF(P10&gt;=4,SMALL(F10:O10,2),IF(P10=3,MEDIAN(F10:O10),IF(P10&gt;0,MIN(F10:O10),"")))</f>
        <v>7000</v>
      </c>
      <c r="AK10" s="424">
        <f t="shared" ref="AK10:AK52" si="28">IF(P10&gt;=4,LARGE(F10:O10,2),IF(P10=3,MEDIAN(F10:O10),IF(P10&gt;0,MAX(F10:O10),"")))</f>
        <v>38000</v>
      </c>
      <c r="AL10" s="427">
        <f t="shared" ref="AL10:AL52" si="29">IF(P10&gt;=4,ROUND((SUM(F10:O10)-MIN(F10:O10)-MAX(F10:O10))/(P10-2),0),IF(P10=3,ROUND(MEDIAN(F10:O10),0),IF(P10=2,ROUND(AVERAGE(F10:O10),0),IF(P10=1,MAX(F10:O10),""))))</f>
        <v>16099</v>
      </c>
      <c r="AM10" s="424">
        <f t="shared" ref="AM10:AM52" si="30">IF(OR(E10="",AL10=""),"",E10*AL10)</f>
        <v>1094732</v>
      </c>
      <c r="AN10" s="428">
        <f t="shared" ref="AN10:AN52" si="31">IFERROR((AL10-V10)/V10,"")</f>
        <v>0.18001905739206919</v>
      </c>
      <c r="AO10" s="428">
        <f t="shared" ref="AO10:AO52" si="32">IFERROR((AK10-AJ10)/AL10,"")</f>
        <v>1.9255854400894465</v>
      </c>
      <c r="AP10" s="426" t="str">
        <f t="shared" si="5"/>
        <v>Alta</v>
      </c>
      <c r="AQ10" s="421" t="str">
        <f t="shared" si="6"/>
        <v>Revisión complementaria</v>
      </c>
      <c r="AR10" s="421" t="str">
        <f t="shared" si="7"/>
        <v>Aun sin extremos persiste dispersión relevante; validar alcance técnico.</v>
      </c>
      <c r="AS10" s="421" t="str">
        <f t="shared" si="8"/>
        <v>Promedio depurado sin extremos</v>
      </c>
      <c r="AT10" s="429">
        <f t="shared" ref="AT10:AT52" si="33">IF(P10=0,"",IF(AND(P10&gt;=4,AE10="Alta",AL10&lt;&gt;""),AL10,W10))</f>
        <v>16099</v>
      </c>
      <c r="AU10" s="421" t="str">
        <f t="shared" si="9"/>
        <v>Definido con depuración</v>
      </c>
      <c r="AV10" s="421" t="str">
        <f t="shared" si="10"/>
        <v>Mantener valor final y dejar nota de dispersión residual</v>
      </c>
      <c r="AW10" s="421" t="str">
        <f t="shared" si="11"/>
        <v>Por alta dispersión se depura un mínimo y un máximo y se adopta el promedio interior.</v>
      </c>
    </row>
    <row r="11" spans="1:49" ht="15" customHeight="1" x14ac:dyDescent="0.35">
      <c r="A11" s="421" t="s">
        <v>467</v>
      </c>
      <c r="B11" s="422">
        <v>3</v>
      </c>
      <c r="C11" s="443" t="s">
        <v>433</v>
      </c>
      <c r="D11" s="443" t="s">
        <v>617</v>
      </c>
      <c r="E11" s="423">
        <v>68</v>
      </c>
      <c r="F11" s="424">
        <v>38000</v>
      </c>
      <c r="G11" s="424">
        <v>7000</v>
      </c>
      <c r="H11" s="424">
        <v>6000</v>
      </c>
      <c r="I11" s="424">
        <v>54300</v>
      </c>
      <c r="J11" s="424">
        <v>39000</v>
      </c>
      <c r="K11" s="424">
        <v>24142</v>
      </c>
      <c r="L11" s="424">
        <v>26707</v>
      </c>
      <c r="M11" s="424">
        <v>10000</v>
      </c>
      <c r="N11" s="424">
        <v>8600</v>
      </c>
      <c r="O11" s="424">
        <v>12340</v>
      </c>
      <c r="P11" s="425">
        <f t="shared" si="12"/>
        <v>10</v>
      </c>
      <c r="Q11" s="422">
        <f t="shared" si="13"/>
        <v>4</v>
      </c>
      <c r="R11" s="426" t="str">
        <f t="shared" si="14"/>
        <v>CIMA</v>
      </c>
      <c r="S11" s="424">
        <f t="shared" si="15"/>
        <v>6000</v>
      </c>
      <c r="T11" s="426" t="str">
        <f t="shared" si="16"/>
        <v>SGI</v>
      </c>
      <c r="U11" s="424">
        <f t="shared" si="17"/>
        <v>54300</v>
      </c>
      <c r="V11" s="427">
        <f t="shared" si="18"/>
        <v>18241</v>
      </c>
      <c r="W11" s="427">
        <f t="shared" si="19"/>
        <v>18241</v>
      </c>
      <c r="X11" s="424">
        <f t="shared" si="0"/>
        <v>1240388</v>
      </c>
      <c r="Y11" s="430">
        <f t="shared" si="20"/>
        <v>0</v>
      </c>
      <c r="Z11" s="421" t="str">
        <f t="shared" si="21"/>
        <v>Revisión por dispersión</v>
      </c>
      <c r="AA11" s="421" t="str">
        <f t="shared" si="1"/>
        <v>Validación técnica y segunda ronda</v>
      </c>
      <c r="AB11" s="421" t="str">
        <f t="shared" si="2"/>
        <v>Diferencia entre máximo y mínimo superior al 30% de la mediana; no excluir atípicos sin justificación.</v>
      </c>
      <c r="AC11" s="428">
        <f t="shared" si="22"/>
        <v>2.6478811468669479</v>
      </c>
      <c r="AD11" s="428">
        <f t="shared" si="23"/>
        <v>0.73852827407634458</v>
      </c>
      <c r="AE11" s="426" t="str">
        <f t="shared" si="24"/>
        <v>Alta</v>
      </c>
      <c r="AF11" s="426" t="str">
        <f t="shared" si="3"/>
        <v>Sí</v>
      </c>
      <c r="AG11" s="426" t="str">
        <f t="shared" si="4"/>
        <v>Mediana referencial sujeta a validación</v>
      </c>
      <c r="AH11" s="426" t="str">
        <f t="shared" si="25"/>
        <v>Sí</v>
      </c>
      <c r="AI11" s="426">
        <f t="shared" si="26"/>
        <v>8</v>
      </c>
      <c r="AJ11" s="424">
        <f t="shared" si="27"/>
        <v>7000</v>
      </c>
      <c r="AK11" s="424">
        <f t="shared" si="28"/>
        <v>39000</v>
      </c>
      <c r="AL11" s="427">
        <f t="shared" si="29"/>
        <v>20724</v>
      </c>
      <c r="AM11" s="424">
        <f t="shared" si="30"/>
        <v>1409232</v>
      </c>
      <c r="AN11" s="428">
        <f t="shared" si="31"/>
        <v>0.13612192314017871</v>
      </c>
      <c r="AO11" s="428">
        <f t="shared" si="32"/>
        <v>1.5441034549314805</v>
      </c>
      <c r="AP11" s="426" t="str">
        <f t="shared" si="5"/>
        <v>Alta</v>
      </c>
      <c r="AQ11" s="421" t="str">
        <f t="shared" si="6"/>
        <v>Revisión complementaria</v>
      </c>
      <c r="AR11" s="421" t="str">
        <f t="shared" si="7"/>
        <v>Aun sin extremos persiste dispersión relevante; validar alcance técnico.</v>
      </c>
      <c r="AS11" s="421" t="str">
        <f t="shared" si="8"/>
        <v>Promedio depurado sin extremos</v>
      </c>
      <c r="AT11" s="429">
        <f t="shared" si="33"/>
        <v>20724</v>
      </c>
      <c r="AU11" s="421" t="str">
        <f t="shared" si="9"/>
        <v>Definido con depuración</v>
      </c>
      <c r="AV11" s="421" t="str">
        <f t="shared" si="10"/>
        <v>Mantener valor final y dejar nota de dispersión residual</v>
      </c>
      <c r="AW11" s="421" t="str">
        <f t="shared" si="11"/>
        <v>Por alta dispersión se depura un mínimo y un máximo y se adopta el promedio interior.</v>
      </c>
    </row>
    <row r="12" spans="1:49" ht="15" customHeight="1" x14ac:dyDescent="0.35">
      <c r="A12" s="421" t="s">
        <v>467</v>
      </c>
      <c r="B12" s="422">
        <v>4</v>
      </c>
      <c r="C12" s="443" t="s">
        <v>149</v>
      </c>
      <c r="D12" s="443" t="s">
        <v>618</v>
      </c>
      <c r="E12" s="423">
        <v>68</v>
      </c>
      <c r="F12" s="424">
        <v>17000</v>
      </c>
      <c r="G12" s="424">
        <v>2600</v>
      </c>
      <c r="H12" s="424">
        <v>2000</v>
      </c>
      <c r="I12" s="424">
        <v>16500</v>
      </c>
      <c r="J12" s="424"/>
      <c r="K12" s="424">
        <v>17244</v>
      </c>
      <c r="L12" s="424">
        <v>11783</v>
      </c>
      <c r="M12" s="424">
        <v>7300</v>
      </c>
      <c r="N12" s="424">
        <v>3500</v>
      </c>
      <c r="O12" s="424">
        <v>2930</v>
      </c>
      <c r="P12" s="425">
        <f t="shared" si="12"/>
        <v>9</v>
      </c>
      <c r="Q12" s="422">
        <f t="shared" si="13"/>
        <v>4</v>
      </c>
      <c r="R12" s="426" t="str">
        <f t="shared" si="14"/>
        <v>CIMA</v>
      </c>
      <c r="S12" s="424">
        <f t="shared" si="15"/>
        <v>2000</v>
      </c>
      <c r="T12" s="426" t="str">
        <f t="shared" si="16"/>
        <v>Acueducto Bogotá</v>
      </c>
      <c r="U12" s="424">
        <f t="shared" si="17"/>
        <v>17244</v>
      </c>
      <c r="V12" s="427">
        <f t="shared" si="18"/>
        <v>7300</v>
      </c>
      <c r="W12" s="427">
        <f t="shared" si="19"/>
        <v>7300</v>
      </c>
      <c r="X12" s="424">
        <f t="shared" si="0"/>
        <v>496400</v>
      </c>
      <c r="Y12" s="430">
        <f t="shared" si="20"/>
        <v>0</v>
      </c>
      <c r="Z12" s="421" t="str">
        <f t="shared" si="21"/>
        <v>Revisión por dispersión</v>
      </c>
      <c r="AA12" s="421" t="str">
        <f t="shared" si="1"/>
        <v>Validación técnica y segunda ronda</v>
      </c>
      <c r="AB12" s="421" t="str">
        <f t="shared" si="2"/>
        <v>Diferencia entre máximo y mínimo superior al 30% de la mediana; no excluir atípicos sin justificación.</v>
      </c>
      <c r="AC12" s="428">
        <f t="shared" si="22"/>
        <v>2.0882191780821917</v>
      </c>
      <c r="AD12" s="428">
        <f t="shared" si="23"/>
        <v>0.74241143161473611</v>
      </c>
      <c r="AE12" s="426" t="str">
        <f t="shared" si="24"/>
        <v>Alta</v>
      </c>
      <c r="AF12" s="426" t="str">
        <f t="shared" si="3"/>
        <v>Sí</v>
      </c>
      <c r="AG12" s="426" t="str">
        <f t="shared" si="4"/>
        <v>Mediana referencial sujeta a validación</v>
      </c>
      <c r="AH12" s="426" t="str">
        <f t="shared" si="25"/>
        <v>Sí</v>
      </c>
      <c r="AI12" s="426">
        <f t="shared" si="26"/>
        <v>7</v>
      </c>
      <c r="AJ12" s="424">
        <f t="shared" si="27"/>
        <v>2600</v>
      </c>
      <c r="AK12" s="424">
        <f t="shared" si="28"/>
        <v>17000</v>
      </c>
      <c r="AL12" s="427">
        <f t="shared" si="29"/>
        <v>8802</v>
      </c>
      <c r="AM12" s="424">
        <f t="shared" si="30"/>
        <v>598536</v>
      </c>
      <c r="AN12" s="428">
        <f t="shared" si="31"/>
        <v>0.20575342465753424</v>
      </c>
      <c r="AO12" s="428">
        <f t="shared" si="32"/>
        <v>1.6359918200408998</v>
      </c>
      <c r="AP12" s="426" t="str">
        <f t="shared" si="5"/>
        <v>Alta</v>
      </c>
      <c r="AQ12" s="421" t="str">
        <f t="shared" si="6"/>
        <v>Revisión complementaria</v>
      </c>
      <c r="AR12" s="421" t="str">
        <f t="shared" si="7"/>
        <v>Aun sin extremos persiste dispersión relevante; validar alcance técnico.</v>
      </c>
      <c r="AS12" s="421" t="str">
        <f t="shared" si="8"/>
        <v>Promedio depurado sin extremos</v>
      </c>
      <c r="AT12" s="429">
        <f t="shared" si="33"/>
        <v>8802</v>
      </c>
      <c r="AU12" s="421" t="str">
        <f t="shared" si="9"/>
        <v>Definido con depuración</v>
      </c>
      <c r="AV12" s="421" t="str">
        <f t="shared" si="10"/>
        <v>Mantener valor final y dejar nota de dispersión residual</v>
      </c>
      <c r="AW12" s="421" t="str">
        <f t="shared" si="11"/>
        <v>Por alta dispersión se depura un mínimo y un máximo y se adopta el promedio interior.</v>
      </c>
    </row>
    <row r="13" spans="1:49" ht="15" customHeight="1" x14ac:dyDescent="0.35">
      <c r="A13" s="421" t="s">
        <v>467</v>
      </c>
      <c r="B13" s="422">
        <v>5</v>
      </c>
      <c r="C13" s="443" t="s">
        <v>468</v>
      </c>
      <c r="D13" s="443" t="s">
        <v>619</v>
      </c>
      <c r="E13" s="423">
        <v>20</v>
      </c>
      <c r="F13" s="424">
        <v>1500000</v>
      </c>
      <c r="G13" s="424"/>
      <c r="H13" s="424"/>
      <c r="I13" s="424">
        <v>1416000</v>
      </c>
      <c r="J13" s="424"/>
      <c r="K13" s="424"/>
      <c r="L13" s="424"/>
      <c r="M13" s="424"/>
      <c r="N13" s="424"/>
      <c r="O13" s="424"/>
      <c r="P13" s="425">
        <f t="shared" si="12"/>
        <v>2</v>
      </c>
      <c r="Q13" s="422">
        <f t="shared" si="13"/>
        <v>2</v>
      </c>
      <c r="R13" s="426" t="str">
        <f t="shared" si="14"/>
        <v>SGI</v>
      </c>
      <c r="S13" s="424">
        <f t="shared" si="15"/>
        <v>1416000</v>
      </c>
      <c r="T13" s="426" t="str">
        <f t="shared" si="16"/>
        <v>Lasertec</v>
      </c>
      <c r="U13" s="424">
        <f t="shared" si="17"/>
        <v>1500000</v>
      </c>
      <c r="V13" s="427">
        <f t="shared" si="18"/>
        <v>1458000</v>
      </c>
      <c r="W13" s="427">
        <f t="shared" si="19"/>
        <v>1458000</v>
      </c>
      <c r="X13" s="424">
        <f t="shared" si="0"/>
        <v>29160000</v>
      </c>
      <c r="Y13" s="430">
        <f t="shared" si="20"/>
        <v>0</v>
      </c>
      <c r="Z13" s="421" t="str">
        <f t="shared" si="21"/>
        <v>Débil</v>
      </c>
      <c r="AA13" s="421" t="str">
        <f t="shared" si="1"/>
        <v>Solicitar 1 cotización adicional</v>
      </c>
      <c r="AB13" s="421" t="str">
        <f t="shared" si="2"/>
        <v>Solo hay 2 referencias de mercado; completar pluralidad.</v>
      </c>
      <c r="AC13" s="428">
        <f t="shared" si="22"/>
        <v>5.7613168724279837E-2</v>
      </c>
      <c r="AD13" s="428">
        <f t="shared" si="23"/>
        <v>4.073866229058299E-2</v>
      </c>
      <c r="AE13" s="426" t="str">
        <f t="shared" si="24"/>
        <v>Baja</v>
      </c>
      <c r="AF13" s="426" t="str">
        <f t="shared" si="3"/>
        <v>No</v>
      </c>
      <c r="AG13" s="426" t="str">
        <f t="shared" si="4"/>
        <v>Promedio</v>
      </c>
      <c r="AH13" s="426" t="str">
        <f t="shared" si="25"/>
        <v>No</v>
      </c>
      <c r="AI13" s="426">
        <f t="shared" si="26"/>
        <v>2</v>
      </c>
      <c r="AJ13" s="424">
        <f t="shared" si="27"/>
        <v>1416000</v>
      </c>
      <c r="AK13" s="424">
        <f t="shared" si="28"/>
        <v>1500000</v>
      </c>
      <c r="AL13" s="427">
        <f t="shared" si="29"/>
        <v>1458000</v>
      </c>
      <c r="AM13" s="424">
        <f t="shared" si="30"/>
        <v>29160000</v>
      </c>
      <c r="AN13" s="428">
        <f t="shared" si="31"/>
        <v>0</v>
      </c>
      <c r="AO13" s="428">
        <f t="shared" si="32"/>
        <v>5.7613168724279837E-2</v>
      </c>
      <c r="AP13" s="426" t="str">
        <f t="shared" si="5"/>
        <v>Baja</v>
      </c>
      <c r="AQ13" s="421" t="str">
        <f t="shared" si="6"/>
        <v>Sin recorte por soportes insuficientes</v>
      </c>
      <c r="AR13" s="421" t="str">
        <f t="shared" si="7"/>
        <v>No se eliminan extremos porque no hay pluralidad suficiente.</v>
      </c>
      <c r="AS13" s="421" t="str">
        <f t="shared" si="8"/>
        <v>Promedio simple de mercado</v>
      </c>
      <c r="AT13" s="429">
        <f t="shared" si="33"/>
        <v>1458000</v>
      </c>
      <c r="AU13" s="421" t="str">
        <f t="shared" si="9"/>
        <v>Definido con 2 soportes</v>
      </c>
      <c r="AV13" s="421" t="str">
        <f t="shared" si="10"/>
        <v>Conveniente solicitar 1 cotización adicional</v>
      </c>
      <c r="AW13" s="421" t="str">
        <f t="shared" si="11"/>
        <v>Con 2 soportes se usa el promedio simple de mercado.</v>
      </c>
    </row>
    <row r="14" spans="1:49" ht="15" customHeight="1" x14ac:dyDescent="0.35">
      <c r="A14" s="421" t="s">
        <v>467</v>
      </c>
      <c r="B14" s="422">
        <v>6</v>
      </c>
      <c r="C14" s="443" t="s">
        <v>469</v>
      </c>
      <c r="D14" s="443" t="s">
        <v>619</v>
      </c>
      <c r="E14" s="423">
        <v>56</v>
      </c>
      <c r="F14" s="424">
        <v>2800000</v>
      </c>
      <c r="G14" s="424"/>
      <c r="H14" s="424"/>
      <c r="I14" s="424">
        <v>2360000</v>
      </c>
      <c r="J14" s="424"/>
      <c r="K14" s="424"/>
      <c r="L14" s="424"/>
      <c r="M14" s="424"/>
      <c r="N14" s="424"/>
      <c r="O14" s="424"/>
      <c r="P14" s="425">
        <f t="shared" si="12"/>
        <v>2</v>
      </c>
      <c r="Q14" s="422">
        <f t="shared" si="13"/>
        <v>2</v>
      </c>
      <c r="R14" s="426" t="str">
        <f t="shared" si="14"/>
        <v>SGI</v>
      </c>
      <c r="S14" s="424">
        <f t="shared" si="15"/>
        <v>2360000</v>
      </c>
      <c r="T14" s="426" t="str">
        <f t="shared" si="16"/>
        <v>Lasertec</v>
      </c>
      <c r="U14" s="424">
        <f t="shared" si="17"/>
        <v>2800000</v>
      </c>
      <c r="V14" s="427">
        <f t="shared" si="18"/>
        <v>2580000</v>
      </c>
      <c r="W14" s="427">
        <f t="shared" si="19"/>
        <v>2580000</v>
      </c>
      <c r="X14" s="424">
        <f t="shared" si="0"/>
        <v>144480000</v>
      </c>
      <c r="Y14" s="430">
        <f t="shared" si="20"/>
        <v>0</v>
      </c>
      <c r="Z14" s="421" t="str">
        <f t="shared" si="21"/>
        <v>Débil</v>
      </c>
      <c r="AA14" s="421" t="str">
        <f t="shared" si="1"/>
        <v>Solicitar 1 cotización adicional</v>
      </c>
      <c r="AB14" s="421" t="str">
        <f t="shared" si="2"/>
        <v>Solo hay 2 referencias de mercado; completar pluralidad.</v>
      </c>
      <c r="AC14" s="428">
        <f t="shared" si="22"/>
        <v>0.17054263565891473</v>
      </c>
      <c r="AD14" s="428">
        <f t="shared" si="23"/>
        <v>0.12059185415584531</v>
      </c>
      <c r="AE14" s="426" t="str">
        <f t="shared" si="24"/>
        <v>Media</v>
      </c>
      <c r="AF14" s="426" t="str">
        <f t="shared" si="3"/>
        <v>No</v>
      </c>
      <c r="AG14" s="426" t="str">
        <f t="shared" si="4"/>
        <v>Promedio</v>
      </c>
      <c r="AH14" s="426" t="str">
        <f t="shared" si="25"/>
        <v>No</v>
      </c>
      <c r="AI14" s="426">
        <f t="shared" si="26"/>
        <v>2</v>
      </c>
      <c r="AJ14" s="424">
        <f t="shared" si="27"/>
        <v>2360000</v>
      </c>
      <c r="AK14" s="424">
        <f t="shared" si="28"/>
        <v>2800000</v>
      </c>
      <c r="AL14" s="427">
        <f t="shared" si="29"/>
        <v>2580000</v>
      </c>
      <c r="AM14" s="424">
        <f t="shared" si="30"/>
        <v>144480000</v>
      </c>
      <c r="AN14" s="428">
        <f t="shared" si="31"/>
        <v>0</v>
      </c>
      <c r="AO14" s="428">
        <f t="shared" si="32"/>
        <v>0.17054263565891473</v>
      </c>
      <c r="AP14" s="426" t="str">
        <f t="shared" si="5"/>
        <v>Media</v>
      </c>
      <c r="AQ14" s="421" t="str">
        <f t="shared" si="6"/>
        <v>Sin recorte por soportes insuficientes</v>
      </c>
      <c r="AR14" s="421" t="str">
        <f t="shared" si="7"/>
        <v>No se eliminan extremos porque no hay pluralidad suficiente.</v>
      </c>
      <c r="AS14" s="421" t="str">
        <f t="shared" si="8"/>
        <v>Promedio simple de mercado</v>
      </c>
      <c r="AT14" s="429">
        <f t="shared" si="33"/>
        <v>2580000</v>
      </c>
      <c r="AU14" s="421" t="str">
        <f t="shared" si="9"/>
        <v>Definido con 2 soportes</v>
      </c>
      <c r="AV14" s="421" t="str">
        <f t="shared" si="10"/>
        <v>Conveniente solicitar 1 cotización adicional</v>
      </c>
      <c r="AW14" s="421" t="str">
        <f t="shared" si="11"/>
        <v>Con 2 soportes se usa el promedio simple de mercado.</v>
      </c>
    </row>
    <row r="15" spans="1:49" ht="15" customHeight="1" x14ac:dyDescent="0.35">
      <c r="A15" s="421" t="s">
        <v>467</v>
      </c>
      <c r="B15" s="422">
        <v>7</v>
      </c>
      <c r="C15" s="443" t="s">
        <v>476</v>
      </c>
      <c r="D15" s="443" t="s">
        <v>619</v>
      </c>
      <c r="E15" s="423">
        <v>10</v>
      </c>
      <c r="F15" s="424"/>
      <c r="G15" s="424">
        <v>408000</v>
      </c>
      <c r="H15" s="424">
        <v>144000</v>
      </c>
      <c r="I15" s="424"/>
      <c r="J15" s="424"/>
      <c r="K15" s="424"/>
      <c r="L15" s="424"/>
      <c r="M15" s="424"/>
      <c r="N15" s="424"/>
      <c r="O15" s="424"/>
      <c r="P15" s="425">
        <f t="shared" si="12"/>
        <v>2</v>
      </c>
      <c r="Q15" s="422">
        <f t="shared" si="13"/>
        <v>2</v>
      </c>
      <c r="R15" s="426" t="str">
        <f t="shared" si="14"/>
        <v>CIMA</v>
      </c>
      <c r="S15" s="424">
        <f t="shared" si="15"/>
        <v>144000</v>
      </c>
      <c r="T15" s="426" t="str">
        <f t="shared" si="16"/>
        <v>Chemilab</v>
      </c>
      <c r="U15" s="424">
        <f t="shared" si="17"/>
        <v>408000</v>
      </c>
      <c r="V15" s="427">
        <f t="shared" si="18"/>
        <v>276000</v>
      </c>
      <c r="W15" s="427">
        <f t="shared" si="19"/>
        <v>276000</v>
      </c>
      <c r="X15" s="424">
        <f t="shared" si="0"/>
        <v>2760000</v>
      </c>
      <c r="Y15" s="430">
        <f t="shared" si="20"/>
        <v>0</v>
      </c>
      <c r="Z15" s="421" t="str">
        <f t="shared" si="21"/>
        <v>Revisión por dispersión</v>
      </c>
      <c r="AA15" s="421" t="str">
        <f t="shared" si="1"/>
        <v>Validación técnica y segunda ronda</v>
      </c>
      <c r="AB15" s="421" t="str">
        <f t="shared" si="2"/>
        <v>Diferencia entre máximo y mínimo superior al 30% de la mediana; no excluir atípicos sin justificación.</v>
      </c>
      <c r="AC15" s="428">
        <f t="shared" si="22"/>
        <v>0.95652173913043481</v>
      </c>
      <c r="AD15" s="428">
        <f t="shared" si="23"/>
        <v>0.6763630080914802</v>
      </c>
      <c r="AE15" s="426" t="str">
        <f t="shared" si="24"/>
        <v>Alta</v>
      </c>
      <c r="AF15" s="426" t="str">
        <f t="shared" si="3"/>
        <v>Sí</v>
      </c>
      <c r="AG15" s="426" t="str">
        <f t="shared" si="4"/>
        <v>Mediana referencial sujeta a validación</v>
      </c>
      <c r="AH15" s="426" t="str">
        <f t="shared" si="25"/>
        <v>No</v>
      </c>
      <c r="AI15" s="426">
        <f t="shared" si="26"/>
        <v>2</v>
      </c>
      <c r="AJ15" s="424">
        <f t="shared" si="27"/>
        <v>144000</v>
      </c>
      <c r="AK15" s="424">
        <f t="shared" si="28"/>
        <v>408000</v>
      </c>
      <c r="AL15" s="427">
        <f t="shared" si="29"/>
        <v>276000</v>
      </c>
      <c r="AM15" s="424">
        <f t="shared" si="30"/>
        <v>2760000</v>
      </c>
      <c r="AN15" s="428">
        <f t="shared" si="31"/>
        <v>0</v>
      </c>
      <c r="AO15" s="428">
        <f t="shared" si="32"/>
        <v>0.95652173913043481</v>
      </c>
      <c r="AP15" s="426" t="str">
        <f t="shared" si="5"/>
        <v>Alta</v>
      </c>
      <c r="AQ15" s="421" t="str">
        <f t="shared" si="6"/>
        <v>Sin recorte por soportes insuficientes</v>
      </c>
      <c r="AR15" s="421" t="str">
        <f t="shared" si="7"/>
        <v>No se eliminan extremos porque no hay pluralidad suficiente.</v>
      </c>
      <c r="AS15" s="421" t="str">
        <f t="shared" si="8"/>
        <v>Promedio simple de mercado</v>
      </c>
      <c r="AT15" s="429">
        <f t="shared" si="33"/>
        <v>276000</v>
      </c>
      <c r="AU15" s="421" t="str">
        <f t="shared" si="9"/>
        <v>Definido con 2 soportes</v>
      </c>
      <c r="AV15" s="421" t="str">
        <f t="shared" si="10"/>
        <v>Conveniente solicitar 1 cotización adicional</v>
      </c>
      <c r="AW15" s="421" t="str">
        <f t="shared" si="11"/>
        <v>Con 2 soportes se usa el promedio simple de mercado.</v>
      </c>
    </row>
    <row r="16" spans="1:49" ht="15" customHeight="1" x14ac:dyDescent="0.35">
      <c r="A16" s="421" t="s">
        <v>467</v>
      </c>
      <c r="B16" s="422">
        <v>8</v>
      </c>
      <c r="C16" s="443" t="s">
        <v>434</v>
      </c>
      <c r="D16" s="443" t="s">
        <v>620</v>
      </c>
      <c r="E16" s="423">
        <v>68</v>
      </c>
      <c r="F16" s="424">
        <v>38000</v>
      </c>
      <c r="G16" s="424">
        <v>5800</v>
      </c>
      <c r="H16" s="424"/>
      <c r="I16" s="424">
        <v>40100</v>
      </c>
      <c r="J16" s="424">
        <v>31000</v>
      </c>
      <c r="K16" s="424">
        <v>25292</v>
      </c>
      <c r="L16" s="424">
        <v>15710</v>
      </c>
      <c r="M16" s="424">
        <v>8000</v>
      </c>
      <c r="N16" s="424"/>
      <c r="O16" s="424"/>
      <c r="P16" s="425">
        <f t="shared" si="12"/>
        <v>7</v>
      </c>
      <c r="Q16" s="422">
        <f t="shared" si="13"/>
        <v>3</v>
      </c>
      <c r="R16" s="426" t="str">
        <f t="shared" si="14"/>
        <v>Chemilab</v>
      </c>
      <c r="S16" s="424">
        <f t="shared" si="15"/>
        <v>5800</v>
      </c>
      <c r="T16" s="426" t="str">
        <f t="shared" si="16"/>
        <v>SGI</v>
      </c>
      <c r="U16" s="424">
        <f t="shared" si="17"/>
        <v>40100</v>
      </c>
      <c r="V16" s="427">
        <f t="shared" si="18"/>
        <v>25292</v>
      </c>
      <c r="W16" s="427">
        <f t="shared" si="19"/>
        <v>25292</v>
      </c>
      <c r="X16" s="424">
        <f t="shared" si="0"/>
        <v>1719856</v>
      </c>
      <c r="Y16" s="430">
        <f t="shared" si="20"/>
        <v>0</v>
      </c>
      <c r="Z16" s="421" t="str">
        <f t="shared" si="21"/>
        <v>Revisión por dispersión</v>
      </c>
      <c r="AA16" s="421" t="str">
        <f t="shared" si="1"/>
        <v>Validación técnica y segunda ronda</v>
      </c>
      <c r="AB16" s="421" t="str">
        <f t="shared" si="2"/>
        <v>Diferencia entre máximo y mínimo superior al 30% de la mediana; no excluir atípicos sin justificación.</v>
      </c>
      <c r="AC16" s="428">
        <f t="shared" si="22"/>
        <v>1.3561600506088882</v>
      </c>
      <c r="AD16" s="428">
        <f t="shared" si="23"/>
        <v>0.5936946051293539</v>
      </c>
      <c r="AE16" s="426" t="str">
        <f t="shared" si="24"/>
        <v>Alta</v>
      </c>
      <c r="AF16" s="426" t="str">
        <f t="shared" si="3"/>
        <v>Sí</v>
      </c>
      <c r="AG16" s="426" t="str">
        <f t="shared" si="4"/>
        <v>Mediana referencial sujeta a validación</v>
      </c>
      <c r="AH16" s="426" t="str">
        <f t="shared" si="25"/>
        <v>Sí</v>
      </c>
      <c r="AI16" s="426">
        <f t="shared" si="26"/>
        <v>5</v>
      </c>
      <c r="AJ16" s="424">
        <f t="shared" si="27"/>
        <v>8000</v>
      </c>
      <c r="AK16" s="424">
        <f t="shared" si="28"/>
        <v>38000</v>
      </c>
      <c r="AL16" s="427">
        <f t="shared" si="29"/>
        <v>23600</v>
      </c>
      <c r="AM16" s="424">
        <f t="shared" si="30"/>
        <v>1604800</v>
      </c>
      <c r="AN16" s="428">
        <f t="shared" si="31"/>
        <v>-6.6898624070852439E-2</v>
      </c>
      <c r="AO16" s="428">
        <f t="shared" si="32"/>
        <v>1.271186440677966</v>
      </c>
      <c r="AP16" s="426" t="str">
        <f t="shared" si="5"/>
        <v>Alta</v>
      </c>
      <c r="AQ16" s="421" t="str">
        <f t="shared" si="6"/>
        <v>Revisión complementaria</v>
      </c>
      <c r="AR16" s="421" t="str">
        <f t="shared" si="7"/>
        <v>Aun sin extremos persiste dispersión relevante; validar alcance técnico.</v>
      </c>
      <c r="AS16" s="421" t="str">
        <f t="shared" si="8"/>
        <v>Promedio depurado sin extremos</v>
      </c>
      <c r="AT16" s="429">
        <f t="shared" si="33"/>
        <v>23600</v>
      </c>
      <c r="AU16" s="421" t="str">
        <f t="shared" si="9"/>
        <v>Definido con depuración</v>
      </c>
      <c r="AV16" s="421" t="str">
        <f t="shared" si="10"/>
        <v>Mantener valor final y dejar nota de dispersión residual</v>
      </c>
      <c r="AW16" s="421" t="str">
        <f t="shared" si="11"/>
        <v>Por alta dispersión se depura un mínimo y un máximo y se adopta el promedio interior.</v>
      </c>
    </row>
    <row r="17" spans="1:49" ht="15" customHeight="1" x14ac:dyDescent="0.35">
      <c r="A17" s="421" t="s">
        <v>467</v>
      </c>
      <c r="B17" s="422">
        <v>9</v>
      </c>
      <c r="C17" s="433" t="s">
        <v>247</v>
      </c>
      <c r="D17" s="433" t="s">
        <v>621</v>
      </c>
      <c r="E17" s="423">
        <v>68</v>
      </c>
      <c r="F17" s="424">
        <v>55000</v>
      </c>
      <c r="G17" s="424">
        <v>9300</v>
      </c>
      <c r="H17" s="424">
        <v>8000</v>
      </c>
      <c r="I17" s="424">
        <v>54300</v>
      </c>
      <c r="J17" s="424">
        <v>25000</v>
      </c>
      <c r="K17" s="424">
        <v>14945</v>
      </c>
      <c r="L17" s="424">
        <v>20422</v>
      </c>
      <c r="M17" s="424">
        <v>16000</v>
      </c>
      <c r="N17" s="424">
        <v>13200</v>
      </c>
      <c r="O17" s="424">
        <v>17920</v>
      </c>
      <c r="P17" s="425">
        <f t="shared" si="12"/>
        <v>10</v>
      </c>
      <c r="Q17" s="422">
        <f t="shared" si="13"/>
        <v>4</v>
      </c>
      <c r="R17" s="426" t="str">
        <f t="shared" si="14"/>
        <v>CIMA</v>
      </c>
      <c r="S17" s="424">
        <f t="shared" si="15"/>
        <v>8000</v>
      </c>
      <c r="T17" s="426" t="str">
        <f t="shared" si="16"/>
        <v>Lasertec</v>
      </c>
      <c r="U17" s="424">
        <f t="shared" si="17"/>
        <v>55000</v>
      </c>
      <c r="V17" s="427">
        <f t="shared" si="18"/>
        <v>16960</v>
      </c>
      <c r="W17" s="427">
        <f t="shared" si="19"/>
        <v>16960</v>
      </c>
      <c r="X17" s="424">
        <f t="shared" si="0"/>
        <v>1153280</v>
      </c>
      <c r="Y17" s="430">
        <f t="shared" si="20"/>
        <v>0</v>
      </c>
      <c r="Z17" s="421" t="str">
        <f t="shared" si="21"/>
        <v>Revisión por dispersión</v>
      </c>
      <c r="AA17" s="421" t="str">
        <f t="shared" si="1"/>
        <v>Validación técnica y segunda ronda</v>
      </c>
      <c r="AB17" s="421" t="str">
        <f t="shared" si="2"/>
        <v>Diferencia entre máximo y mínimo superior al 30% de la mediana; no excluir atípicos sin justificación.</v>
      </c>
      <c r="AC17" s="428">
        <f t="shared" si="22"/>
        <v>2.7712264150943398</v>
      </c>
      <c r="AD17" s="428">
        <f t="shared" si="23"/>
        <v>0.73456602116002923</v>
      </c>
      <c r="AE17" s="426" t="str">
        <f t="shared" si="24"/>
        <v>Alta</v>
      </c>
      <c r="AF17" s="426" t="str">
        <f t="shared" si="3"/>
        <v>Sí</v>
      </c>
      <c r="AG17" s="426" t="str">
        <f t="shared" si="4"/>
        <v>Mediana referencial sujeta a validación</v>
      </c>
      <c r="AH17" s="426" t="str">
        <f t="shared" si="25"/>
        <v>Sí</v>
      </c>
      <c r="AI17" s="426">
        <f t="shared" si="26"/>
        <v>8</v>
      </c>
      <c r="AJ17" s="424">
        <f t="shared" si="27"/>
        <v>9300</v>
      </c>
      <c r="AK17" s="424">
        <f t="shared" si="28"/>
        <v>54300</v>
      </c>
      <c r="AL17" s="427">
        <f t="shared" si="29"/>
        <v>21386</v>
      </c>
      <c r="AM17" s="424">
        <f t="shared" si="30"/>
        <v>1454248</v>
      </c>
      <c r="AN17" s="428">
        <f t="shared" si="31"/>
        <v>0.26096698113207545</v>
      </c>
      <c r="AO17" s="428">
        <f t="shared" si="32"/>
        <v>2.1041803048723464</v>
      </c>
      <c r="AP17" s="426" t="str">
        <f t="shared" si="5"/>
        <v>Alta</v>
      </c>
      <c r="AQ17" s="421" t="str">
        <f t="shared" si="6"/>
        <v>Revisión complementaria</v>
      </c>
      <c r="AR17" s="421" t="str">
        <f t="shared" si="7"/>
        <v>Aun sin extremos persiste dispersión relevante; validar alcance técnico.</v>
      </c>
      <c r="AS17" s="421" t="str">
        <f t="shared" si="8"/>
        <v>Promedio depurado sin extremos</v>
      </c>
      <c r="AT17" s="429">
        <f t="shared" si="33"/>
        <v>21386</v>
      </c>
      <c r="AU17" s="421" t="str">
        <f t="shared" si="9"/>
        <v>Definido con depuración</v>
      </c>
      <c r="AV17" s="421" t="str">
        <f t="shared" si="10"/>
        <v>Mantener valor final y dejar nota de dispersión residual</v>
      </c>
      <c r="AW17" s="421" t="str">
        <f t="shared" si="11"/>
        <v>Por alta dispersión se depura un mínimo y un máximo y se adopta el promedio interior.</v>
      </c>
    </row>
    <row r="18" spans="1:49" ht="15" customHeight="1" x14ac:dyDescent="0.35">
      <c r="A18" s="421" t="s">
        <v>467</v>
      </c>
      <c r="B18" s="422">
        <v>10</v>
      </c>
      <c r="C18" s="433" t="s">
        <v>435</v>
      </c>
      <c r="D18" s="433" t="s">
        <v>621</v>
      </c>
      <c r="E18" s="423">
        <v>68</v>
      </c>
      <c r="F18" s="424">
        <v>61000</v>
      </c>
      <c r="G18" s="424">
        <v>7000</v>
      </c>
      <c r="H18" s="424">
        <v>8000</v>
      </c>
      <c r="I18" s="424">
        <v>67300</v>
      </c>
      <c r="J18" s="424">
        <v>62000</v>
      </c>
      <c r="K18" s="424">
        <v>49433</v>
      </c>
      <c r="L18" s="424">
        <v>28277</v>
      </c>
      <c r="M18" s="424">
        <v>19000</v>
      </c>
      <c r="N18" s="424">
        <v>28300</v>
      </c>
      <c r="O18" s="424">
        <v>23510</v>
      </c>
      <c r="P18" s="425">
        <f t="shared" si="12"/>
        <v>10</v>
      </c>
      <c r="Q18" s="422">
        <f t="shared" si="13"/>
        <v>4</v>
      </c>
      <c r="R18" s="426" t="str">
        <f t="shared" si="14"/>
        <v>Chemilab</v>
      </c>
      <c r="S18" s="424">
        <f t="shared" si="15"/>
        <v>7000</v>
      </c>
      <c r="T18" s="426" t="str">
        <f t="shared" si="16"/>
        <v>SGI</v>
      </c>
      <c r="U18" s="424">
        <f t="shared" si="17"/>
        <v>67300</v>
      </c>
      <c r="V18" s="427">
        <f t="shared" si="18"/>
        <v>28289</v>
      </c>
      <c r="W18" s="427">
        <f t="shared" si="19"/>
        <v>28289</v>
      </c>
      <c r="X18" s="424">
        <f t="shared" si="0"/>
        <v>1923652</v>
      </c>
      <c r="Y18" s="430">
        <f t="shared" si="20"/>
        <v>0</v>
      </c>
      <c r="Z18" s="421" t="str">
        <f t="shared" si="21"/>
        <v>Revisión por dispersión</v>
      </c>
      <c r="AA18" s="421" t="str">
        <f t="shared" si="1"/>
        <v>Validación técnica y segunda ronda</v>
      </c>
      <c r="AB18" s="421" t="str">
        <f t="shared" si="2"/>
        <v>Diferencia entre máximo y mínimo superior al 30% de la mediana; no excluir atípicos sin justificación.</v>
      </c>
      <c r="AC18" s="428">
        <f t="shared" si="22"/>
        <v>2.1315705751352114</v>
      </c>
      <c r="AD18" s="428">
        <f t="shared" si="23"/>
        <v>0.64216658670584625</v>
      </c>
      <c r="AE18" s="426" t="str">
        <f t="shared" si="24"/>
        <v>Alta</v>
      </c>
      <c r="AF18" s="426" t="str">
        <f t="shared" si="3"/>
        <v>Sí</v>
      </c>
      <c r="AG18" s="426" t="str">
        <f t="shared" si="4"/>
        <v>Mediana referencial sujeta a validación</v>
      </c>
      <c r="AH18" s="426" t="str">
        <f t="shared" si="25"/>
        <v>Sí</v>
      </c>
      <c r="AI18" s="426">
        <f t="shared" si="26"/>
        <v>8</v>
      </c>
      <c r="AJ18" s="424">
        <f t="shared" si="27"/>
        <v>8000</v>
      </c>
      <c r="AK18" s="424">
        <f t="shared" si="28"/>
        <v>62000</v>
      </c>
      <c r="AL18" s="427">
        <f t="shared" si="29"/>
        <v>34940</v>
      </c>
      <c r="AM18" s="424">
        <f t="shared" si="30"/>
        <v>2375920</v>
      </c>
      <c r="AN18" s="428">
        <f t="shared" si="31"/>
        <v>0.23510905298879423</v>
      </c>
      <c r="AO18" s="428">
        <f t="shared" si="32"/>
        <v>1.5455065827132226</v>
      </c>
      <c r="AP18" s="426" t="str">
        <f t="shared" si="5"/>
        <v>Alta</v>
      </c>
      <c r="AQ18" s="421" t="str">
        <f t="shared" si="6"/>
        <v>Revisión complementaria</v>
      </c>
      <c r="AR18" s="421" t="str">
        <f t="shared" si="7"/>
        <v>Aun sin extremos persiste dispersión relevante; validar alcance técnico.</v>
      </c>
      <c r="AS18" s="421" t="str">
        <f t="shared" si="8"/>
        <v>Promedio depurado sin extremos</v>
      </c>
      <c r="AT18" s="429">
        <f t="shared" si="33"/>
        <v>34940</v>
      </c>
      <c r="AU18" s="421" t="str">
        <f t="shared" si="9"/>
        <v>Definido con depuración</v>
      </c>
      <c r="AV18" s="421" t="str">
        <f t="shared" si="10"/>
        <v>Mantener valor final y dejar nota de dispersión residual</v>
      </c>
      <c r="AW18" s="421" t="str">
        <f t="shared" si="11"/>
        <v>Por alta dispersión se depura un mínimo y un máximo y se adopta el promedio interior.</v>
      </c>
    </row>
    <row r="19" spans="1:49" ht="15" customHeight="1" x14ac:dyDescent="0.35">
      <c r="A19" s="421" t="s">
        <v>467</v>
      </c>
      <c r="B19" s="422">
        <v>11</v>
      </c>
      <c r="C19" s="433" t="s">
        <v>436</v>
      </c>
      <c r="D19" s="433" t="s">
        <v>617</v>
      </c>
      <c r="E19" s="423">
        <v>68</v>
      </c>
      <c r="F19" s="424">
        <v>109000</v>
      </c>
      <c r="G19" s="424">
        <v>37300</v>
      </c>
      <c r="H19" s="424">
        <v>32000</v>
      </c>
      <c r="I19" s="424">
        <v>127400</v>
      </c>
      <c r="J19" s="424">
        <v>110000</v>
      </c>
      <c r="K19" s="424">
        <v>54033</v>
      </c>
      <c r="L19" s="424">
        <v>89546</v>
      </c>
      <c r="M19" s="424">
        <v>45000</v>
      </c>
      <c r="N19" s="424">
        <v>33800</v>
      </c>
      <c r="O19" s="424">
        <v>58860</v>
      </c>
      <c r="P19" s="425">
        <f t="shared" si="12"/>
        <v>10</v>
      </c>
      <c r="Q19" s="422">
        <f t="shared" si="13"/>
        <v>4</v>
      </c>
      <c r="R19" s="426" t="str">
        <f t="shared" si="14"/>
        <v>CIMA</v>
      </c>
      <c r="S19" s="424">
        <f t="shared" si="15"/>
        <v>32000</v>
      </c>
      <c r="T19" s="426" t="str">
        <f t="shared" si="16"/>
        <v>SGI</v>
      </c>
      <c r="U19" s="424">
        <f t="shared" si="17"/>
        <v>127400</v>
      </c>
      <c r="V19" s="427">
        <f t="shared" si="18"/>
        <v>56447</v>
      </c>
      <c r="W19" s="427">
        <f t="shared" si="19"/>
        <v>56447</v>
      </c>
      <c r="X19" s="424">
        <f t="shared" si="0"/>
        <v>3838396</v>
      </c>
      <c r="Y19" s="430">
        <f t="shared" si="20"/>
        <v>0</v>
      </c>
      <c r="Z19" s="421" t="str">
        <f t="shared" si="21"/>
        <v>Revisión por dispersión</v>
      </c>
      <c r="AA19" s="421" t="str">
        <f t="shared" si="1"/>
        <v>Validación técnica y segunda ronda</v>
      </c>
      <c r="AB19" s="421" t="str">
        <f t="shared" si="2"/>
        <v>Diferencia entre máximo y mínimo superior al 30% de la mediana; no excluir atípicos sin justificación.</v>
      </c>
      <c r="AC19" s="428">
        <f t="shared" si="22"/>
        <v>1.6900809609013765</v>
      </c>
      <c r="AD19" s="428">
        <f t="shared" si="23"/>
        <v>0.51567230210109849</v>
      </c>
      <c r="AE19" s="426" t="str">
        <f t="shared" si="24"/>
        <v>Alta</v>
      </c>
      <c r="AF19" s="426" t="str">
        <f t="shared" si="3"/>
        <v>Sí</v>
      </c>
      <c r="AG19" s="426" t="str">
        <f t="shared" si="4"/>
        <v>Mediana referencial sujeta a validación</v>
      </c>
      <c r="AH19" s="426" t="str">
        <f t="shared" si="25"/>
        <v>Sí</v>
      </c>
      <c r="AI19" s="426">
        <f t="shared" si="26"/>
        <v>8</v>
      </c>
      <c r="AJ19" s="424">
        <f t="shared" si="27"/>
        <v>33800</v>
      </c>
      <c r="AK19" s="424">
        <f t="shared" si="28"/>
        <v>110000</v>
      </c>
      <c r="AL19" s="427">
        <f t="shared" si="29"/>
        <v>67192</v>
      </c>
      <c r="AM19" s="424">
        <f t="shared" si="30"/>
        <v>4569056</v>
      </c>
      <c r="AN19" s="428">
        <f t="shared" si="31"/>
        <v>0.19035555476818963</v>
      </c>
      <c r="AO19" s="428">
        <f t="shared" si="32"/>
        <v>1.1340635789974998</v>
      </c>
      <c r="AP19" s="426" t="str">
        <f t="shared" si="5"/>
        <v>Alta</v>
      </c>
      <c r="AQ19" s="421" t="str">
        <f t="shared" si="6"/>
        <v>Revisión complementaria</v>
      </c>
      <c r="AR19" s="421" t="str">
        <f t="shared" si="7"/>
        <v>Aun sin extremos persiste dispersión relevante; validar alcance técnico.</v>
      </c>
      <c r="AS19" s="421" t="str">
        <f t="shared" si="8"/>
        <v>Promedio depurado sin extremos</v>
      </c>
      <c r="AT19" s="429">
        <f t="shared" si="33"/>
        <v>67192</v>
      </c>
      <c r="AU19" s="421" t="str">
        <f t="shared" si="9"/>
        <v>Definido con depuración</v>
      </c>
      <c r="AV19" s="421" t="str">
        <f t="shared" si="10"/>
        <v>Mantener valor final y dejar nota de dispersión residual</v>
      </c>
      <c r="AW19" s="421" t="str">
        <f t="shared" si="11"/>
        <v>Por alta dispersión se depura un mínimo y un máximo y se adopta el promedio interior.</v>
      </c>
    </row>
    <row r="20" spans="1:49" ht="15" customHeight="1" x14ac:dyDescent="0.35">
      <c r="A20" s="421" t="s">
        <v>467</v>
      </c>
      <c r="B20" s="422">
        <v>12</v>
      </c>
      <c r="C20" s="433" t="s">
        <v>437</v>
      </c>
      <c r="D20" s="433" t="s">
        <v>617</v>
      </c>
      <c r="E20" s="423">
        <v>68</v>
      </c>
      <c r="F20" s="424">
        <v>109000</v>
      </c>
      <c r="G20" s="424"/>
      <c r="H20" s="424"/>
      <c r="I20" s="424">
        <v>127400</v>
      </c>
      <c r="J20" s="424"/>
      <c r="K20" s="424"/>
      <c r="L20" s="424"/>
      <c r="M20" s="424"/>
      <c r="N20" s="424"/>
      <c r="O20" s="424">
        <v>73640</v>
      </c>
      <c r="P20" s="425">
        <f t="shared" si="12"/>
        <v>3</v>
      </c>
      <c r="Q20" s="422">
        <f t="shared" si="13"/>
        <v>2</v>
      </c>
      <c r="R20" s="426" t="str">
        <f t="shared" si="14"/>
        <v>Proc_SECOP II - COT 2</v>
      </c>
      <c r="S20" s="424">
        <f t="shared" si="15"/>
        <v>73640</v>
      </c>
      <c r="T20" s="426" t="str">
        <f t="shared" si="16"/>
        <v>SGI</v>
      </c>
      <c r="U20" s="424">
        <f t="shared" si="17"/>
        <v>127400</v>
      </c>
      <c r="V20" s="427">
        <f t="shared" si="18"/>
        <v>109000</v>
      </c>
      <c r="W20" s="427">
        <f t="shared" si="19"/>
        <v>109000</v>
      </c>
      <c r="X20" s="424">
        <f t="shared" si="0"/>
        <v>7412000</v>
      </c>
      <c r="Y20" s="430">
        <f t="shared" si="20"/>
        <v>0</v>
      </c>
      <c r="Z20" s="421" t="str">
        <f t="shared" si="21"/>
        <v>Revisión por dispersión</v>
      </c>
      <c r="AA20" s="421" t="str">
        <f t="shared" si="1"/>
        <v>Validación técnica y segunda ronda</v>
      </c>
      <c r="AB20" s="421" t="str">
        <f t="shared" si="2"/>
        <v>Diferencia entre máximo y mínimo superior al 30% de la mediana; no excluir atípicos sin justificación.</v>
      </c>
      <c r="AC20" s="428">
        <f t="shared" si="22"/>
        <v>0.49321100917431193</v>
      </c>
      <c r="AD20" s="428">
        <f t="shared" si="23"/>
        <v>0.26437461435880816</v>
      </c>
      <c r="AE20" s="426" t="str">
        <f t="shared" si="24"/>
        <v>Alta</v>
      </c>
      <c r="AF20" s="426" t="str">
        <f t="shared" si="3"/>
        <v>Sí</v>
      </c>
      <c r="AG20" s="426" t="str">
        <f t="shared" si="4"/>
        <v>Mediana referencial sujeta a validación</v>
      </c>
      <c r="AH20" s="426" t="str">
        <f t="shared" si="25"/>
        <v>Sí</v>
      </c>
      <c r="AI20" s="426">
        <f t="shared" si="26"/>
        <v>1</v>
      </c>
      <c r="AJ20" s="424">
        <f t="shared" si="27"/>
        <v>109000</v>
      </c>
      <c r="AK20" s="424">
        <f t="shared" si="28"/>
        <v>109000</v>
      </c>
      <c r="AL20" s="427">
        <f t="shared" si="29"/>
        <v>109000</v>
      </c>
      <c r="AM20" s="424">
        <f t="shared" si="30"/>
        <v>7412000</v>
      </c>
      <c r="AN20" s="428">
        <f t="shared" si="31"/>
        <v>0</v>
      </c>
      <c r="AO20" s="428">
        <f t="shared" si="32"/>
        <v>0</v>
      </c>
      <c r="AP20" s="426" t="str">
        <f t="shared" si="5"/>
        <v>Soporte único</v>
      </c>
      <c r="AQ20" s="421" t="str">
        <f t="shared" si="6"/>
        <v>Precio depurado útil</v>
      </c>
      <c r="AR20" s="421" t="str">
        <f t="shared" si="7"/>
        <v>Se retiró un mínimo y un máximo para prueba de sensibilidad del mercado.</v>
      </c>
      <c r="AS20" s="421" t="str">
        <f t="shared" si="8"/>
        <v>Mediana de mercado (sin depuración fuerte)</v>
      </c>
      <c r="AT20" s="429">
        <f t="shared" si="33"/>
        <v>109000</v>
      </c>
      <c r="AU20" s="421" t="str">
        <f t="shared" si="9"/>
        <v>Definido</v>
      </c>
      <c r="AV20" s="421" t="str">
        <f t="shared" si="10"/>
        <v>Usar valor final recomendado</v>
      </c>
      <c r="AW20" s="421" t="str">
        <f t="shared" si="11"/>
        <v>Se adopta la mediana del mercado por ser una medida robusta.</v>
      </c>
    </row>
    <row r="21" spans="1:49" ht="15" customHeight="1" x14ac:dyDescent="0.35">
      <c r="A21" s="421" t="s">
        <v>467</v>
      </c>
      <c r="B21" s="422">
        <v>13</v>
      </c>
      <c r="C21" s="433" t="s">
        <v>438</v>
      </c>
      <c r="D21" s="433" t="s">
        <v>617</v>
      </c>
      <c r="E21" s="423">
        <v>68</v>
      </c>
      <c r="F21" s="424">
        <v>109000</v>
      </c>
      <c r="G21" s="424"/>
      <c r="H21" s="424"/>
      <c r="I21" s="424">
        <v>127400</v>
      </c>
      <c r="J21" s="424"/>
      <c r="K21" s="424"/>
      <c r="L21" s="424">
        <v>113114</v>
      </c>
      <c r="M21" s="424"/>
      <c r="N21" s="424"/>
      <c r="O21" s="424"/>
      <c r="P21" s="425">
        <f t="shared" si="12"/>
        <v>3</v>
      </c>
      <c r="Q21" s="422">
        <f t="shared" si="13"/>
        <v>2</v>
      </c>
      <c r="R21" s="426" t="str">
        <f t="shared" si="14"/>
        <v>Lasertec</v>
      </c>
      <c r="S21" s="424">
        <f t="shared" si="15"/>
        <v>109000</v>
      </c>
      <c r="T21" s="426" t="str">
        <f t="shared" si="16"/>
        <v>SGI</v>
      </c>
      <c r="U21" s="424">
        <f t="shared" si="17"/>
        <v>127400</v>
      </c>
      <c r="V21" s="427">
        <f t="shared" si="18"/>
        <v>113114</v>
      </c>
      <c r="W21" s="427">
        <f t="shared" si="19"/>
        <v>113114</v>
      </c>
      <c r="X21" s="424">
        <f t="shared" si="0"/>
        <v>7691752</v>
      </c>
      <c r="Y21" s="430">
        <f t="shared" si="20"/>
        <v>0</v>
      </c>
      <c r="Z21" s="421" t="str">
        <f t="shared" si="21"/>
        <v>Aceptable</v>
      </c>
      <c r="AA21" s="421" t="str">
        <f t="shared" si="1"/>
        <v>No obligatoria</v>
      </c>
      <c r="AB21" s="421" t="str">
        <f t="shared" si="2"/>
        <v>Comparación con mercado suficiente para fijar precio de referencia.</v>
      </c>
      <c r="AC21" s="428">
        <f t="shared" si="22"/>
        <v>0.16266775111834078</v>
      </c>
      <c r="AD21" s="428">
        <f t="shared" si="23"/>
        <v>8.2891523946166029E-2</v>
      </c>
      <c r="AE21" s="426" t="str">
        <f t="shared" si="24"/>
        <v>Media</v>
      </c>
      <c r="AF21" s="426" t="str">
        <f t="shared" si="3"/>
        <v>No</v>
      </c>
      <c r="AG21" s="426" t="str">
        <f t="shared" si="4"/>
        <v>Mediana</v>
      </c>
      <c r="AH21" s="426" t="str">
        <f t="shared" si="25"/>
        <v>Sí</v>
      </c>
      <c r="AI21" s="426">
        <f t="shared" si="26"/>
        <v>1</v>
      </c>
      <c r="AJ21" s="424">
        <f t="shared" si="27"/>
        <v>113114</v>
      </c>
      <c r="AK21" s="424">
        <f t="shared" si="28"/>
        <v>113114</v>
      </c>
      <c r="AL21" s="427">
        <f t="shared" si="29"/>
        <v>113114</v>
      </c>
      <c r="AM21" s="424">
        <f t="shared" si="30"/>
        <v>7691752</v>
      </c>
      <c r="AN21" s="428">
        <f t="shared" si="31"/>
        <v>0</v>
      </c>
      <c r="AO21" s="428">
        <f t="shared" si="32"/>
        <v>0</v>
      </c>
      <c r="AP21" s="426" t="str">
        <f t="shared" si="5"/>
        <v>Soporte único</v>
      </c>
      <c r="AQ21" s="421" t="str">
        <f t="shared" si="6"/>
        <v>Precio depurado útil</v>
      </c>
      <c r="AR21" s="421" t="str">
        <f t="shared" si="7"/>
        <v>Se retiró un mínimo y un máximo para prueba de sensibilidad del mercado.</v>
      </c>
      <c r="AS21" s="421" t="str">
        <f t="shared" si="8"/>
        <v>Mediana de mercado</v>
      </c>
      <c r="AT21" s="429">
        <f t="shared" si="33"/>
        <v>113114</v>
      </c>
      <c r="AU21" s="421" t="str">
        <f t="shared" si="9"/>
        <v>Definido</v>
      </c>
      <c r="AV21" s="421" t="str">
        <f t="shared" si="10"/>
        <v>Usar valor final recomendado</v>
      </c>
      <c r="AW21" s="421" t="str">
        <f t="shared" si="11"/>
        <v>Se adopta la mediana del mercado por ser una medida robusta.</v>
      </c>
    </row>
    <row r="22" spans="1:49" ht="15" customHeight="1" x14ac:dyDescent="0.35">
      <c r="A22" s="421" t="s">
        <v>467</v>
      </c>
      <c r="B22" s="422">
        <v>14</v>
      </c>
      <c r="C22" s="433" t="s">
        <v>439</v>
      </c>
      <c r="D22" s="433" t="s">
        <v>617</v>
      </c>
      <c r="E22" s="423">
        <v>68</v>
      </c>
      <c r="F22" s="424">
        <v>109000</v>
      </c>
      <c r="G22" s="424">
        <v>37300</v>
      </c>
      <c r="H22" s="424">
        <v>28000</v>
      </c>
      <c r="I22" s="424">
        <v>121500</v>
      </c>
      <c r="J22" s="424">
        <v>101000</v>
      </c>
      <c r="K22" s="424">
        <v>63229</v>
      </c>
      <c r="L22" s="424">
        <v>84834</v>
      </c>
      <c r="M22" s="424">
        <v>60000</v>
      </c>
      <c r="N22" s="424">
        <v>32800</v>
      </c>
      <c r="O22" s="424">
        <v>56310</v>
      </c>
      <c r="P22" s="425">
        <f t="shared" si="12"/>
        <v>10</v>
      </c>
      <c r="Q22" s="422">
        <f t="shared" si="13"/>
        <v>4</v>
      </c>
      <c r="R22" s="426" t="str">
        <f t="shared" si="14"/>
        <v>CIMA</v>
      </c>
      <c r="S22" s="424">
        <f t="shared" si="15"/>
        <v>28000</v>
      </c>
      <c r="T22" s="426" t="str">
        <f t="shared" si="16"/>
        <v>SGI</v>
      </c>
      <c r="U22" s="424">
        <f t="shared" si="17"/>
        <v>121500</v>
      </c>
      <c r="V22" s="427">
        <f t="shared" si="18"/>
        <v>61615</v>
      </c>
      <c r="W22" s="427">
        <f t="shared" si="19"/>
        <v>61615</v>
      </c>
      <c r="X22" s="424">
        <f t="shared" si="0"/>
        <v>4189820</v>
      </c>
      <c r="Y22" s="430">
        <f t="shared" si="20"/>
        <v>0</v>
      </c>
      <c r="Z22" s="421" t="str">
        <f t="shared" si="21"/>
        <v>Revisión por dispersión</v>
      </c>
      <c r="AA22" s="421" t="str">
        <f t="shared" si="1"/>
        <v>Validación técnica y segunda ronda</v>
      </c>
      <c r="AB22" s="421" t="str">
        <f t="shared" si="2"/>
        <v>Diferencia entre máximo y mínimo superior al 30% de la mediana; no excluir atípicos sin justificación.</v>
      </c>
      <c r="AC22" s="428">
        <f t="shared" si="22"/>
        <v>1.5174876247666964</v>
      </c>
      <c r="AD22" s="428">
        <f t="shared" si="23"/>
        <v>0.47794394656948125</v>
      </c>
      <c r="AE22" s="426" t="str">
        <f t="shared" si="24"/>
        <v>Alta</v>
      </c>
      <c r="AF22" s="426" t="str">
        <f t="shared" si="3"/>
        <v>Sí</v>
      </c>
      <c r="AG22" s="426" t="str">
        <f t="shared" si="4"/>
        <v>Mediana referencial sujeta a validación</v>
      </c>
      <c r="AH22" s="426" t="str">
        <f t="shared" si="25"/>
        <v>Sí</v>
      </c>
      <c r="AI22" s="426">
        <f t="shared" si="26"/>
        <v>8</v>
      </c>
      <c r="AJ22" s="424">
        <f t="shared" si="27"/>
        <v>32800</v>
      </c>
      <c r="AK22" s="424">
        <f t="shared" si="28"/>
        <v>109000</v>
      </c>
      <c r="AL22" s="427">
        <f t="shared" si="29"/>
        <v>68059</v>
      </c>
      <c r="AM22" s="424">
        <f t="shared" si="30"/>
        <v>4628012</v>
      </c>
      <c r="AN22" s="428">
        <f t="shared" si="31"/>
        <v>0.10458492250263735</v>
      </c>
      <c r="AO22" s="428">
        <f t="shared" si="32"/>
        <v>1.1196168030679263</v>
      </c>
      <c r="AP22" s="426" t="str">
        <f t="shared" si="5"/>
        <v>Alta</v>
      </c>
      <c r="AQ22" s="421" t="str">
        <f t="shared" si="6"/>
        <v>Revisión complementaria</v>
      </c>
      <c r="AR22" s="421" t="str">
        <f t="shared" si="7"/>
        <v>Aun sin extremos persiste dispersión relevante; validar alcance técnico.</v>
      </c>
      <c r="AS22" s="421" t="str">
        <f t="shared" si="8"/>
        <v>Promedio depurado sin extremos</v>
      </c>
      <c r="AT22" s="429">
        <f t="shared" si="33"/>
        <v>68059</v>
      </c>
      <c r="AU22" s="421" t="str">
        <f t="shared" si="9"/>
        <v>Definido con depuración</v>
      </c>
      <c r="AV22" s="421" t="str">
        <f t="shared" si="10"/>
        <v>Mantener valor final y dejar nota de dispersión residual</v>
      </c>
      <c r="AW22" s="421" t="str">
        <f t="shared" si="11"/>
        <v>Por alta dispersión se depura un mínimo y un máximo y se adopta el promedio interior.</v>
      </c>
    </row>
    <row r="23" spans="1:49" ht="15" customHeight="1" x14ac:dyDescent="0.35">
      <c r="A23" s="421" t="s">
        <v>467</v>
      </c>
      <c r="B23" s="422">
        <v>15</v>
      </c>
      <c r="C23" s="433" t="s">
        <v>440</v>
      </c>
      <c r="D23" s="433" t="s">
        <v>622</v>
      </c>
      <c r="E23" s="423">
        <v>68</v>
      </c>
      <c r="F23" s="424">
        <v>68000</v>
      </c>
      <c r="G23" s="424">
        <v>21000</v>
      </c>
      <c r="H23" s="424">
        <v>14000</v>
      </c>
      <c r="I23" s="424"/>
      <c r="J23" s="424">
        <v>59000</v>
      </c>
      <c r="K23" s="424">
        <v>33339</v>
      </c>
      <c r="L23" s="424">
        <v>23564</v>
      </c>
      <c r="M23" s="424">
        <v>22000</v>
      </c>
      <c r="N23" s="424">
        <v>31200</v>
      </c>
      <c r="O23" s="424">
        <v>35370</v>
      </c>
      <c r="P23" s="425">
        <f t="shared" si="12"/>
        <v>9</v>
      </c>
      <c r="Q23" s="422">
        <f t="shared" si="13"/>
        <v>3</v>
      </c>
      <c r="R23" s="426" t="str">
        <f t="shared" si="14"/>
        <v>CIMA</v>
      </c>
      <c r="S23" s="424">
        <f t="shared" si="15"/>
        <v>14000</v>
      </c>
      <c r="T23" s="426" t="str">
        <f t="shared" si="16"/>
        <v>Lasertec</v>
      </c>
      <c r="U23" s="424">
        <f t="shared" si="17"/>
        <v>68000</v>
      </c>
      <c r="V23" s="427">
        <f t="shared" si="18"/>
        <v>31200</v>
      </c>
      <c r="W23" s="427">
        <f t="shared" si="19"/>
        <v>31200</v>
      </c>
      <c r="X23" s="424">
        <f t="shared" si="0"/>
        <v>2121600</v>
      </c>
      <c r="Y23" s="430">
        <f t="shared" si="20"/>
        <v>0</v>
      </c>
      <c r="Z23" s="421" t="str">
        <f t="shared" si="21"/>
        <v>Revisión por dispersión</v>
      </c>
      <c r="AA23" s="421" t="str">
        <f t="shared" si="1"/>
        <v>Validación técnica y segunda ronda</v>
      </c>
      <c r="AB23" s="421" t="str">
        <f t="shared" si="2"/>
        <v>Diferencia entre máximo y mínimo superior al 30% de la mediana; no excluir atípicos sin justificación.</v>
      </c>
      <c r="AC23" s="428">
        <f t="shared" si="22"/>
        <v>1.7307692307692308</v>
      </c>
      <c r="AD23" s="428">
        <f t="shared" si="23"/>
        <v>0.52898762483523065</v>
      </c>
      <c r="AE23" s="426" t="str">
        <f t="shared" si="24"/>
        <v>Alta</v>
      </c>
      <c r="AF23" s="426" t="str">
        <f t="shared" si="3"/>
        <v>Sí</v>
      </c>
      <c r="AG23" s="426" t="str">
        <f t="shared" si="4"/>
        <v>Mediana referencial sujeta a validación</v>
      </c>
      <c r="AH23" s="426" t="str">
        <f t="shared" si="25"/>
        <v>Sí</v>
      </c>
      <c r="AI23" s="426">
        <f t="shared" si="26"/>
        <v>7</v>
      </c>
      <c r="AJ23" s="424">
        <f t="shared" si="27"/>
        <v>21000</v>
      </c>
      <c r="AK23" s="424">
        <f t="shared" si="28"/>
        <v>59000</v>
      </c>
      <c r="AL23" s="427">
        <f t="shared" si="29"/>
        <v>32210</v>
      </c>
      <c r="AM23" s="424">
        <f t="shared" si="30"/>
        <v>2190280</v>
      </c>
      <c r="AN23" s="428">
        <f t="shared" si="31"/>
        <v>3.2371794871794875E-2</v>
      </c>
      <c r="AO23" s="428">
        <f t="shared" si="32"/>
        <v>1.1797578391803787</v>
      </c>
      <c r="AP23" s="426" t="str">
        <f t="shared" si="5"/>
        <v>Alta</v>
      </c>
      <c r="AQ23" s="421" t="str">
        <f t="shared" si="6"/>
        <v>Revisión complementaria</v>
      </c>
      <c r="AR23" s="421" t="str">
        <f t="shared" si="7"/>
        <v>Aun sin extremos persiste dispersión relevante; validar alcance técnico.</v>
      </c>
      <c r="AS23" s="421" t="str">
        <f t="shared" si="8"/>
        <v>Promedio depurado sin extremos</v>
      </c>
      <c r="AT23" s="429">
        <f t="shared" si="33"/>
        <v>32210</v>
      </c>
      <c r="AU23" s="421" t="str">
        <f t="shared" si="9"/>
        <v>Definido con depuración</v>
      </c>
      <c r="AV23" s="421" t="str">
        <f t="shared" si="10"/>
        <v>Mantener valor final y dejar nota de dispersión residual</v>
      </c>
      <c r="AW23" s="421" t="str">
        <f t="shared" si="11"/>
        <v>Por alta dispersión se depura un mínimo y un máximo y se adopta el promedio interior.</v>
      </c>
    </row>
    <row r="24" spans="1:49" ht="15" customHeight="1" x14ac:dyDescent="0.35">
      <c r="A24" s="421" t="s">
        <v>467</v>
      </c>
      <c r="B24" s="422">
        <v>16</v>
      </c>
      <c r="C24" s="433" t="s">
        <v>441</v>
      </c>
      <c r="D24" s="433" t="s">
        <v>623</v>
      </c>
      <c r="E24" s="423">
        <v>68</v>
      </c>
      <c r="F24" s="424">
        <v>68000</v>
      </c>
      <c r="G24" s="424">
        <v>25300</v>
      </c>
      <c r="H24" s="424">
        <v>18000</v>
      </c>
      <c r="I24" s="424"/>
      <c r="J24" s="424">
        <v>81000</v>
      </c>
      <c r="K24" s="424">
        <v>34489</v>
      </c>
      <c r="L24" s="424">
        <v>31420</v>
      </c>
      <c r="M24" s="424"/>
      <c r="N24" s="424">
        <v>35800</v>
      </c>
      <c r="O24" s="424">
        <v>58060</v>
      </c>
      <c r="P24" s="425">
        <f t="shared" si="12"/>
        <v>8</v>
      </c>
      <c r="Q24" s="422">
        <f t="shared" si="13"/>
        <v>3</v>
      </c>
      <c r="R24" s="426" t="str">
        <f t="shared" si="14"/>
        <v>CIMA</v>
      </c>
      <c r="S24" s="424">
        <f t="shared" si="15"/>
        <v>18000</v>
      </c>
      <c r="T24" s="426" t="str">
        <f t="shared" si="16"/>
        <v>Javeriana</v>
      </c>
      <c r="U24" s="424">
        <f t="shared" si="17"/>
        <v>81000</v>
      </c>
      <c r="V24" s="427">
        <f t="shared" si="18"/>
        <v>35145</v>
      </c>
      <c r="W24" s="427">
        <f t="shared" si="19"/>
        <v>35145</v>
      </c>
      <c r="X24" s="424">
        <f t="shared" si="0"/>
        <v>2389860</v>
      </c>
      <c r="Y24" s="430">
        <f t="shared" si="20"/>
        <v>0</v>
      </c>
      <c r="Z24" s="421" t="str">
        <f t="shared" si="21"/>
        <v>Revisión por dispersión</v>
      </c>
      <c r="AA24" s="421" t="str">
        <f t="shared" si="1"/>
        <v>Validación técnica y segunda ronda</v>
      </c>
      <c r="AB24" s="421" t="str">
        <f t="shared" si="2"/>
        <v>Diferencia entre máximo y mínimo superior al 30% de la mediana; no excluir atípicos sin justificación.</v>
      </c>
      <c r="AC24" s="428">
        <f t="shared" si="22"/>
        <v>1.7925736235595391</v>
      </c>
      <c r="AD24" s="428">
        <f t="shared" si="23"/>
        <v>0.50695887281001983</v>
      </c>
      <c r="AE24" s="426" t="str">
        <f t="shared" si="24"/>
        <v>Alta</v>
      </c>
      <c r="AF24" s="426" t="str">
        <f t="shared" si="3"/>
        <v>Sí</v>
      </c>
      <c r="AG24" s="426" t="str">
        <f t="shared" si="4"/>
        <v>Mediana referencial sujeta a validación</v>
      </c>
      <c r="AH24" s="426" t="str">
        <f t="shared" si="25"/>
        <v>Sí</v>
      </c>
      <c r="AI24" s="426">
        <f t="shared" si="26"/>
        <v>6</v>
      </c>
      <c r="AJ24" s="424">
        <f t="shared" si="27"/>
        <v>25300</v>
      </c>
      <c r="AK24" s="424">
        <f t="shared" si="28"/>
        <v>68000</v>
      </c>
      <c r="AL24" s="427">
        <f t="shared" si="29"/>
        <v>42178</v>
      </c>
      <c r="AM24" s="424">
        <f t="shared" si="30"/>
        <v>2868104</v>
      </c>
      <c r="AN24" s="428">
        <f t="shared" si="31"/>
        <v>0.20011381419832125</v>
      </c>
      <c r="AO24" s="428">
        <f t="shared" si="32"/>
        <v>1.0123761202522643</v>
      </c>
      <c r="AP24" s="426" t="str">
        <f t="shared" si="5"/>
        <v>Alta</v>
      </c>
      <c r="AQ24" s="421" t="str">
        <f t="shared" si="6"/>
        <v>Revisión complementaria</v>
      </c>
      <c r="AR24" s="421" t="str">
        <f t="shared" si="7"/>
        <v>Aun sin extremos persiste dispersión relevante; validar alcance técnico.</v>
      </c>
      <c r="AS24" s="421" t="str">
        <f t="shared" si="8"/>
        <v>Promedio depurado sin extremos</v>
      </c>
      <c r="AT24" s="429">
        <f t="shared" si="33"/>
        <v>42178</v>
      </c>
      <c r="AU24" s="421" t="str">
        <f t="shared" si="9"/>
        <v>Definido con depuración</v>
      </c>
      <c r="AV24" s="421" t="str">
        <f t="shared" si="10"/>
        <v>Mantener valor final y dejar nota de dispersión residual</v>
      </c>
      <c r="AW24" s="421" t="str">
        <f t="shared" si="11"/>
        <v>Por alta dispersión se depura un mínimo y un máximo y se adopta el promedio interior.</v>
      </c>
    </row>
    <row r="25" spans="1:49" ht="15" customHeight="1" x14ac:dyDescent="0.35">
      <c r="A25" s="421" t="s">
        <v>467</v>
      </c>
      <c r="B25" s="422">
        <v>17</v>
      </c>
      <c r="C25" s="433" t="s">
        <v>442</v>
      </c>
      <c r="D25" s="433" t="s">
        <v>624</v>
      </c>
      <c r="E25" s="423">
        <v>68</v>
      </c>
      <c r="F25" s="424">
        <v>68000</v>
      </c>
      <c r="G25" s="424">
        <v>21000</v>
      </c>
      <c r="H25" s="424">
        <v>8000</v>
      </c>
      <c r="I25" s="424">
        <v>67300</v>
      </c>
      <c r="J25" s="424">
        <v>55000</v>
      </c>
      <c r="K25" s="424">
        <v>36788</v>
      </c>
      <c r="L25" s="424">
        <v>23564</v>
      </c>
      <c r="M25" s="424">
        <v>21100</v>
      </c>
      <c r="N25" s="424"/>
      <c r="O25" s="424">
        <v>58060</v>
      </c>
      <c r="P25" s="425">
        <f t="shared" si="12"/>
        <v>9</v>
      </c>
      <c r="Q25" s="422">
        <f t="shared" si="13"/>
        <v>4</v>
      </c>
      <c r="R25" s="426" t="str">
        <f t="shared" si="14"/>
        <v>CIMA</v>
      </c>
      <c r="S25" s="424">
        <f t="shared" si="15"/>
        <v>8000</v>
      </c>
      <c r="T25" s="426" t="str">
        <f t="shared" si="16"/>
        <v>Lasertec</v>
      </c>
      <c r="U25" s="424">
        <f t="shared" si="17"/>
        <v>68000</v>
      </c>
      <c r="V25" s="427">
        <f t="shared" si="18"/>
        <v>36788</v>
      </c>
      <c r="W25" s="427">
        <f t="shared" si="19"/>
        <v>36788</v>
      </c>
      <c r="X25" s="424">
        <f t="shared" si="0"/>
        <v>2501584</v>
      </c>
      <c r="Y25" s="430">
        <f t="shared" si="20"/>
        <v>0</v>
      </c>
      <c r="Z25" s="421" t="str">
        <f t="shared" si="21"/>
        <v>Revisión por dispersión</v>
      </c>
      <c r="AA25" s="421" t="str">
        <f t="shared" si="1"/>
        <v>Validación técnica y segunda ronda</v>
      </c>
      <c r="AB25" s="421" t="str">
        <f t="shared" si="2"/>
        <v>Diferencia entre máximo y mínimo superior al 30% de la mediana; no excluir atípicos sin justificación.</v>
      </c>
      <c r="AC25" s="428">
        <f t="shared" si="22"/>
        <v>1.6309666195498531</v>
      </c>
      <c r="AD25" s="428">
        <f t="shared" si="23"/>
        <v>0.5680407689599325</v>
      </c>
      <c r="AE25" s="426" t="str">
        <f t="shared" si="24"/>
        <v>Alta</v>
      </c>
      <c r="AF25" s="426" t="str">
        <f t="shared" si="3"/>
        <v>Sí</v>
      </c>
      <c r="AG25" s="426" t="str">
        <f t="shared" si="4"/>
        <v>Mediana referencial sujeta a validación</v>
      </c>
      <c r="AH25" s="426" t="str">
        <f t="shared" si="25"/>
        <v>Sí</v>
      </c>
      <c r="AI25" s="426">
        <f t="shared" si="26"/>
        <v>7</v>
      </c>
      <c r="AJ25" s="424">
        <f t="shared" si="27"/>
        <v>21000</v>
      </c>
      <c r="AK25" s="424">
        <f t="shared" si="28"/>
        <v>67300</v>
      </c>
      <c r="AL25" s="427">
        <f t="shared" si="29"/>
        <v>40402</v>
      </c>
      <c r="AM25" s="424">
        <f t="shared" si="30"/>
        <v>2747336</v>
      </c>
      <c r="AN25" s="428">
        <f t="shared" si="31"/>
        <v>9.8238556050886161E-2</v>
      </c>
      <c r="AO25" s="428">
        <f t="shared" si="32"/>
        <v>1.1459828721350429</v>
      </c>
      <c r="AP25" s="426" t="str">
        <f t="shared" si="5"/>
        <v>Alta</v>
      </c>
      <c r="AQ25" s="421" t="str">
        <f t="shared" si="6"/>
        <v>Revisión complementaria</v>
      </c>
      <c r="AR25" s="421" t="str">
        <f t="shared" si="7"/>
        <v>Aun sin extremos persiste dispersión relevante; validar alcance técnico.</v>
      </c>
      <c r="AS25" s="421" t="str">
        <f t="shared" si="8"/>
        <v>Promedio depurado sin extremos</v>
      </c>
      <c r="AT25" s="429">
        <f t="shared" si="33"/>
        <v>40402</v>
      </c>
      <c r="AU25" s="421" t="str">
        <f t="shared" si="9"/>
        <v>Definido con depuración</v>
      </c>
      <c r="AV25" s="421" t="str">
        <f t="shared" si="10"/>
        <v>Mantener valor final y dejar nota de dispersión residual</v>
      </c>
      <c r="AW25" s="421" t="str">
        <f t="shared" si="11"/>
        <v>Por alta dispersión se depura un mínimo y un máximo y se adopta el promedio interior.</v>
      </c>
    </row>
    <row r="26" spans="1:49" ht="15" customHeight="1" x14ac:dyDescent="0.35">
      <c r="A26" s="421" t="s">
        <v>467</v>
      </c>
      <c r="B26" s="422">
        <v>18</v>
      </c>
      <c r="C26" s="433" t="s">
        <v>248</v>
      </c>
      <c r="D26" s="433" t="s">
        <v>625</v>
      </c>
      <c r="E26" s="423">
        <v>68</v>
      </c>
      <c r="F26" s="424">
        <v>38000</v>
      </c>
      <c r="G26" s="424">
        <v>7000</v>
      </c>
      <c r="H26" s="424">
        <v>7000</v>
      </c>
      <c r="I26" s="424">
        <v>40100</v>
      </c>
      <c r="J26" s="424">
        <v>22000</v>
      </c>
      <c r="K26" s="424">
        <v>11496</v>
      </c>
      <c r="L26" s="424">
        <v>15710</v>
      </c>
      <c r="M26" s="424">
        <v>11000</v>
      </c>
      <c r="N26" s="424">
        <v>9400</v>
      </c>
      <c r="O26" s="424">
        <v>12340</v>
      </c>
      <c r="P26" s="425">
        <f t="shared" si="12"/>
        <v>10</v>
      </c>
      <c r="Q26" s="422">
        <f t="shared" si="13"/>
        <v>4</v>
      </c>
      <c r="R26" s="426" t="str">
        <f t="shared" si="14"/>
        <v>Chemilab</v>
      </c>
      <c r="S26" s="424">
        <f t="shared" si="15"/>
        <v>7000</v>
      </c>
      <c r="T26" s="426" t="str">
        <f t="shared" si="16"/>
        <v>SGI</v>
      </c>
      <c r="U26" s="424">
        <f t="shared" si="17"/>
        <v>40100</v>
      </c>
      <c r="V26" s="427">
        <f t="shared" si="18"/>
        <v>11918</v>
      </c>
      <c r="W26" s="427">
        <f t="shared" si="19"/>
        <v>11918</v>
      </c>
      <c r="X26" s="424">
        <f t="shared" si="0"/>
        <v>810424</v>
      </c>
      <c r="Y26" s="430">
        <f t="shared" si="20"/>
        <v>0</v>
      </c>
      <c r="Z26" s="421" t="str">
        <f t="shared" si="21"/>
        <v>Revisión por dispersión</v>
      </c>
      <c r="AA26" s="421" t="str">
        <f t="shared" si="1"/>
        <v>Validación técnica y segunda ronda</v>
      </c>
      <c r="AB26" s="421" t="str">
        <f t="shared" si="2"/>
        <v>Diferencia entre máximo y mínimo superior al 30% de la mediana; no excluir atípicos sin justificación.</v>
      </c>
      <c r="AC26" s="428">
        <f t="shared" si="22"/>
        <v>2.7773116294680316</v>
      </c>
      <c r="AD26" s="428">
        <f t="shared" si="23"/>
        <v>0.70249217728393742</v>
      </c>
      <c r="AE26" s="426" t="str">
        <f t="shared" si="24"/>
        <v>Alta</v>
      </c>
      <c r="AF26" s="426" t="str">
        <f t="shared" si="3"/>
        <v>Sí</v>
      </c>
      <c r="AG26" s="426" t="str">
        <f t="shared" si="4"/>
        <v>Mediana referencial sujeta a validación</v>
      </c>
      <c r="AH26" s="426" t="str">
        <f t="shared" si="25"/>
        <v>Sí</v>
      </c>
      <c r="AI26" s="426">
        <f t="shared" si="26"/>
        <v>8</v>
      </c>
      <c r="AJ26" s="424">
        <f t="shared" si="27"/>
        <v>7000</v>
      </c>
      <c r="AK26" s="424">
        <f t="shared" si="28"/>
        <v>38000</v>
      </c>
      <c r="AL26" s="427">
        <f t="shared" si="29"/>
        <v>15868</v>
      </c>
      <c r="AM26" s="424">
        <f t="shared" si="30"/>
        <v>1079024</v>
      </c>
      <c r="AN26" s="428">
        <f t="shared" si="31"/>
        <v>0.33143144822956871</v>
      </c>
      <c r="AO26" s="428">
        <f t="shared" si="32"/>
        <v>1.9536173430804133</v>
      </c>
      <c r="AP26" s="426" t="str">
        <f t="shared" si="5"/>
        <v>Alta</v>
      </c>
      <c r="AQ26" s="421" t="str">
        <f t="shared" si="6"/>
        <v>Revisión complementaria</v>
      </c>
      <c r="AR26" s="421" t="str">
        <f t="shared" si="7"/>
        <v>Aun sin extremos persiste dispersión relevante; validar alcance técnico.</v>
      </c>
      <c r="AS26" s="421" t="str">
        <f t="shared" si="8"/>
        <v>Promedio depurado sin extremos</v>
      </c>
      <c r="AT26" s="429">
        <f t="shared" si="33"/>
        <v>15868</v>
      </c>
      <c r="AU26" s="421" t="str">
        <f t="shared" si="9"/>
        <v>Definido con depuración</v>
      </c>
      <c r="AV26" s="421" t="str">
        <f t="shared" si="10"/>
        <v>Mantener valor final y dejar nota de dispersión residual</v>
      </c>
      <c r="AW26" s="421" t="str">
        <f t="shared" si="11"/>
        <v>Por alta dispersión se depura un mínimo y un máximo y se adopta el promedio interior.</v>
      </c>
    </row>
    <row r="27" spans="1:49" ht="15" customHeight="1" x14ac:dyDescent="0.35">
      <c r="A27" s="421" t="s">
        <v>467</v>
      </c>
      <c r="B27" s="422">
        <v>19</v>
      </c>
      <c r="C27" s="433" t="s">
        <v>443</v>
      </c>
      <c r="D27" s="433" t="s">
        <v>626</v>
      </c>
      <c r="E27" s="423">
        <v>68</v>
      </c>
      <c r="F27" s="424">
        <v>109000</v>
      </c>
      <c r="G27" s="424"/>
      <c r="H27" s="424"/>
      <c r="I27" s="424">
        <v>129800</v>
      </c>
      <c r="J27" s="424">
        <v>106000</v>
      </c>
      <c r="K27" s="424">
        <v>51733</v>
      </c>
      <c r="L27" s="424">
        <v>160240</v>
      </c>
      <c r="M27" s="424"/>
      <c r="N27" s="424">
        <v>65500</v>
      </c>
      <c r="O27" s="424">
        <v>10000</v>
      </c>
      <c r="P27" s="425">
        <f t="shared" si="12"/>
        <v>7</v>
      </c>
      <c r="Q27" s="422">
        <f t="shared" si="13"/>
        <v>2</v>
      </c>
      <c r="R27" s="426" t="str">
        <f t="shared" si="14"/>
        <v>Proc_SECOP II - COT 2</v>
      </c>
      <c r="S27" s="424">
        <f t="shared" si="15"/>
        <v>10000</v>
      </c>
      <c r="T27" s="426" t="str">
        <f t="shared" si="16"/>
        <v>CARDIQUE</v>
      </c>
      <c r="U27" s="424">
        <f t="shared" si="17"/>
        <v>160240</v>
      </c>
      <c r="V27" s="427">
        <f t="shared" si="18"/>
        <v>106000</v>
      </c>
      <c r="W27" s="427">
        <f t="shared" si="19"/>
        <v>106000</v>
      </c>
      <c r="X27" s="424">
        <f t="shared" si="0"/>
        <v>7208000</v>
      </c>
      <c r="Y27" s="430">
        <f t="shared" si="20"/>
        <v>0</v>
      </c>
      <c r="Z27" s="421" t="str">
        <f t="shared" si="21"/>
        <v>Revisión por dispersión</v>
      </c>
      <c r="AA27" s="421" t="str">
        <f t="shared" si="1"/>
        <v>Validación técnica y segunda ronda</v>
      </c>
      <c r="AB27" s="421" t="str">
        <f t="shared" si="2"/>
        <v>Diferencia entre máximo y mínimo superior al 30% de la mediana; no excluir atípicos sin justificación.</v>
      </c>
      <c r="AC27" s="428">
        <f t="shared" si="22"/>
        <v>1.4173584905660377</v>
      </c>
      <c r="AD27" s="428">
        <f t="shared" si="23"/>
        <v>0.5644951443596411</v>
      </c>
      <c r="AE27" s="426" t="str">
        <f t="shared" si="24"/>
        <v>Alta</v>
      </c>
      <c r="AF27" s="426" t="str">
        <f t="shared" si="3"/>
        <v>Sí</v>
      </c>
      <c r="AG27" s="426" t="str">
        <f t="shared" si="4"/>
        <v>Mediana referencial sujeta a validación</v>
      </c>
      <c r="AH27" s="426" t="str">
        <f t="shared" si="25"/>
        <v>Sí</v>
      </c>
      <c r="AI27" s="426">
        <f t="shared" si="26"/>
        <v>5</v>
      </c>
      <c r="AJ27" s="424">
        <f t="shared" si="27"/>
        <v>51733</v>
      </c>
      <c r="AK27" s="424">
        <f t="shared" si="28"/>
        <v>129800</v>
      </c>
      <c r="AL27" s="427">
        <f t="shared" si="29"/>
        <v>92407</v>
      </c>
      <c r="AM27" s="424">
        <f t="shared" si="30"/>
        <v>6283676</v>
      </c>
      <c r="AN27" s="428">
        <f t="shared" si="31"/>
        <v>-0.12823584905660376</v>
      </c>
      <c r="AO27" s="428">
        <f t="shared" si="32"/>
        <v>0.84481695109677835</v>
      </c>
      <c r="AP27" s="426" t="str">
        <f t="shared" si="5"/>
        <v>Alta</v>
      </c>
      <c r="AQ27" s="421" t="str">
        <f t="shared" si="6"/>
        <v>Revisión complementaria</v>
      </c>
      <c r="AR27" s="421" t="str">
        <f t="shared" si="7"/>
        <v>Aun sin extremos persiste dispersión relevante; validar alcance técnico.</v>
      </c>
      <c r="AS27" s="421" t="str">
        <f t="shared" si="8"/>
        <v>Promedio depurado sin extremos</v>
      </c>
      <c r="AT27" s="429">
        <f t="shared" si="33"/>
        <v>92407</v>
      </c>
      <c r="AU27" s="421" t="str">
        <f t="shared" si="9"/>
        <v>Definido con depuración</v>
      </c>
      <c r="AV27" s="421" t="str">
        <f t="shared" si="10"/>
        <v>Mantener valor final y dejar nota de dispersión residual</v>
      </c>
      <c r="AW27" s="421" t="str">
        <f t="shared" si="11"/>
        <v>Por alta dispersión se depura un mínimo y un máximo y se adopta el promedio interior.</v>
      </c>
    </row>
    <row r="28" spans="1:49" ht="15" customHeight="1" x14ac:dyDescent="0.35">
      <c r="A28" s="421" t="s">
        <v>467</v>
      </c>
      <c r="B28" s="422">
        <v>20</v>
      </c>
      <c r="C28" s="433" t="s">
        <v>444</v>
      </c>
      <c r="D28" s="433" t="s">
        <v>627</v>
      </c>
      <c r="E28" s="423">
        <v>68</v>
      </c>
      <c r="F28" s="424">
        <v>76000</v>
      </c>
      <c r="G28" s="424">
        <v>21000</v>
      </c>
      <c r="H28" s="424">
        <v>18000</v>
      </c>
      <c r="I28" s="424">
        <v>94400</v>
      </c>
      <c r="J28" s="424">
        <v>76000</v>
      </c>
      <c r="K28" s="424">
        <v>36788</v>
      </c>
      <c r="L28" s="424">
        <v>39274</v>
      </c>
      <c r="M28" s="424">
        <v>35000</v>
      </c>
      <c r="N28" s="424">
        <v>31600</v>
      </c>
      <c r="O28" s="424">
        <v>33750</v>
      </c>
      <c r="P28" s="425">
        <f t="shared" si="12"/>
        <v>10</v>
      </c>
      <c r="Q28" s="422">
        <f t="shared" si="13"/>
        <v>4</v>
      </c>
      <c r="R28" s="426" t="str">
        <f t="shared" si="14"/>
        <v>CIMA</v>
      </c>
      <c r="S28" s="424">
        <f t="shared" si="15"/>
        <v>18000</v>
      </c>
      <c r="T28" s="426" t="str">
        <f t="shared" si="16"/>
        <v>SGI</v>
      </c>
      <c r="U28" s="424">
        <f t="shared" si="17"/>
        <v>94400</v>
      </c>
      <c r="V28" s="427">
        <f t="shared" si="18"/>
        <v>35894</v>
      </c>
      <c r="W28" s="427">
        <f t="shared" si="19"/>
        <v>35894</v>
      </c>
      <c r="X28" s="424">
        <f t="shared" si="0"/>
        <v>2440792</v>
      </c>
      <c r="Y28" s="430">
        <f t="shared" si="20"/>
        <v>0</v>
      </c>
      <c r="Z28" s="421" t="str">
        <f t="shared" si="21"/>
        <v>Revisión por dispersión</v>
      </c>
      <c r="AA28" s="421" t="str">
        <f t="shared" si="1"/>
        <v>Validación técnica y segunda ronda</v>
      </c>
      <c r="AB28" s="421" t="str">
        <f t="shared" si="2"/>
        <v>Diferencia entre máximo y mínimo superior al 30% de la mediana; no excluir atípicos sin justificación.</v>
      </c>
      <c r="AC28" s="428">
        <f t="shared" si="22"/>
        <v>2.1284894411322228</v>
      </c>
      <c r="AD28" s="428">
        <f t="shared" si="23"/>
        <v>0.56649387978253207</v>
      </c>
      <c r="AE28" s="426" t="str">
        <f t="shared" si="24"/>
        <v>Alta</v>
      </c>
      <c r="AF28" s="426" t="str">
        <f t="shared" si="3"/>
        <v>Sí</v>
      </c>
      <c r="AG28" s="426" t="str">
        <f t="shared" si="4"/>
        <v>Mediana referencial sujeta a validación</v>
      </c>
      <c r="AH28" s="426" t="str">
        <f t="shared" si="25"/>
        <v>Sí</v>
      </c>
      <c r="AI28" s="426">
        <f t="shared" si="26"/>
        <v>8</v>
      </c>
      <c r="AJ28" s="424">
        <f t="shared" si="27"/>
        <v>21000</v>
      </c>
      <c r="AK28" s="424">
        <f t="shared" si="28"/>
        <v>76000</v>
      </c>
      <c r="AL28" s="427">
        <f t="shared" si="29"/>
        <v>43677</v>
      </c>
      <c r="AM28" s="424">
        <f t="shared" si="30"/>
        <v>2970036</v>
      </c>
      <c r="AN28" s="428">
        <f t="shared" si="31"/>
        <v>0.21683289686298546</v>
      </c>
      <c r="AO28" s="428">
        <f t="shared" si="32"/>
        <v>1.2592439956956751</v>
      </c>
      <c r="AP28" s="426" t="str">
        <f t="shared" si="5"/>
        <v>Alta</v>
      </c>
      <c r="AQ28" s="421" t="str">
        <f t="shared" si="6"/>
        <v>Revisión complementaria</v>
      </c>
      <c r="AR28" s="421" t="str">
        <f t="shared" si="7"/>
        <v>Aun sin extremos persiste dispersión relevante; validar alcance técnico.</v>
      </c>
      <c r="AS28" s="421" t="str">
        <f t="shared" si="8"/>
        <v>Promedio depurado sin extremos</v>
      </c>
      <c r="AT28" s="429">
        <f t="shared" si="33"/>
        <v>43677</v>
      </c>
      <c r="AU28" s="421" t="str">
        <f t="shared" si="9"/>
        <v>Definido con depuración</v>
      </c>
      <c r="AV28" s="421" t="str">
        <f t="shared" si="10"/>
        <v>Mantener valor final y dejar nota de dispersión residual</v>
      </c>
      <c r="AW28" s="421" t="str">
        <f t="shared" si="11"/>
        <v>Por alta dispersión se depura un mínimo y un máximo y se adopta el promedio interior.</v>
      </c>
    </row>
    <row r="29" spans="1:49" ht="15" customHeight="1" x14ac:dyDescent="0.35">
      <c r="A29" s="421" t="s">
        <v>467</v>
      </c>
      <c r="B29" s="422">
        <v>21</v>
      </c>
      <c r="C29" s="433" t="s">
        <v>250</v>
      </c>
      <c r="D29" s="433" t="s">
        <v>628</v>
      </c>
      <c r="E29" s="423">
        <v>68</v>
      </c>
      <c r="F29" s="424">
        <v>61000</v>
      </c>
      <c r="G29" s="424">
        <v>17500</v>
      </c>
      <c r="H29" s="424">
        <v>15000</v>
      </c>
      <c r="I29" s="424">
        <v>94400</v>
      </c>
      <c r="J29" s="424">
        <v>68000</v>
      </c>
      <c r="K29" s="424">
        <v>74726</v>
      </c>
      <c r="L29" s="424">
        <v>37704</v>
      </c>
      <c r="M29" s="424">
        <v>30000</v>
      </c>
      <c r="N29" s="424">
        <v>29600</v>
      </c>
      <c r="O29" s="424">
        <v>34910</v>
      </c>
      <c r="P29" s="425">
        <f t="shared" si="12"/>
        <v>10</v>
      </c>
      <c r="Q29" s="422">
        <f t="shared" si="13"/>
        <v>4</v>
      </c>
      <c r="R29" s="426" t="str">
        <f t="shared" si="14"/>
        <v>CIMA</v>
      </c>
      <c r="S29" s="424">
        <f t="shared" si="15"/>
        <v>15000</v>
      </c>
      <c r="T29" s="426" t="str">
        <f t="shared" si="16"/>
        <v>SGI</v>
      </c>
      <c r="U29" s="424">
        <f t="shared" si="17"/>
        <v>94400</v>
      </c>
      <c r="V29" s="427">
        <f t="shared" si="18"/>
        <v>36307</v>
      </c>
      <c r="W29" s="427">
        <f t="shared" si="19"/>
        <v>36307</v>
      </c>
      <c r="X29" s="424">
        <f t="shared" si="0"/>
        <v>2468876</v>
      </c>
      <c r="Y29" s="430">
        <f t="shared" si="20"/>
        <v>0</v>
      </c>
      <c r="Z29" s="421" t="str">
        <f t="shared" si="21"/>
        <v>Revisión por dispersión</v>
      </c>
      <c r="AA29" s="421" t="str">
        <f t="shared" si="1"/>
        <v>Validación técnica y segunda ronda</v>
      </c>
      <c r="AB29" s="421" t="str">
        <f t="shared" si="2"/>
        <v>Diferencia entre máximo y mínimo superior al 30% de la mediana; no excluir atípicos sin justificación.</v>
      </c>
      <c r="AC29" s="428">
        <f t="shared" si="22"/>
        <v>2.1869061062605009</v>
      </c>
      <c r="AD29" s="428">
        <f t="shared" si="23"/>
        <v>0.57461869670336951</v>
      </c>
      <c r="AE29" s="426" t="str">
        <f t="shared" si="24"/>
        <v>Alta</v>
      </c>
      <c r="AF29" s="426" t="str">
        <f t="shared" si="3"/>
        <v>Sí</v>
      </c>
      <c r="AG29" s="426" t="str">
        <f t="shared" si="4"/>
        <v>Mediana referencial sujeta a validación</v>
      </c>
      <c r="AH29" s="426" t="str">
        <f t="shared" si="25"/>
        <v>Sí</v>
      </c>
      <c r="AI29" s="426">
        <f t="shared" si="26"/>
        <v>8</v>
      </c>
      <c r="AJ29" s="424">
        <f t="shared" si="27"/>
        <v>17500</v>
      </c>
      <c r="AK29" s="424">
        <f t="shared" si="28"/>
        <v>74726</v>
      </c>
      <c r="AL29" s="427">
        <f t="shared" si="29"/>
        <v>44180</v>
      </c>
      <c r="AM29" s="424">
        <f t="shared" si="30"/>
        <v>3004240</v>
      </c>
      <c r="AN29" s="428">
        <f t="shared" si="31"/>
        <v>0.21684523645577988</v>
      </c>
      <c r="AO29" s="428">
        <f t="shared" si="32"/>
        <v>1.2952919873245812</v>
      </c>
      <c r="AP29" s="426" t="str">
        <f t="shared" si="5"/>
        <v>Alta</v>
      </c>
      <c r="AQ29" s="421" t="str">
        <f t="shared" si="6"/>
        <v>Revisión complementaria</v>
      </c>
      <c r="AR29" s="421" t="str">
        <f t="shared" si="7"/>
        <v>Aun sin extremos persiste dispersión relevante; validar alcance técnico.</v>
      </c>
      <c r="AS29" s="421" t="str">
        <f t="shared" si="8"/>
        <v>Promedio depurado sin extremos</v>
      </c>
      <c r="AT29" s="429">
        <f t="shared" si="33"/>
        <v>44180</v>
      </c>
      <c r="AU29" s="421" t="str">
        <f t="shared" si="9"/>
        <v>Definido con depuración</v>
      </c>
      <c r="AV29" s="421" t="str">
        <f t="shared" si="10"/>
        <v>Mantener valor final y dejar nota de dispersión residual</v>
      </c>
      <c r="AW29" s="421" t="str">
        <f t="shared" si="11"/>
        <v>Por alta dispersión se depura un mínimo y un máximo y se adopta el promedio interior.</v>
      </c>
    </row>
    <row r="30" spans="1:49" ht="15" customHeight="1" x14ac:dyDescent="0.35">
      <c r="A30" s="421" t="s">
        <v>467</v>
      </c>
      <c r="B30" s="422">
        <v>22</v>
      </c>
      <c r="C30" s="433" t="s">
        <v>249</v>
      </c>
      <c r="D30" s="433" t="s">
        <v>629</v>
      </c>
      <c r="E30" s="423">
        <v>68</v>
      </c>
      <c r="F30" s="424">
        <v>61000</v>
      </c>
      <c r="G30" s="424">
        <v>17500</v>
      </c>
      <c r="H30" s="424">
        <v>15000</v>
      </c>
      <c r="I30" s="424">
        <v>94400</v>
      </c>
      <c r="J30" s="424">
        <v>56000</v>
      </c>
      <c r="K30" s="424">
        <v>66678</v>
      </c>
      <c r="L30" s="424">
        <v>48700</v>
      </c>
      <c r="M30" s="424">
        <v>36000</v>
      </c>
      <c r="N30" s="424">
        <v>29600</v>
      </c>
      <c r="O30" s="424">
        <v>29670</v>
      </c>
      <c r="P30" s="425">
        <f t="shared" si="12"/>
        <v>10</v>
      </c>
      <c r="Q30" s="422">
        <f t="shared" si="13"/>
        <v>4</v>
      </c>
      <c r="R30" s="426" t="str">
        <f t="shared" si="14"/>
        <v>CIMA</v>
      </c>
      <c r="S30" s="424">
        <f t="shared" si="15"/>
        <v>15000</v>
      </c>
      <c r="T30" s="426" t="str">
        <f t="shared" si="16"/>
        <v>SGI</v>
      </c>
      <c r="U30" s="424">
        <f t="shared" si="17"/>
        <v>94400</v>
      </c>
      <c r="V30" s="427">
        <f t="shared" si="18"/>
        <v>42350</v>
      </c>
      <c r="W30" s="427">
        <f t="shared" si="19"/>
        <v>42350</v>
      </c>
      <c r="X30" s="424">
        <f t="shared" si="0"/>
        <v>2879800</v>
      </c>
      <c r="Y30" s="430">
        <f t="shared" si="20"/>
        <v>0</v>
      </c>
      <c r="Z30" s="421" t="str">
        <f t="shared" si="21"/>
        <v>Revisión por dispersión</v>
      </c>
      <c r="AA30" s="421" t="str">
        <f t="shared" si="1"/>
        <v>Validación técnica y segunda ronda</v>
      </c>
      <c r="AB30" s="421" t="str">
        <f t="shared" si="2"/>
        <v>Diferencia entre máximo y mínimo superior al 30% de la mediana; no excluir atípicos sin justificación.</v>
      </c>
      <c r="AC30" s="428">
        <f t="shared" si="22"/>
        <v>1.8748524203069659</v>
      </c>
      <c r="AD30" s="428">
        <f t="shared" si="23"/>
        <v>0.54426350225731612</v>
      </c>
      <c r="AE30" s="426" t="str">
        <f t="shared" si="24"/>
        <v>Alta</v>
      </c>
      <c r="AF30" s="426" t="str">
        <f t="shared" si="3"/>
        <v>Sí</v>
      </c>
      <c r="AG30" s="426" t="str">
        <f t="shared" si="4"/>
        <v>Mediana referencial sujeta a validación</v>
      </c>
      <c r="AH30" s="426" t="str">
        <f t="shared" si="25"/>
        <v>Sí</v>
      </c>
      <c r="AI30" s="426">
        <f t="shared" si="26"/>
        <v>8</v>
      </c>
      <c r="AJ30" s="424">
        <f t="shared" si="27"/>
        <v>17500</v>
      </c>
      <c r="AK30" s="424">
        <f t="shared" si="28"/>
        <v>66678</v>
      </c>
      <c r="AL30" s="427">
        <f t="shared" si="29"/>
        <v>43144</v>
      </c>
      <c r="AM30" s="424">
        <f t="shared" si="30"/>
        <v>2933792</v>
      </c>
      <c r="AN30" s="428">
        <f t="shared" si="31"/>
        <v>1.8748524203069657E-2</v>
      </c>
      <c r="AO30" s="428">
        <f t="shared" si="32"/>
        <v>1.1398572223252363</v>
      </c>
      <c r="AP30" s="426" t="str">
        <f t="shared" si="5"/>
        <v>Alta</v>
      </c>
      <c r="AQ30" s="421" t="str">
        <f t="shared" si="6"/>
        <v>Revisión complementaria</v>
      </c>
      <c r="AR30" s="421" t="str">
        <f t="shared" si="7"/>
        <v>Aun sin extremos persiste dispersión relevante; validar alcance técnico.</v>
      </c>
      <c r="AS30" s="421" t="str">
        <f t="shared" si="8"/>
        <v>Promedio depurado sin extremos</v>
      </c>
      <c r="AT30" s="429">
        <f t="shared" si="33"/>
        <v>43144</v>
      </c>
      <c r="AU30" s="421" t="str">
        <f t="shared" si="9"/>
        <v>Definido con depuración</v>
      </c>
      <c r="AV30" s="421" t="str">
        <f t="shared" si="10"/>
        <v>Mantener valor final y dejar nota de dispersión residual</v>
      </c>
      <c r="AW30" s="421" t="str">
        <f t="shared" si="11"/>
        <v>Por alta dispersión se depura un mínimo y un máximo y se adopta el promedio interior.</v>
      </c>
    </row>
    <row r="31" spans="1:49" ht="15" customHeight="1" x14ac:dyDescent="0.35">
      <c r="A31" s="421" t="s">
        <v>467</v>
      </c>
      <c r="B31" s="422">
        <v>23</v>
      </c>
      <c r="C31" s="433" t="s">
        <v>445</v>
      </c>
      <c r="D31" s="433" t="s">
        <v>630</v>
      </c>
      <c r="E31" s="423">
        <v>68</v>
      </c>
      <c r="F31" s="424">
        <v>65000</v>
      </c>
      <c r="G31" s="424">
        <v>23300</v>
      </c>
      <c r="H31" s="424">
        <v>24000</v>
      </c>
      <c r="I31" s="424">
        <v>81400</v>
      </c>
      <c r="J31" s="424">
        <v>74000</v>
      </c>
      <c r="K31" s="424">
        <v>52883</v>
      </c>
      <c r="L31" s="424">
        <v>47130</v>
      </c>
      <c r="M31" s="424">
        <v>33400</v>
      </c>
      <c r="N31" s="424">
        <v>29800</v>
      </c>
      <c r="O31" s="424">
        <v>44090</v>
      </c>
      <c r="P31" s="425">
        <f t="shared" si="12"/>
        <v>10</v>
      </c>
      <c r="Q31" s="422">
        <f t="shared" si="13"/>
        <v>4</v>
      </c>
      <c r="R31" s="426" t="str">
        <f t="shared" si="14"/>
        <v>Chemilab</v>
      </c>
      <c r="S31" s="424">
        <f t="shared" si="15"/>
        <v>23300</v>
      </c>
      <c r="T31" s="426" t="str">
        <f t="shared" si="16"/>
        <v>SGI</v>
      </c>
      <c r="U31" s="424">
        <f t="shared" si="17"/>
        <v>81400</v>
      </c>
      <c r="V31" s="427">
        <f t="shared" si="18"/>
        <v>45610</v>
      </c>
      <c r="W31" s="427">
        <f t="shared" si="19"/>
        <v>45610</v>
      </c>
      <c r="X31" s="424">
        <f t="shared" si="0"/>
        <v>3101480</v>
      </c>
      <c r="Y31" s="430">
        <f t="shared" si="20"/>
        <v>0</v>
      </c>
      <c r="Z31" s="421" t="str">
        <f t="shared" si="21"/>
        <v>Revisión por dispersión</v>
      </c>
      <c r="AA31" s="421" t="str">
        <f t="shared" si="1"/>
        <v>Validación técnica y segunda ronda</v>
      </c>
      <c r="AB31" s="421" t="str">
        <f t="shared" si="2"/>
        <v>Diferencia entre máximo y mínimo superior al 30% de la mediana; no excluir atípicos sin justificación.</v>
      </c>
      <c r="AC31" s="428">
        <f t="shared" si="22"/>
        <v>1.2738434553825915</v>
      </c>
      <c r="AD31" s="428">
        <f t="shared" si="23"/>
        <v>0.43533626611411286</v>
      </c>
      <c r="AE31" s="426" t="str">
        <f t="shared" si="24"/>
        <v>Alta</v>
      </c>
      <c r="AF31" s="426" t="str">
        <f t="shared" si="3"/>
        <v>Sí</v>
      </c>
      <c r="AG31" s="426" t="str">
        <f t="shared" si="4"/>
        <v>Mediana referencial sujeta a validación</v>
      </c>
      <c r="AH31" s="426" t="str">
        <f t="shared" si="25"/>
        <v>Sí</v>
      </c>
      <c r="AI31" s="426">
        <f t="shared" si="26"/>
        <v>8</v>
      </c>
      <c r="AJ31" s="424">
        <f t="shared" si="27"/>
        <v>24000</v>
      </c>
      <c r="AK31" s="424">
        <f t="shared" si="28"/>
        <v>74000</v>
      </c>
      <c r="AL31" s="427">
        <f t="shared" si="29"/>
        <v>46288</v>
      </c>
      <c r="AM31" s="424">
        <f t="shared" si="30"/>
        <v>3147584</v>
      </c>
      <c r="AN31" s="428">
        <f t="shared" si="31"/>
        <v>1.4865161148870862E-2</v>
      </c>
      <c r="AO31" s="428">
        <f t="shared" si="32"/>
        <v>1.0801935706878674</v>
      </c>
      <c r="AP31" s="426" t="str">
        <f t="shared" si="5"/>
        <v>Alta</v>
      </c>
      <c r="AQ31" s="421" t="str">
        <f t="shared" si="6"/>
        <v>Revisión complementaria</v>
      </c>
      <c r="AR31" s="421" t="str">
        <f t="shared" si="7"/>
        <v>Aun sin extremos persiste dispersión relevante; validar alcance técnico.</v>
      </c>
      <c r="AS31" s="421" t="str">
        <f t="shared" si="8"/>
        <v>Promedio depurado sin extremos</v>
      </c>
      <c r="AT31" s="429">
        <f t="shared" si="33"/>
        <v>46288</v>
      </c>
      <c r="AU31" s="421" t="str">
        <f t="shared" si="9"/>
        <v>Definido con depuración</v>
      </c>
      <c r="AV31" s="421" t="str">
        <f t="shared" si="10"/>
        <v>Mantener valor final y dejar nota de dispersión residual</v>
      </c>
      <c r="AW31" s="421" t="str">
        <f t="shared" si="11"/>
        <v>Por alta dispersión se depura un mínimo y un máximo y se adopta el promedio interior.</v>
      </c>
    </row>
    <row r="32" spans="1:49" ht="15" customHeight="1" x14ac:dyDescent="0.35">
      <c r="A32" s="421" t="s">
        <v>467</v>
      </c>
      <c r="B32" s="422">
        <v>24</v>
      </c>
      <c r="C32" s="433" t="s">
        <v>446</v>
      </c>
      <c r="D32" s="433" t="s">
        <v>631</v>
      </c>
      <c r="E32" s="423">
        <v>68</v>
      </c>
      <c r="F32" s="424">
        <v>65000</v>
      </c>
      <c r="G32" s="424">
        <v>17500</v>
      </c>
      <c r="H32" s="424">
        <v>16000</v>
      </c>
      <c r="I32" s="424">
        <v>81400</v>
      </c>
      <c r="J32" s="424"/>
      <c r="K32" s="424"/>
      <c r="L32" s="424">
        <v>51842</v>
      </c>
      <c r="M32" s="424">
        <v>27200</v>
      </c>
      <c r="N32" s="424">
        <v>24400</v>
      </c>
      <c r="O32" s="424">
        <v>31070</v>
      </c>
      <c r="P32" s="425">
        <f t="shared" si="12"/>
        <v>8</v>
      </c>
      <c r="Q32" s="422">
        <f t="shared" si="13"/>
        <v>4</v>
      </c>
      <c r="R32" s="426" t="str">
        <f t="shared" si="14"/>
        <v>CIMA</v>
      </c>
      <c r="S32" s="424">
        <f t="shared" si="15"/>
        <v>16000</v>
      </c>
      <c r="T32" s="426" t="str">
        <f t="shared" si="16"/>
        <v>SGI</v>
      </c>
      <c r="U32" s="424">
        <f t="shared" si="17"/>
        <v>81400</v>
      </c>
      <c r="V32" s="427">
        <f t="shared" si="18"/>
        <v>29135</v>
      </c>
      <c r="W32" s="427">
        <f t="shared" si="19"/>
        <v>29135</v>
      </c>
      <c r="X32" s="424">
        <f t="shared" si="0"/>
        <v>1981180</v>
      </c>
      <c r="Y32" s="430">
        <f t="shared" si="20"/>
        <v>0</v>
      </c>
      <c r="Z32" s="421" t="str">
        <f t="shared" si="21"/>
        <v>Revisión por dispersión</v>
      </c>
      <c r="AA32" s="421" t="str">
        <f t="shared" si="1"/>
        <v>Validación técnica y segunda ronda</v>
      </c>
      <c r="AB32" s="421" t="str">
        <f t="shared" si="2"/>
        <v>Diferencia entre máximo y mínimo superior al 30% de la mediana; no excluir atípicos sin justificación.</v>
      </c>
      <c r="AC32" s="428">
        <f t="shared" si="22"/>
        <v>2.2447228419426808</v>
      </c>
      <c r="AD32" s="428">
        <f t="shared" si="23"/>
        <v>0.61160841102930674</v>
      </c>
      <c r="AE32" s="426" t="str">
        <f t="shared" si="24"/>
        <v>Alta</v>
      </c>
      <c r="AF32" s="426" t="str">
        <f t="shared" si="3"/>
        <v>Sí</v>
      </c>
      <c r="AG32" s="426" t="str">
        <f t="shared" si="4"/>
        <v>Mediana referencial sujeta a validación</v>
      </c>
      <c r="AH32" s="426" t="str">
        <f t="shared" si="25"/>
        <v>Sí</v>
      </c>
      <c r="AI32" s="426">
        <f t="shared" si="26"/>
        <v>6</v>
      </c>
      <c r="AJ32" s="424">
        <f t="shared" si="27"/>
        <v>17500</v>
      </c>
      <c r="AK32" s="424">
        <f t="shared" si="28"/>
        <v>65000</v>
      </c>
      <c r="AL32" s="427">
        <f t="shared" si="29"/>
        <v>36169</v>
      </c>
      <c r="AM32" s="424">
        <f t="shared" si="30"/>
        <v>2459492</v>
      </c>
      <c r="AN32" s="428">
        <f t="shared" si="31"/>
        <v>0.24142783593615927</v>
      </c>
      <c r="AO32" s="428">
        <f t="shared" si="32"/>
        <v>1.3132793276009842</v>
      </c>
      <c r="AP32" s="426" t="str">
        <f t="shared" si="5"/>
        <v>Alta</v>
      </c>
      <c r="AQ32" s="421" t="str">
        <f t="shared" si="6"/>
        <v>Revisión complementaria</v>
      </c>
      <c r="AR32" s="421" t="str">
        <f t="shared" si="7"/>
        <v>Aun sin extremos persiste dispersión relevante; validar alcance técnico.</v>
      </c>
      <c r="AS32" s="421" t="str">
        <f t="shared" si="8"/>
        <v>Promedio depurado sin extremos</v>
      </c>
      <c r="AT32" s="429">
        <f t="shared" si="33"/>
        <v>36169</v>
      </c>
      <c r="AU32" s="421" t="str">
        <f t="shared" si="9"/>
        <v>Definido con depuración</v>
      </c>
      <c r="AV32" s="421" t="str">
        <f t="shared" si="10"/>
        <v>Mantener valor final y dejar nota de dispersión residual</v>
      </c>
      <c r="AW32" s="421" t="str">
        <f t="shared" si="11"/>
        <v>Por alta dispersión se depura un mínimo y un máximo y se adopta el promedio interior.</v>
      </c>
    </row>
    <row r="33" spans="1:49" ht="15" customHeight="1" x14ac:dyDescent="0.35">
      <c r="A33" s="421" t="s">
        <v>467</v>
      </c>
      <c r="B33" s="422">
        <v>25</v>
      </c>
      <c r="C33" s="433" t="s">
        <v>447</v>
      </c>
      <c r="D33" s="433" t="s">
        <v>632</v>
      </c>
      <c r="E33" s="423">
        <v>68</v>
      </c>
      <c r="F33" s="424">
        <v>122000</v>
      </c>
      <c r="G33" s="424">
        <v>70000</v>
      </c>
      <c r="H33" s="424">
        <v>44000</v>
      </c>
      <c r="I33" s="424">
        <v>135700</v>
      </c>
      <c r="J33" s="424">
        <v>137000</v>
      </c>
      <c r="K33" s="424">
        <v>42537</v>
      </c>
      <c r="L33" s="424">
        <v>94261</v>
      </c>
      <c r="M33" s="424">
        <v>55000</v>
      </c>
      <c r="N33" s="424">
        <v>50000</v>
      </c>
      <c r="O33" s="424">
        <v>85200</v>
      </c>
      <c r="P33" s="425">
        <f t="shared" si="12"/>
        <v>10</v>
      </c>
      <c r="Q33" s="422">
        <f t="shared" si="13"/>
        <v>4</v>
      </c>
      <c r="R33" s="426" t="str">
        <f t="shared" si="14"/>
        <v>Acueducto Bogotá</v>
      </c>
      <c r="S33" s="424">
        <f t="shared" si="15"/>
        <v>42537</v>
      </c>
      <c r="T33" s="426" t="str">
        <f t="shared" si="16"/>
        <v>Javeriana</v>
      </c>
      <c r="U33" s="424">
        <f t="shared" si="17"/>
        <v>137000</v>
      </c>
      <c r="V33" s="427">
        <f t="shared" si="18"/>
        <v>77600</v>
      </c>
      <c r="W33" s="427">
        <f t="shared" si="19"/>
        <v>77600</v>
      </c>
      <c r="X33" s="424">
        <f t="shared" si="0"/>
        <v>5276800</v>
      </c>
      <c r="Y33" s="430">
        <f t="shared" si="20"/>
        <v>0</v>
      </c>
      <c r="Z33" s="421" t="str">
        <f t="shared" si="21"/>
        <v>Revisión por dispersión</v>
      </c>
      <c r="AA33" s="421" t="str">
        <f t="shared" si="1"/>
        <v>Validación técnica y segunda ronda</v>
      </c>
      <c r="AB33" s="421" t="str">
        <f t="shared" si="2"/>
        <v>Diferencia entre máximo y mínimo superior al 30% de la mediana; no excluir atípicos sin justificación.</v>
      </c>
      <c r="AC33" s="428">
        <f t="shared" si="22"/>
        <v>1.2173067010309278</v>
      </c>
      <c r="AD33" s="428">
        <f t="shared" si="23"/>
        <v>0.44671361522281827</v>
      </c>
      <c r="AE33" s="426" t="str">
        <f t="shared" si="24"/>
        <v>Alta</v>
      </c>
      <c r="AF33" s="426" t="str">
        <f t="shared" si="3"/>
        <v>Sí</v>
      </c>
      <c r="AG33" s="426" t="str">
        <f t="shared" si="4"/>
        <v>Mediana referencial sujeta a validación</v>
      </c>
      <c r="AH33" s="426" t="str">
        <f t="shared" si="25"/>
        <v>Sí</v>
      </c>
      <c r="AI33" s="426">
        <f t="shared" si="26"/>
        <v>8</v>
      </c>
      <c r="AJ33" s="424">
        <f t="shared" si="27"/>
        <v>44000</v>
      </c>
      <c r="AK33" s="424">
        <f t="shared" si="28"/>
        <v>135700</v>
      </c>
      <c r="AL33" s="427">
        <f t="shared" si="29"/>
        <v>82020</v>
      </c>
      <c r="AM33" s="424">
        <f t="shared" si="30"/>
        <v>5577360</v>
      </c>
      <c r="AN33" s="428">
        <f t="shared" si="31"/>
        <v>5.6958762886597937E-2</v>
      </c>
      <c r="AO33" s="428">
        <f t="shared" si="32"/>
        <v>1.1180199951231407</v>
      </c>
      <c r="AP33" s="426" t="str">
        <f t="shared" si="5"/>
        <v>Alta</v>
      </c>
      <c r="AQ33" s="421" t="str">
        <f t="shared" si="6"/>
        <v>Revisión complementaria</v>
      </c>
      <c r="AR33" s="421" t="str">
        <f t="shared" si="7"/>
        <v>Aun sin extremos persiste dispersión relevante; validar alcance técnico.</v>
      </c>
      <c r="AS33" s="421" t="str">
        <f t="shared" si="8"/>
        <v>Promedio depurado sin extremos</v>
      </c>
      <c r="AT33" s="429">
        <f t="shared" si="33"/>
        <v>82020</v>
      </c>
      <c r="AU33" s="421" t="str">
        <f t="shared" si="9"/>
        <v>Definido con depuración</v>
      </c>
      <c r="AV33" s="421" t="str">
        <f t="shared" si="10"/>
        <v>Mantener valor final y dejar nota de dispersión residual</v>
      </c>
      <c r="AW33" s="421" t="str">
        <f t="shared" si="11"/>
        <v>Por alta dispersión se depura un mínimo y un máximo y se adopta el promedio interior.</v>
      </c>
    </row>
    <row r="34" spans="1:49" ht="15" customHeight="1" x14ac:dyDescent="0.35">
      <c r="A34" s="421" t="s">
        <v>467</v>
      </c>
      <c r="B34" s="422">
        <v>26</v>
      </c>
      <c r="C34" s="433" t="s">
        <v>448</v>
      </c>
      <c r="D34" s="433" t="s">
        <v>632</v>
      </c>
      <c r="E34" s="423">
        <v>68</v>
      </c>
      <c r="F34" s="424">
        <v>103000</v>
      </c>
      <c r="G34" s="424">
        <v>40800</v>
      </c>
      <c r="H34" s="424">
        <v>30000</v>
      </c>
      <c r="I34" s="424">
        <v>127400</v>
      </c>
      <c r="J34" s="424"/>
      <c r="K34" s="424">
        <v>80474</v>
      </c>
      <c r="L34" s="424">
        <v>90619</v>
      </c>
      <c r="M34" s="424">
        <v>50000</v>
      </c>
      <c r="N34" s="424"/>
      <c r="O34" s="424"/>
      <c r="P34" s="425">
        <f t="shared" si="12"/>
        <v>7</v>
      </c>
      <c r="Q34" s="422">
        <f t="shared" si="13"/>
        <v>4</v>
      </c>
      <c r="R34" s="426" t="str">
        <f t="shared" si="14"/>
        <v>CIMA</v>
      </c>
      <c r="S34" s="424">
        <f t="shared" si="15"/>
        <v>30000</v>
      </c>
      <c r="T34" s="426" t="str">
        <f t="shared" si="16"/>
        <v>SGI</v>
      </c>
      <c r="U34" s="424">
        <f t="shared" si="17"/>
        <v>127400</v>
      </c>
      <c r="V34" s="427">
        <f t="shared" si="18"/>
        <v>80474</v>
      </c>
      <c r="W34" s="427">
        <f t="shared" si="19"/>
        <v>80474</v>
      </c>
      <c r="X34" s="424">
        <f t="shared" si="0"/>
        <v>5472232</v>
      </c>
      <c r="Y34" s="430">
        <f t="shared" si="20"/>
        <v>0</v>
      </c>
      <c r="Z34" s="421" t="str">
        <f t="shared" si="21"/>
        <v>Revisión por dispersión</v>
      </c>
      <c r="AA34" s="421" t="str">
        <f t="shared" si="1"/>
        <v>Validación técnica y segunda ronda</v>
      </c>
      <c r="AB34" s="421" t="str">
        <f t="shared" si="2"/>
        <v>Diferencia entre máximo y mínimo superior al 30% de la mediana; no excluir atípicos sin justificación.</v>
      </c>
      <c r="AC34" s="428">
        <f t="shared" si="22"/>
        <v>1.2103288018490443</v>
      </c>
      <c r="AD34" s="428">
        <f t="shared" si="23"/>
        <v>0.47769467745569949</v>
      </c>
      <c r="AE34" s="426" t="str">
        <f t="shared" si="24"/>
        <v>Alta</v>
      </c>
      <c r="AF34" s="426" t="str">
        <f t="shared" si="3"/>
        <v>Sí</v>
      </c>
      <c r="AG34" s="426" t="str">
        <f t="shared" si="4"/>
        <v>Mediana referencial sujeta a validación</v>
      </c>
      <c r="AH34" s="426" t="str">
        <f t="shared" si="25"/>
        <v>Sí</v>
      </c>
      <c r="AI34" s="426">
        <f t="shared" si="26"/>
        <v>5</v>
      </c>
      <c r="AJ34" s="424">
        <f t="shared" si="27"/>
        <v>40800</v>
      </c>
      <c r="AK34" s="424">
        <f t="shared" si="28"/>
        <v>103000</v>
      </c>
      <c r="AL34" s="427">
        <f t="shared" si="29"/>
        <v>72979</v>
      </c>
      <c r="AM34" s="424">
        <f t="shared" si="30"/>
        <v>4962572</v>
      </c>
      <c r="AN34" s="428">
        <f t="shared" si="31"/>
        <v>-9.3135671148445467E-2</v>
      </c>
      <c r="AO34" s="428">
        <f t="shared" si="32"/>
        <v>0.85229997670562763</v>
      </c>
      <c r="AP34" s="426" t="str">
        <f t="shared" si="5"/>
        <v>Alta</v>
      </c>
      <c r="AQ34" s="421" t="str">
        <f t="shared" si="6"/>
        <v>Revisión complementaria</v>
      </c>
      <c r="AR34" s="421" t="str">
        <f t="shared" si="7"/>
        <v>Aun sin extremos persiste dispersión relevante; validar alcance técnico.</v>
      </c>
      <c r="AS34" s="421" t="str">
        <f t="shared" si="8"/>
        <v>Promedio depurado sin extremos</v>
      </c>
      <c r="AT34" s="429">
        <f t="shared" si="33"/>
        <v>72979</v>
      </c>
      <c r="AU34" s="421" t="str">
        <f t="shared" si="9"/>
        <v>Definido con depuración</v>
      </c>
      <c r="AV34" s="421" t="str">
        <f t="shared" si="10"/>
        <v>Mantener valor final y dejar nota de dispersión residual</v>
      </c>
      <c r="AW34" s="421" t="str">
        <f t="shared" si="11"/>
        <v>Por alta dispersión se depura un mínimo y un máximo y se adopta el promedio interior.</v>
      </c>
    </row>
    <row r="35" spans="1:49" ht="15" customHeight="1" x14ac:dyDescent="0.35">
      <c r="A35" s="421" t="s">
        <v>467</v>
      </c>
      <c r="B35" s="422">
        <v>27</v>
      </c>
      <c r="C35" s="433" t="s">
        <v>251</v>
      </c>
      <c r="D35" s="433" t="s">
        <v>632</v>
      </c>
      <c r="E35" s="423">
        <v>68</v>
      </c>
      <c r="F35" s="424">
        <v>110000</v>
      </c>
      <c r="G35" s="424">
        <v>38500</v>
      </c>
      <c r="H35" s="424">
        <v>30000</v>
      </c>
      <c r="I35" s="424">
        <v>135700</v>
      </c>
      <c r="J35" s="424"/>
      <c r="K35" s="424">
        <v>54033</v>
      </c>
      <c r="L35" s="424">
        <v>94261</v>
      </c>
      <c r="M35" s="424"/>
      <c r="N35" s="424">
        <v>36300</v>
      </c>
      <c r="O35" s="424">
        <v>73540</v>
      </c>
      <c r="P35" s="425">
        <f t="shared" si="12"/>
        <v>8</v>
      </c>
      <c r="Q35" s="422">
        <f t="shared" si="13"/>
        <v>4</v>
      </c>
      <c r="R35" s="426" t="str">
        <f t="shared" si="14"/>
        <v>CIMA</v>
      </c>
      <c r="S35" s="424">
        <f t="shared" si="15"/>
        <v>30000</v>
      </c>
      <c r="T35" s="426" t="str">
        <f t="shared" si="16"/>
        <v>SGI</v>
      </c>
      <c r="U35" s="424">
        <f t="shared" si="17"/>
        <v>135700</v>
      </c>
      <c r="V35" s="427">
        <f t="shared" si="18"/>
        <v>63787</v>
      </c>
      <c r="W35" s="427">
        <f t="shared" si="19"/>
        <v>63787</v>
      </c>
      <c r="X35" s="424">
        <f t="shared" si="0"/>
        <v>4337516</v>
      </c>
      <c r="Y35" s="430">
        <f t="shared" si="20"/>
        <v>0</v>
      </c>
      <c r="Z35" s="421" t="str">
        <f t="shared" si="21"/>
        <v>Revisión por dispersión</v>
      </c>
      <c r="AA35" s="421" t="str">
        <f t="shared" si="1"/>
        <v>Validación técnica y segunda ronda</v>
      </c>
      <c r="AB35" s="421" t="str">
        <f t="shared" si="2"/>
        <v>Diferencia entre máximo y mínimo superior al 30% de la mediana; no excluir atípicos sin justificación.</v>
      </c>
      <c r="AC35" s="428">
        <f t="shared" si="22"/>
        <v>1.6570774609246399</v>
      </c>
      <c r="AD35" s="428">
        <f t="shared" si="23"/>
        <v>0.54088242230735306</v>
      </c>
      <c r="AE35" s="426" t="str">
        <f t="shared" si="24"/>
        <v>Alta</v>
      </c>
      <c r="AF35" s="426" t="str">
        <f t="shared" si="3"/>
        <v>Sí</v>
      </c>
      <c r="AG35" s="426" t="str">
        <f t="shared" si="4"/>
        <v>Mediana referencial sujeta a validación</v>
      </c>
      <c r="AH35" s="426" t="str">
        <f t="shared" si="25"/>
        <v>Sí</v>
      </c>
      <c r="AI35" s="426">
        <f t="shared" si="26"/>
        <v>6</v>
      </c>
      <c r="AJ35" s="424">
        <f t="shared" si="27"/>
        <v>36300</v>
      </c>
      <c r="AK35" s="424">
        <f t="shared" si="28"/>
        <v>110000</v>
      </c>
      <c r="AL35" s="427">
        <f t="shared" si="29"/>
        <v>67772</v>
      </c>
      <c r="AM35" s="424">
        <f t="shared" si="30"/>
        <v>4608496</v>
      </c>
      <c r="AN35" s="428">
        <f t="shared" si="31"/>
        <v>6.2473544766174928E-2</v>
      </c>
      <c r="AO35" s="428">
        <f t="shared" si="32"/>
        <v>1.0874697515198017</v>
      </c>
      <c r="AP35" s="426" t="str">
        <f t="shared" si="5"/>
        <v>Alta</v>
      </c>
      <c r="AQ35" s="421" t="str">
        <f t="shared" si="6"/>
        <v>Revisión complementaria</v>
      </c>
      <c r="AR35" s="421" t="str">
        <f t="shared" si="7"/>
        <v>Aun sin extremos persiste dispersión relevante; validar alcance técnico.</v>
      </c>
      <c r="AS35" s="421" t="str">
        <f t="shared" si="8"/>
        <v>Promedio depurado sin extremos</v>
      </c>
      <c r="AT35" s="429">
        <f t="shared" si="33"/>
        <v>67772</v>
      </c>
      <c r="AU35" s="421" t="str">
        <f t="shared" si="9"/>
        <v>Definido con depuración</v>
      </c>
      <c r="AV35" s="421" t="str">
        <f t="shared" si="10"/>
        <v>Mantener valor final y dejar nota de dispersión residual</v>
      </c>
      <c r="AW35" s="421" t="str">
        <f t="shared" si="11"/>
        <v>Por alta dispersión se depura un mínimo y un máximo y se adopta el promedio interior.</v>
      </c>
    </row>
    <row r="36" spans="1:49" ht="15" customHeight="1" x14ac:dyDescent="0.35">
      <c r="A36" s="421" t="s">
        <v>467</v>
      </c>
      <c r="B36" s="422">
        <v>28</v>
      </c>
      <c r="C36" s="433" t="s">
        <v>252</v>
      </c>
      <c r="D36" s="433" t="s">
        <v>632</v>
      </c>
      <c r="E36" s="423">
        <v>68</v>
      </c>
      <c r="F36" s="424">
        <v>163000</v>
      </c>
      <c r="G36" s="424">
        <v>244300</v>
      </c>
      <c r="H36" s="424">
        <v>57000</v>
      </c>
      <c r="I36" s="424">
        <v>244300</v>
      </c>
      <c r="J36" s="424">
        <v>144000</v>
      </c>
      <c r="K36" s="424">
        <v>457551</v>
      </c>
      <c r="L36" s="424">
        <v>109969</v>
      </c>
      <c r="M36" s="424"/>
      <c r="N36" s="424"/>
      <c r="O36" s="424">
        <v>123440</v>
      </c>
      <c r="P36" s="425">
        <f t="shared" si="12"/>
        <v>8</v>
      </c>
      <c r="Q36" s="422">
        <f t="shared" si="13"/>
        <v>4</v>
      </c>
      <c r="R36" s="426" t="str">
        <f t="shared" si="14"/>
        <v>CIMA</v>
      </c>
      <c r="S36" s="424">
        <f t="shared" si="15"/>
        <v>57000</v>
      </c>
      <c r="T36" s="426" t="str">
        <f t="shared" si="16"/>
        <v>Acueducto Bogotá</v>
      </c>
      <c r="U36" s="424">
        <f t="shared" si="17"/>
        <v>457551</v>
      </c>
      <c r="V36" s="427">
        <f t="shared" si="18"/>
        <v>153500</v>
      </c>
      <c r="W36" s="427">
        <f t="shared" si="19"/>
        <v>153500</v>
      </c>
      <c r="X36" s="424">
        <f t="shared" si="0"/>
        <v>10438000</v>
      </c>
      <c r="Y36" s="430">
        <f t="shared" si="20"/>
        <v>0</v>
      </c>
      <c r="Z36" s="421" t="str">
        <f t="shared" si="21"/>
        <v>Revisión por dispersión</v>
      </c>
      <c r="AA36" s="421" t="str">
        <f t="shared" si="1"/>
        <v>Validación técnica y segunda ronda</v>
      </c>
      <c r="AB36" s="421" t="str">
        <f t="shared" si="2"/>
        <v>Diferencia entre máximo y mínimo superior al 30% de la mediana; no excluir atípicos sin justificación.</v>
      </c>
      <c r="AC36" s="428">
        <f t="shared" si="22"/>
        <v>2.6094527687296418</v>
      </c>
      <c r="AD36" s="428">
        <f t="shared" si="23"/>
        <v>0.64608942577693518</v>
      </c>
      <c r="AE36" s="426" t="str">
        <f t="shared" si="24"/>
        <v>Alta</v>
      </c>
      <c r="AF36" s="426" t="str">
        <f t="shared" si="3"/>
        <v>Sí</v>
      </c>
      <c r="AG36" s="426" t="str">
        <f t="shared" si="4"/>
        <v>Mediana referencial sujeta a validación</v>
      </c>
      <c r="AH36" s="426" t="str">
        <f t="shared" si="25"/>
        <v>Sí</v>
      </c>
      <c r="AI36" s="426">
        <f t="shared" si="26"/>
        <v>6</v>
      </c>
      <c r="AJ36" s="424">
        <f t="shared" si="27"/>
        <v>109969</v>
      </c>
      <c r="AK36" s="424">
        <f t="shared" si="28"/>
        <v>244300</v>
      </c>
      <c r="AL36" s="427">
        <f t="shared" si="29"/>
        <v>171502</v>
      </c>
      <c r="AM36" s="424">
        <f t="shared" si="30"/>
        <v>11662136</v>
      </c>
      <c r="AN36" s="428">
        <f t="shared" si="31"/>
        <v>0.11727687296416939</v>
      </c>
      <c r="AO36" s="428">
        <f t="shared" si="32"/>
        <v>0.78326200277547786</v>
      </c>
      <c r="AP36" s="426" t="str">
        <f t="shared" si="5"/>
        <v>Alta</v>
      </c>
      <c r="AQ36" s="421" t="str">
        <f t="shared" si="6"/>
        <v>Revisión complementaria</v>
      </c>
      <c r="AR36" s="421" t="str">
        <f t="shared" si="7"/>
        <v>Aun sin extremos persiste dispersión relevante; validar alcance técnico.</v>
      </c>
      <c r="AS36" s="421" t="str">
        <f t="shared" si="8"/>
        <v>Promedio depurado sin extremos</v>
      </c>
      <c r="AT36" s="429">
        <f t="shared" si="33"/>
        <v>171502</v>
      </c>
      <c r="AU36" s="421" t="str">
        <f t="shared" si="9"/>
        <v>Definido con depuración</v>
      </c>
      <c r="AV36" s="421" t="str">
        <f t="shared" si="10"/>
        <v>Mantener valor final y dejar nota de dispersión residual</v>
      </c>
      <c r="AW36" s="421" t="str">
        <f t="shared" si="11"/>
        <v>Por alta dispersión se depura un mínimo y un máximo y se adopta el promedio interior.</v>
      </c>
    </row>
    <row r="37" spans="1:49" ht="15" customHeight="1" x14ac:dyDescent="0.35">
      <c r="A37" s="421" t="s">
        <v>467</v>
      </c>
      <c r="B37" s="422">
        <v>29</v>
      </c>
      <c r="C37" s="435" t="s">
        <v>449</v>
      </c>
      <c r="D37" s="435" t="s">
        <v>633</v>
      </c>
      <c r="E37" s="423">
        <v>68</v>
      </c>
      <c r="F37" s="424">
        <v>109000</v>
      </c>
      <c r="G37" s="424">
        <v>42000</v>
      </c>
      <c r="H37" s="424">
        <v>24000</v>
      </c>
      <c r="I37" s="424">
        <v>114500</v>
      </c>
      <c r="J37" s="424"/>
      <c r="K37" s="424">
        <v>65529</v>
      </c>
      <c r="L37" s="424"/>
      <c r="M37" s="424"/>
      <c r="N37" s="424">
        <v>30900</v>
      </c>
      <c r="O37" s="424">
        <v>39980</v>
      </c>
      <c r="P37" s="425">
        <f t="shared" si="12"/>
        <v>7</v>
      </c>
      <c r="Q37" s="422">
        <f t="shared" si="13"/>
        <v>4</v>
      </c>
      <c r="R37" s="426" t="str">
        <f t="shared" si="14"/>
        <v>CIMA</v>
      </c>
      <c r="S37" s="424">
        <f t="shared" si="15"/>
        <v>24000</v>
      </c>
      <c r="T37" s="426" t="str">
        <f t="shared" si="16"/>
        <v>SGI</v>
      </c>
      <c r="U37" s="424">
        <f t="shared" si="17"/>
        <v>114500</v>
      </c>
      <c r="V37" s="427">
        <f t="shared" si="18"/>
        <v>42000</v>
      </c>
      <c r="W37" s="427">
        <f t="shared" si="19"/>
        <v>42000</v>
      </c>
      <c r="X37" s="424">
        <f t="shared" si="0"/>
        <v>2856000</v>
      </c>
      <c r="Y37" s="430">
        <f t="shared" si="20"/>
        <v>0</v>
      </c>
      <c r="Z37" s="421" t="str">
        <f t="shared" si="21"/>
        <v>Revisión por dispersión</v>
      </c>
      <c r="AA37" s="421" t="str">
        <f t="shared" si="1"/>
        <v>Validación técnica y segunda ronda</v>
      </c>
      <c r="AB37" s="421" t="str">
        <f t="shared" si="2"/>
        <v>Diferencia entre máximo y mínimo superior al 30% de la mediana; no excluir atípicos sin justificación.</v>
      </c>
      <c r="AC37" s="428">
        <f t="shared" si="22"/>
        <v>2.1547619047619047</v>
      </c>
      <c r="AD37" s="428">
        <f t="shared" si="23"/>
        <v>0.60997547066273872</v>
      </c>
      <c r="AE37" s="426" t="str">
        <f t="shared" si="24"/>
        <v>Alta</v>
      </c>
      <c r="AF37" s="426" t="str">
        <f t="shared" si="3"/>
        <v>Sí</v>
      </c>
      <c r="AG37" s="426" t="str">
        <f t="shared" si="4"/>
        <v>Mediana referencial sujeta a validación</v>
      </c>
      <c r="AH37" s="426" t="str">
        <f t="shared" si="25"/>
        <v>Sí</v>
      </c>
      <c r="AI37" s="426">
        <f t="shared" si="26"/>
        <v>5</v>
      </c>
      <c r="AJ37" s="424">
        <f t="shared" si="27"/>
        <v>30900</v>
      </c>
      <c r="AK37" s="424">
        <f t="shared" si="28"/>
        <v>109000</v>
      </c>
      <c r="AL37" s="427">
        <f t="shared" si="29"/>
        <v>57482</v>
      </c>
      <c r="AM37" s="424">
        <f t="shared" si="30"/>
        <v>3908776</v>
      </c>
      <c r="AN37" s="428">
        <f t="shared" si="31"/>
        <v>0.36861904761904762</v>
      </c>
      <c r="AO37" s="428">
        <f t="shared" si="32"/>
        <v>1.3586861974183222</v>
      </c>
      <c r="AP37" s="426" t="str">
        <f t="shared" si="5"/>
        <v>Alta</v>
      </c>
      <c r="AQ37" s="421" t="str">
        <f t="shared" si="6"/>
        <v>Revisión complementaria</v>
      </c>
      <c r="AR37" s="421" t="str">
        <f t="shared" si="7"/>
        <v>Aun sin extremos persiste dispersión relevante; validar alcance técnico.</v>
      </c>
      <c r="AS37" s="421" t="str">
        <f t="shared" si="8"/>
        <v>Promedio depurado sin extremos</v>
      </c>
      <c r="AT37" s="429">
        <f t="shared" si="33"/>
        <v>57482</v>
      </c>
      <c r="AU37" s="421" t="str">
        <f t="shared" si="9"/>
        <v>Definido con depuración</v>
      </c>
      <c r="AV37" s="421" t="str">
        <f t="shared" si="10"/>
        <v>Mantener valor final y dejar nota de dispersión residual</v>
      </c>
      <c r="AW37" s="421" t="str">
        <f t="shared" si="11"/>
        <v>Por alta dispersión se depura un mínimo y un máximo y se adopta el promedio interior.</v>
      </c>
    </row>
    <row r="38" spans="1:49" ht="15" customHeight="1" x14ac:dyDescent="0.35">
      <c r="A38" s="421" t="s">
        <v>467</v>
      </c>
      <c r="B38" s="422">
        <v>30</v>
      </c>
      <c r="C38" s="435" t="s">
        <v>450</v>
      </c>
      <c r="D38" s="435" t="s">
        <v>632</v>
      </c>
      <c r="E38" s="423">
        <v>68</v>
      </c>
      <c r="F38" s="424">
        <v>109000</v>
      </c>
      <c r="G38" s="424">
        <v>31500</v>
      </c>
      <c r="H38" s="424">
        <v>24000</v>
      </c>
      <c r="I38" s="424">
        <v>87300</v>
      </c>
      <c r="J38" s="424">
        <v>155000</v>
      </c>
      <c r="K38" s="424">
        <v>65529</v>
      </c>
      <c r="L38" s="424"/>
      <c r="M38" s="424"/>
      <c r="N38" s="424">
        <v>35600</v>
      </c>
      <c r="O38" s="424">
        <v>39980</v>
      </c>
      <c r="P38" s="425">
        <f t="shared" si="12"/>
        <v>8</v>
      </c>
      <c r="Q38" s="422">
        <f t="shared" si="13"/>
        <v>4</v>
      </c>
      <c r="R38" s="426" t="str">
        <f t="shared" si="14"/>
        <v>CIMA</v>
      </c>
      <c r="S38" s="424">
        <f t="shared" si="15"/>
        <v>24000</v>
      </c>
      <c r="T38" s="426" t="str">
        <f t="shared" si="16"/>
        <v>Javeriana</v>
      </c>
      <c r="U38" s="424">
        <f t="shared" si="17"/>
        <v>155000</v>
      </c>
      <c r="V38" s="427">
        <f t="shared" si="18"/>
        <v>52755</v>
      </c>
      <c r="W38" s="427">
        <f t="shared" si="19"/>
        <v>52755</v>
      </c>
      <c r="X38" s="424">
        <f t="shared" si="0"/>
        <v>3587340</v>
      </c>
      <c r="Y38" s="430">
        <f t="shared" si="20"/>
        <v>0</v>
      </c>
      <c r="Z38" s="421" t="str">
        <f t="shared" si="21"/>
        <v>Revisión por dispersión</v>
      </c>
      <c r="AA38" s="421" t="str">
        <f t="shared" si="1"/>
        <v>Validación técnica y segunda ronda</v>
      </c>
      <c r="AB38" s="421" t="str">
        <f t="shared" si="2"/>
        <v>Diferencia entre máximo y mínimo superior al 30% de la mediana; no excluir atípicos sin justificación.</v>
      </c>
      <c r="AC38" s="428">
        <f t="shared" si="22"/>
        <v>2.4831769500521279</v>
      </c>
      <c r="AD38" s="428">
        <f t="shared" si="23"/>
        <v>0.66977849101129328</v>
      </c>
      <c r="AE38" s="426" t="str">
        <f t="shared" si="24"/>
        <v>Alta</v>
      </c>
      <c r="AF38" s="426" t="str">
        <f t="shared" si="3"/>
        <v>Sí</v>
      </c>
      <c r="AG38" s="426" t="str">
        <f t="shared" si="4"/>
        <v>Mediana referencial sujeta a validación</v>
      </c>
      <c r="AH38" s="426" t="str">
        <f t="shared" si="25"/>
        <v>Sí</v>
      </c>
      <c r="AI38" s="426">
        <f t="shared" si="26"/>
        <v>6</v>
      </c>
      <c r="AJ38" s="424">
        <f t="shared" si="27"/>
        <v>31500</v>
      </c>
      <c r="AK38" s="424">
        <f t="shared" si="28"/>
        <v>109000</v>
      </c>
      <c r="AL38" s="427">
        <f t="shared" si="29"/>
        <v>61485</v>
      </c>
      <c r="AM38" s="424">
        <f t="shared" si="30"/>
        <v>4180980</v>
      </c>
      <c r="AN38" s="428">
        <f t="shared" si="31"/>
        <v>0.16548194483935172</v>
      </c>
      <c r="AO38" s="428">
        <f t="shared" si="32"/>
        <v>1.2604700333414653</v>
      </c>
      <c r="AP38" s="426" t="str">
        <f t="shared" si="5"/>
        <v>Alta</v>
      </c>
      <c r="AQ38" s="421" t="str">
        <f t="shared" si="6"/>
        <v>Revisión complementaria</v>
      </c>
      <c r="AR38" s="421" t="str">
        <f t="shared" si="7"/>
        <v>Aun sin extremos persiste dispersión relevante; validar alcance técnico.</v>
      </c>
      <c r="AS38" s="421" t="str">
        <f t="shared" si="8"/>
        <v>Promedio depurado sin extremos</v>
      </c>
      <c r="AT38" s="429">
        <f t="shared" si="33"/>
        <v>61485</v>
      </c>
      <c r="AU38" s="421" t="str">
        <f t="shared" si="9"/>
        <v>Definido con depuración</v>
      </c>
      <c r="AV38" s="421" t="str">
        <f t="shared" si="10"/>
        <v>Mantener valor final y dejar nota de dispersión residual</v>
      </c>
      <c r="AW38" s="421" t="str">
        <f t="shared" si="11"/>
        <v>Por alta dispersión se depura un mínimo y un máximo y se adopta el promedio interior.</v>
      </c>
    </row>
    <row r="39" spans="1:49" ht="15" customHeight="1" x14ac:dyDescent="0.35">
      <c r="A39" s="421" t="s">
        <v>467</v>
      </c>
      <c r="B39" s="422">
        <v>31</v>
      </c>
      <c r="C39" s="435" t="s">
        <v>451</v>
      </c>
      <c r="D39" s="435" t="s">
        <v>632</v>
      </c>
      <c r="E39" s="423">
        <v>68</v>
      </c>
      <c r="F39" s="424">
        <v>82000</v>
      </c>
      <c r="G39" s="424">
        <v>44300</v>
      </c>
      <c r="H39" s="424">
        <v>24000</v>
      </c>
      <c r="I39" s="424">
        <v>94400</v>
      </c>
      <c r="J39" s="424">
        <v>101000</v>
      </c>
      <c r="K39" s="424">
        <v>65529</v>
      </c>
      <c r="L39" s="424">
        <v>71560</v>
      </c>
      <c r="M39" s="424"/>
      <c r="N39" s="424">
        <v>28900</v>
      </c>
      <c r="O39" s="424">
        <v>39980</v>
      </c>
      <c r="P39" s="425">
        <f t="shared" si="12"/>
        <v>9</v>
      </c>
      <c r="Q39" s="422">
        <f t="shared" si="13"/>
        <v>4</v>
      </c>
      <c r="R39" s="426" t="str">
        <f t="shared" si="14"/>
        <v>CIMA</v>
      </c>
      <c r="S39" s="424">
        <f t="shared" si="15"/>
        <v>24000</v>
      </c>
      <c r="T39" s="426" t="str">
        <f t="shared" si="16"/>
        <v>Javeriana</v>
      </c>
      <c r="U39" s="424">
        <f t="shared" si="17"/>
        <v>101000</v>
      </c>
      <c r="V39" s="427">
        <f t="shared" si="18"/>
        <v>65529</v>
      </c>
      <c r="W39" s="427">
        <f t="shared" si="19"/>
        <v>65529</v>
      </c>
      <c r="X39" s="424">
        <f t="shared" si="0"/>
        <v>4455972</v>
      </c>
      <c r="Y39" s="430">
        <f t="shared" si="20"/>
        <v>0</v>
      </c>
      <c r="Z39" s="421" t="str">
        <f t="shared" si="21"/>
        <v>Revisión por dispersión</v>
      </c>
      <c r="AA39" s="421" t="str">
        <f t="shared" si="1"/>
        <v>Validación técnica y segunda ronda</v>
      </c>
      <c r="AB39" s="421" t="str">
        <f t="shared" si="2"/>
        <v>Diferencia entre máximo y mínimo superior al 30% de la mediana; no excluir atípicos sin justificación.</v>
      </c>
      <c r="AC39" s="428">
        <f t="shared" si="22"/>
        <v>1.1750522669352501</v>
      </c>
      <c r="AD39" s="428">
        <f t="shared" si="23"/>
        <v>0.46171922920711811</v>
      </c>
      <c r="AE39" s="426" t="str">
        <f t="shared" si="24"/>
        <v>Alta</v>
      </c>
      <c r="AF39" s="426" t="str">
        <f t="shared" si="3"/>
        <v>Sí</v>
      </c>
      <c r="AG39" s="426" t="str">
        <f t="shared" si="4"/>
        <v>Mediana referencial sujeta a validación</v>
      </c>
      <c r="AH39" s="426" t="str">
        <f t="shared" si="25"/>
        <v>Sí</v>
      </c>
      <c r="AI39" s="426">
        <f t="shared" si="26"/>
        <v>7</v>
      </c>
      <c r="AJ39" s="424">
        <f t="shared" si="27"/>
        <v>28900</v>
      </c>
      <c r="AK39" s="424">
        <f t="shared" si="28"/>
        <v>94400</v>
      </c>
      <c r="AL39" s="427">
        <f t="shared" si="29"/>
        <v>60953</v>
      </c>
      <c r="AM39" s="424">
        <f t="shared" si="30"/>
        <v>4144804</v>
      </c>
      <c r="AN39" s="428">
        <f t="shared" si="31"/>
        <v>-6.9831677577866291E-2</v>
      </c>
      <c r="AO39" s="428">
        <f t="shared" si="32"/>
        <v>1.0745984611093793</v>
      </c>
      <c r="AP39" s="426" t="str">
        <f t="shared" si="5"/>
        <v>Alta</v>
      </c>
      <c r="AQ39" s="421" t="str">
        <f t="shared" si="6"/>
        <v>Revisión complementaria</v>
      </c>
      <c r="AR39" s="421" t="str">
        <f t="shared" si="7"/>
        <v>Aun sin extremos persiste dispersión relevante; validar alcance técnico.</v>
      </c>
      <c r="AS39" s="421" t="str">
        <f t="shared" si="8"/>
        <v>Promedio depurado sin extremos</v>
      </c>
      <c r="AT39" s="429">
        <f t="shared" si="33"/>
        <v>60953</v>
      </c>
      <c r="AU39" s="421" t="str">
        <f t="shared" si="9"/>
        <v>Definido con depuración</v>
      </c>
      <c r="AV39" s="421" t="str">
        <f t="shared" si="10"/>
        <v>Mantener valor final y dejar nota de dispersión residual</v>
      </c>
      <c r="AW39" s="421" t="str">
        <f t="shared" si="11"/>
        <v>Por alta dispersión se depura un mínimo y un máximo y se adopta el promedio interior.</v>
      </c>
    </row>
    <row r="40" spans="1:49" ht="15" customHeight="1" x14ac:dyDescent="0.35">
      <c r="A40" s="421" t="s">
        <v>467</v>
      </c>
      <c r="B40" s="422">
        <v>32</v>
      </c>
      <c r="C40" s="435" t="s">
        <v>452</v>
      </c>
      <c r="D40" s="435" t="s">
        <v>632</v>
      </c>
      <c r="E40" s="423">
        <v>68</v>
      </c>
      <c r="F40" s="424">
        <v>82000</v>
      </c>
      <c r="G40" s="424">
        <v>31500</v>
      </c>
      <c r="H40" s="424">
        <v>24000</v>
      </c>
      <c r="I40" s="424">
        <v>129800</v>
      </c>
      <c r="J40" s="424">
        <v>101000</v>
      </c>
      <c r="K40" s="424">
        <v>65529</v>
      </c>
      <c r="L40" s="424">
        <v>71560</v>
      </c>
      <c r="M40" s="424"/>
      <c r="N40" s="424">
        <v>37100</v>
      </c>
      <c r="O40" s="424">
        <v>39980</v>
      </c>
      <c r="P40" s="425">
        <f t="shared" si="12"/>
        <v>9</v>
      </c>
      <c r="Q40" s="422">
        <f t="shared" si="13"/>
        <v>4</v>
      </c>
      <c r="R40" s="426" t="str">
        <f t="shared" si="14"/>
        <v>CIMA</v>
      </c>
      <c r="S40" s="424">
        <f t="shared" si="15"/>
        <v>24000</v>
      </c>
      <c r="T40" s="426" t="str">
        <f t="shared" si="16"/>
        <v>SGI</v>
      </c>
      <c r="U40" s="424">
        <f t="shared" si="17"/>
        <v>129800</v>
      </c>
      <c r="V40" s="427">
        <f t="shared" si="18"/>
        <v>65529</v>
      </c>
      <c r="W40" s="427">
        <f t="shared" si="19"/>
        <v>65529</v>
      </c>
      <c r="X40" s="424">
        <f t="shared" si="0"/>
        <v>4455972</v>
      </c>
      <c r="Y40" s="430">
        <f t="shared" si="20"/>
        <v>0</v>
      </c>
      <c r="Z40" s="421" t="str">
        <f t="shared" si="21"/>
        <v>Revisión por dispersión</v>
      </c>
      <c r="AA40" s="421" t="str">
        <f t="shared" si="1"/>
        <v>Validación técnica y segunda ronda</v>
      </c>
      <c r="AB40" s="421" t="str">
        <f t="shared" si="2"/>
        <v>Diferencia entre máximo y mínimo superior al 30% de la mediana; no excluir atípicos sin justificación.</v>
      </c>
      <c r="AC40" s="428">
        <f t="shared" si="22"/>
        <v>1.6145523356071358</v>
      </c>
      <c r="AD40" s="428">
        <f t="shared" si="23"/>
        <v>0.54722796730030676</v>
      </c>
      <c r="AE40" s="426" t="str">
        <f t="shared" si="24"/>
        <v>Alta</v>
      </c>
      <c r="AF40" s="426" t="str">
        <f t="shared" si="3"/>
        <v>Sí</v>
      </c>
      <c r="AG40" s="426" t="str">
        <f t="shared" si="4"/>
        <v>Mediana referencial sujeta a validación</v>
      </c>
      <c r="AH40" s="426" t="str">
        <f t="shared" si="25"/>
        <v>Sí</v>
      </c>
      <c r="AI40" s="426">
        <f t="shared" si="26"/>
        <v>7</v>
      </c>
      <c r="AJ40" s="424">
        <f t="shared" si="27"/>
        <v>31500</v>
      </c>
      <c r="AK40" s="424">
        <f t="shared" si="28"/>
        <v>101000</v>
      </c>
      <c r="AL40" s="427">
        <f t="shared" si="29"/>
        <v>61238</v>
      </c>
      <c r="AM40" s="424">
        <f t="shared" si="30"/>
        <v>4164184</v>
      </c>
      <c r="AN40" s="428">
        <f t="shared" si="31"/>
        <v>-6.5482458148300754E-2</v>
      </c>
      <c r="AO40" s="428">
        <f t="shared" si="32"/>
        <v>1.1349162284855809</v>
      </c>
      <c r="AP40" s="426" t="str">
        <f t="shared" si="5"/>
        <v>Alta</v>
      </c>
      <c r="AQ40" s="421" t="str">
        <f t="shared" si="6"/>
        <v>Revisión complementaria</v>
      </c>
      <c r="AR40" s="421" t="str">
        <f t="shared" si="7"/>
        <v>Aun sin extremos persiste dispersión relevante; validar alcance técnico.</v>
      </c>
      <c r="AS40" s="421" t="str">
        <f t="shared" si="8"/>
        <v>Promedio depurado sin extremos</v>
      </c>
      <c r="AT40" s="429">
        <f t="shared" si="33"/>
        <v>61238</v>
      </c>
      <c r="AU40" s="421" t="str">
        <f t="shared" si="9"/>
        <v>Definido con depuración</v>
      </c>
      <c r="AV40" s="421" t="str">
        <f t="shared" si="10"/>
        <v>Mantener valor final y dejar nota de dispersión residual</v>
      </c>
      <c r="AW40" s="421" t="str">
        <f t="shared" si="11"/>
        <v>Por alta dispersión se depura un mínimo y un máximo y se adopta el promedio interior.</v>
      </c>
    </row>
    <row r="41" spans="1:49" ht="15" customHeight="1" x14ac:dyDescent="0.35">
      <c r="A41" s="421" t="s">
        <v>467</v>
      </c>
      <c r="B41" s="422">
        <v>33</v>
      </c>
      <c r="C41" s="435" t="s">
        <v>453</v>
      </c>
      <c r="D41" s="435" t="s">
        <v>632</v>
      </c>
      <c r="E41" s="423">
        <v>68</v>
      </c>
      <c r="F41" s="424">
        <v>82000</v>
      </c>
      <c r="G41" s="424">
        <v>44300</v>
      </c>
      <c r="H41" s="424">
        <v>24000</v>
      </c>
      <c r="I41" s="424">
        <v>94400</v>
      </c>
      <c r="J41" s="424">
        <v>101000</v>
      </c>
      <c r="K41" s="424"/>
      <c r="L41" s="424">
        <v>71560</v>
      </c>
      <c r="M41" s="424"/>
      <c r="N41" s="424">
        <v>35600</v>
      </c>
      <c r="O41" s="424">
        <v>39980</v>
      </c>
      <c r="P41" s="425">
        <f t="shared" si="12"/>
        <v>8</v>
      </c>
      <c r="Q41" s="422">
        <f t="shared" si="13"/>
        <v>4</v>
      </c>
      <c r="R41" s="426" t="str">
        <f t="shared" si="14"/>
        <v>CIMA</v>
      </c>
      <c r="S41" s="424">
        <f t="shared" si="15"/>
        <v>24000</v>
      </c>
      <c r="T41" s="426" t="str">
        <f t="shared" si="16"/>
        <v>Javeriana</v>
      </c>
      <c r="U41" s="424">
        <f t="shared" si="17"/>
        <v>101000</v>
      </c>
      <c r="V41" s="427">
        <f t="shared" si="18"/>
        <v>57930</v>
      </c>
      <c r="W41" s="427">
        <f t="shared" si="19"/>
        <v>57930</v>
      </c>
      <c r="X41" s="424">
        <f t="shared" si="0"/>
        <v>3939240</v>
      </c>
      <c r="Y41" s="430">
        <f t="shared" si="20"/>
        <v>0</v>
      </c>
      <c r="Z41" s="421" t="str">
        <f t="shared" si="21"/>
        <v>Revisión por dispersión</v>
      </c>
      <c r="AA41" s="421" t="str">
        <f t="shared" si="1"/>
        <v>Validación técnica y segunda ronda</v>
      </c>
      <c r="AB41" s="421" t="str">
        <f t="shared" si="2"/>
        <v>Diferencia entre máximo y mínimo superior al 30% de la mediana; no excluir atípicos sin justificación.</v>
      </c>
      <c r="AC41" s="428">
        <f t="shared" si="22"/>
        <v>1.3291904022095633</v>
      </c>
      <c r="AD41" s="428">
        <f t="shared" si="23"/>
        <v>0.47523885287529</v>
      </c>
      <c r="AE41" s="426" t="str">
        <f t="shared" si="24"/>
        <v>Alta</v>
      </c>
      <c r="AF41" s="426" t="str">
        <f t="shared" si="3"/>
        <v>Sí</v>
      </c>
      <c r="AG41" s="426" t="str">
        <f t="shared" si="4"/>
        <v>Mediana referencial sujeta a validación</v>
      </c>
      <c r="AH41" s="426" t="str">
        <f t="shared" si="25"/>
        <v>Sí</v>
      </c>
      <c r="AI41" s="426">
        <f t="shared" si="26"/>
        <v>6</v>
      </c>
      <c r="AJ41" s="424">
        <f t="shared" si="27"/>
        <v>35600</v>
      </c>
      <c r="AK41" s="424">
        <f t="shared" si="28"/>
        <v>94400</v>
      </c>
      <c r="AL41" s="427">
        <f t="shared" si="29"/>
        <v>61307</v>
      </c>
      <c r="AM41" s="424">
        <f t="shared" si="30"/>
        <v>4168876</v>
      </c>
      <c r="AN41" s="428">
        <f t="shared" si="31"/>
        <v>5.8294493354047988E-2</v>
      </c>
      <c r="AO41" s="428">
        <f t="shared" si="32"/>
        <v>0.9591074428694929</v>
      </c>
      <c r="AP41" s="426" t="str">
        <f t="shared" si="5"/>
        <v>Alta</v>
      </c>
      <c r="AQ41" s="421" t="str">
        <f t="shared" si="6"/>
        <v>Revisión complementaria</v>
      </c>
      <c r="AR41" s="421" t="str">
        <f t="shared" si="7"/>
        <v>Aun sin extremos persiste dispersión relevante; validar alcance técnico.</v>
      </c>
      <c r="AS41" s="421" t="str">
        <f t="shared" si="8"/>
        <v>Promedio depurado sin extremos</v>
      </c>
      <c r="AT41" s="429">
        <f t="shared" si="33"/>
        <v>61307</v>
      </c>
      <c r="AU41" s="421" t="str">
        <f t="shared" si="9"/>
        <v>Definido con depuración</v>
      </c>
      <c r="AV41" s="421" t="str">
        <f t="shared" si="10"/>
        <v>Mantener valor final y dejar nota de dispersión residual</v>
      </c>
      <c r="AW41" s="421" t="str">
        <f t="shared" si="11"/>
        <v>Por alta dispersión se depura un mínimo y un máximo y se adopta el promedio interior.</v>
      </c>
    </row>
    <row r="42" spans="1:49" ht="15" customHeight="1" x14ac:dyDescent="0.35">
      <c r="A42" s="421" t="s">
        <v>467</v>
      </c>
      <c r="B42" s="422">
        <v>34</v>
      </c>
      <c r="C42" s="435" t="s">
        <v>454</v>
      </c>
      <c r="D42" s="435" t="s">
        <v>632</v>
      </c>
      <c r="E42" s="423">
        <v>68</v>
      </c>
      <c r="F42" s="424">
        <v>82000</v>
      </c>
      <c r="G42" s="424">
        <v>31500</v>
      </c>
      <c r="H42" s="424">
        <v>24000</v>
      </c>
      <c r="I42" s="424">
        <v>101500</v>
      </c>
      <c r="J42" s="424">
        <v>155000</v>
      </c>
      <c r="K42" s="424">
        <v>65529</v>
      </c>
      <c r="L42" s="424">
        <v>71560</v>
      </c>
      <c r="M42" s="424"/>
      <c r="N42" s="424"/>
      <c r="O42" s="424">
        <v>39980</v>
      </c>
      <c r="P42" s="425">
        <f t="shared" si="12"/>
        <v>8</v>
      </c>
      <c r="Q42" s="422">
        <f t="shared" si="13"/>
        <v>4</v>
      </c>
      <c r="R42" s="426" t="str">
        <f t="shared" si="14"/>
        <v>CIMA</v>
      </c>
      <c r="S42" s="424">
        <f t="shared" si="15"/>
        <v>24000</v>
      </c>
      <c r="T42" s="426" t="str">
        <f t="shared" si="16"/>
        <v>Javeriana</v>
      </c>
      <c r="U42" s="424">
        <f t="shared" si="17"/>
        <v>155000</v>
      </c>
      <c r="V42" s="427">
        <f t="shared" si="18"/>
        <v>68545</v>
      </c>
      <c r="W42" s="427">
        <f t="shared" si="19"/>
        <v>68545</v>
      </c>
      <c r="X42" s="424">
        <f t="shared" si="0"/>
        <v>4661060</v>
      </c>
      <c r="Y42" s="430">
        <f t="shared" si="20"/>
        <v>0</v>
      </c>
      <c r="Z42" s="421" t="str">
        <f t="shared" si="21"/>
        <v>Revisión por dispersión</v>
      </c>
      <c r="AA42" s="421" t="str">
        <f t="shared" si="1"/>
        <v>Validación técnica y segunda ronda</v>
      </c>
      <c r="AB42" s="421" t="str">
        <f t="shared" si="2"/>
        <v>Diferencia entre máximo y mínimo superior al 30% de la mediana; no excluir atípicos sin justificación.</v>
      </c>
      <c r="AC42" s="428">
        <f t="shared" si="22"/>
        <v>1.9111532569844627</v>
      </c>
      <c r="AD42" s="428">
        <f t="shared" si="23"/>
        <v>0.60062675770097906</v>
      </c>
      <c r="AE42" s="426" t="str">
        <f t="shared" si="24"/>
        <v>Alta</v>
      </c>
      <c r="AF42" s="426" t="str">
        <f t="shared" si="3"/>
        <v>Sí</v>
      </c>
      <c r="AG42" s="426" t="str">
        <f t="shared" si="4"/>
        <v>Mediana referencial sujeta a validación</v>
      </c>
      <c r="AH42" s="426" t="str">
        <f t="shared" si="25"/>
        <v>Sí</v>
      </c>
      <c r="AI42" s="426">
        <f t="shared" si="26"/>
        <v>6</v>
      </c>
      <c r="AJ42" s="424">
        <f t="shared" si="27"/>
        <v>31500</v>
      </c>
      <c r="AK42" s="424">
        <f t="shared" si="28"/>
        <v>101500</v>
      </c>
      <c r="AL42" s="427">
        <f t="shared" si="29"/>
        <v>65345</v>
      </c>
      <c r="AM42" s="424">
        <f t="shared" si="30"/>
        <v>4443460</v>
      </c>
      <c r="AN42" s="428">
        <f t="shared" si="31"/>
        <v>-4.6684659712597561E-2</v>
      </c>
      <c r="AO42" s="428">
        <f t="shared" si="32"/>
        <v>1.0712372790573113</v>
      </c>
      <c r="AP42" s="426" t="str">
        <f t="shared" si="5"/>
        <v>Alta</v>
      </c>
      <c r="AQ42" s="421" t="str">
        <f t="shared" si="6"/>
        <v>Revisión complementaria</v>
      </c>
      <c r="AR42" s="421" t="str">
        <f t="shared" si="7"/>
        <v>Aun sin extremos persiste dispersión relevante; validar alcance técnico.</v>
      </c>
      <c r="AS42" s="421" t="str">
        <f t="shared" si="8"/>
        <v>Promedio depurado sin extremos</v>
      </c>
      <c r="AT42" s="429">
        <f t="shared" si="33"/>
        <v>65345</v>
      </c>
      <c r="AU42" s="421" t="str">
        <f t="shared" si="9"/>
        <v>Definido con depuración</v>
      </c>
      <c r="AV42" s="421" t="str">
        <f t="shared" si="10"/>
        <v>Mantener valor final y dejar nota de dispersión residual</v>
      </c>
      <c r="AW42" s="421" t="str">
        <f t="shared" si="11"/>
        <v>Por alta dispersión se depura un mínimo y un máximo y se adopta el promedio interior.</v>
      </c>
    </row>
    <row r="43" spans="1:49" ht="15" customHeight="1" x14ac:dyDescent="0.35">
      <c r="A43" s="421" t="s">
        <v>467</v>
      </c>
      <c r="B43" s="422">
        <v>35</v>
      </c>
      <c r="C43" s="435" t="s">
        <v>455</v>
      </c>
      <c r="D43" s="435" t="s">
        <v>632</v>
      </c>
      <c r="E43" s="423">
        <v>68</v>
      </c>
      <c r="F43" s="424">
        <v>82000</v>
      </c>
      <c r="G43" s="424">
        <v>31500</v>
      </c>
      <c r="H43" s="424">
        <v>24000</v>
      </c>
      <c r="I43" s="424">
        <v>101500</v>
      </c>
      <c r="J43" s="424">
        <v>101000</v>
      </c>
      <c r="K43" s="424">
        <v>65529</v>
      </c>
      <c r="L43" s="424">
        <v>71560</v>
      </c>
      <c r="M43" s="424">
        <v>32000</v>
      </c>
      <c r="N43" s="424">
        <v>35500</v>
      </c>
      <c r="O43" s="424">
        <v>39980</v>
      </c>
      <c r="P43" s="425">
        <f t="shared" si="12"/>
        <v>10</v>
      </c>
      <c r="Q43" s="422">
        <f t="shared" si="13"/>
        <v>4</v>
      </c>
      <c r="R43" s="426" t="str">
        <f t="shared" si="14"/>
        <v>CIMA</v>
      </c>
      <c r="S43" s="424">
        <f t="shared" si="15"/>
        <v>24000</v>
      </c>
      <c r="T43" s="426" t="str">
        <f t="shared" si="16"/>
        <v>SGI</v>
      </c>
      <c r="U43" s="424">
        <f t="shared" si="17"/>
        <v>101500</v>
      </c>
      <c r="V43" s="427">
        <f t="shared" si="18"/>
        <v>52755</v>
      </c>
      <c r="W43" s="427">
        <f t="shared" si="19"/>
        <v>52755</v>
      </c>
      <c r="X43" s="424">
        <f t="shared" si="0"/>
        <v>3587340</v>
      </c>
      <c r="Y43" s="430">
        <f t="shared" si="20"/>
        <v>0</v>
      </c>
      <c r="Z43" s="421" t="str">
        <f t="shared" si="21"/>
        <v>Revisión por dispersión</v>
      </c>
      <c r="AA43" s="421" t="str">
        <f t="shared" si="1"/>
        <v>Validación técnica y segunda ronda</v>
      </c>
      <c r="AB43" s="421" t="str">
        <f t="shared" si="2"/>
        <v>Diferencia entre máximo y mínimo superior al 30% de la mediana; no excluir atípicos sin justificación.</v>
      </c>
      <c r="AC43" s="428">
        <f t="shared" si="22"/>
        <v>1.4690550658705337</v>
      </c>
      <c r="AD43" s="428">
        <f t="shared" si="23"/>
        <v>0.50749455664438003</v>
      </c>
      <c r="AE43" s="426" t="str">
        <f t="shared" si="24"/>
        <v>Alta</v>
      </c>
      <c r="AF43" s="426" t="str">
        <f t="shared" si="3"/>
        <v>Sí</v>
      </c>
      <c r="AG43" s="426" t="str">
        <f t="shared" si="4"/>
        <v>Mediana referencial sujeta a validación</v>
      </c>
      <c r="AH43" s="426" t="str">
        <f t="shared" si="25"/>
        <v>Sí</v>
      </c>
      <c r="AI43" s="426">
        <f t="shared" si="26"/>
        <v>8</v>
      </c>
      <c r="AJ43" s="424">
        <f t="shared" si="27"/>
        <v>31500</v>
      </c>
      <c r="AK43" s="424">
        <f t="shared" si="28"/>
        <v>101000</v>
      </c>
      <c r="AL43" s="427">
        <f t="shared" si="29"/>
        <v>57384</v>
      </c>
      <c r="AM43" s="424">
        <f t="shared" si="30"/>
        <v>3902112</v>
      </c>
      <c r="AN43" s="428">
        <f t="shared" si="31"/>
        <v>8.7745237418254199E-2</v>
      </c>
      <c r="AO43" s="428">
        <f t="shared" si="32"/>
        <v>1.2111389934476509</v>
      </c>
      <c r="AP43" s="426" t="str">
        <f t="shared" si="5"/>
        <v>Alta</v>
      </c>
      <c r="AQ43" s="421" t="str">
        <f t="shared" si="6"/>
        <v>Revisión complementaria</v>
      </c>
      <c r="AR43" s="421" t="str">
        <f t="shared" si="7"/>
        <v>Aun sin extremos persiste dispersión relevante; validar alcance técnico.</v>
      </c>
      <c r="AS43" s="421" t="str">
        <f t="shared" si="8"/>
        <v>Promedio depurado sin extremos</v>
      </c>
      <c r="AT43" s="429">
        <f t="shared" si="33"/>
        <v>57384</v>
      </c>
      <c r="AU43" s="421" t="str">
        <f t="shared" si="9"/>
        <v>Definido con depuración</v>
      </c>
      <c r="AV43" s="421" t="str">
        <f t="shared" si="10"/>
        <v>Mantener valor final y dejar nota de dispersión residual</v>
      </c>
      <c r="AW43" s="421" t="str">
        <f t="shared" si="11"/>
        <v>Por alta dispersión se depura un mínimo y un máximo y se adopta el promedio interior.</v>
      </c>
    </row>
    <row r="44" spans="1:49" ht="15" customHeight="1" x14ac:dyDescent="0.35">
      <c r="A44" s="421" t="s">
        <v>467</v>
      </c>
      <c r="B44" s="422">
        <v>36</v>
      </c>
      <c r="C44" s="435" t="s">
        <v>456</v>
      </c>
      <c r="D44" s="435" t="s">
        <v>632</v>
      </c>
      <c r="E44" s="423">
        <v>68</v>
      </c>
      <c r="F44" s="424">
        <v>82000</v>
      </c>
      <c r="G44" s="424">
        <v>31500</v>
      </c>
      <c r="H44" s="424">
        <v>24000</v>
      </c>
      <c r="I44" s="424">
        <v>108600</v>
      </c>
      <c r="J44" s="424">
        <v>101000</v>
      </c>
      <c r="K44" s="424">
        <v>65529</v>
      </c>
      <c r="L44" s="424">
        <v>71560</v>
      </c>
      <c r="M44" s="424">
        <v>30000</v>
      </c>
      <c r="N44" s="424"/>
      <c r="O44" s="424">
        <v>39980</v>
      </c>
      <c r="P44" s="425">
        <f t="shared" si="12"/>
        <v>9</v>
      </c>
      <c r="Q44" s="422">
        <f t="shared" si="13"/>
        <v>4</v>
      </c>
      <c r="R44" s="426" t="str">
        <f t="shared" si="14"/>
        <v>CIMA</v>
      </c>
      <c r="S44" s="424">
        <f t="shared" si="15"/>
        <v>24000</v>
      </c>
      <c r="T44" s="426" t="str">
        <f t="shared" si="16"/>
        <v>SGI</v>
      </c>
      <c r="U44" s="424">
        <f t="shared" si="17"/>
        <v>108600</v>
      </c>
      <c r="V44" s="427">
        <f t="shared" si="18"/>
        <v>65529</v>
      </c>
      <c r="W44" s="427">
        <f t="shared" si="19"/>
        <v>65529</v>
      </c>
      <c r="X44" s="424">
        <f t="shared" si="0"/>
        <v>4455972</v>
      </c>
      <c r="Y44" s="430">
        <f t="shared" si="20"/>
        <v>0</v>
      </c>
      <c r="Z44" s="421" t="str">
        <f t="shared" si="21"/>
        <v>Revisión por dispersión</v>
      </c>
      <c r="AA44" s="421" t="str">
        <f t="shared" si="1"/>
        <v>Validación técnica y segunda ronda</v>
      </c>
      <c r="AB44" s="421" t="str">
        <f t="shared" si="2"/>
        <v>Diferencia entre máximo y mínimo superior al 30% de la mediana; no excluir atípicos sin justificación.</v>
      </c>
      <c r="AC44" s="428">
        <f t="shared" si="22"/>
        <v>1.2910314517236643</v>
      </c>
      <c r="AD44" s="428">
        <f t="shared" si="23"/>
        <v>0.5160653680289935</v>
      </c>
      <c r="AE44" s="426" t="str">
        <f t="shared" si="24"/>
        <v>Alta</v>
      </c>
      <c r="AF44" s="426" t="str">
        <f t="shared" si="3"/>
        <v>Sí</v>
      </c>
      <c r="AG44" s="426" t="str">
        <f t="shared" si="4"/>
        <v>Mediana referencial sujeta a validación</v>
      </c>
      <c r="AH44" s="426" t="str">
        <f t="shared" si="25"/>
        <v>Sí</v>
      </c>
      <c r="AI44" s="426">
        <f t="shared" si="26"/>
        <v>7</v>
      </c>
      <c r="AJ44" s="424">
        <f t="shared" si="27"/>
        <v>30000</v>
      </c>
      <c r="AK44" s="424">
        <f t="shared" si="28"/>
        <v>101000</v>
      </c>
      <c r="AL44" s="427">
        <f t="shared" si="29"/>
        <v>60224</v>
      </c>
      <c r="AM44" s="424">
        <f t="shared" si="30"/>
        <v>4095232</v>
      </c>
      <c r="AN44" s="428">
        <f t="shared" si="31"/>
        <v>-8.0956523066123401E-2</v>
      </c>
      <c r="AO44" s="428">
        <f t="shared" si="32"/>
        <v>1.1789319872476089</v>
      </c>
      <c r="AP44" s="426" t="str">
        <f t="shared" si="5"/>
        <v>Alta</v>
      </c>
      <c r="AQ44" s="421" t="str">
        <f t="shared" si="6"/>
        <v>Revisión complementaria</v>
      </c>
      <c r="AR44" s="421" t="str">
        <f t="shared" si="7"/>
        <v>Aun sin extremos persiste dispersión relevante; validar alcance técnico.</v>
      </c>
      <c r="AS44" s="421" t="str">
        <f t="shared" si="8"/>
        <v>Promedio depurado sin extremos</v>
      </c>
      <c r="AT44" s="429">
        <f t="shared" si="33"/>
        <v>60224</v>
      </c>
      <c r="AU44" s="421" t="str">
        <f t="shared" si="9"/>
        <v>Definido con depuración</v>
      </c>
      <c r="AV44" s="421" t="str">
        <f t="shared" si="10"/>
        <v>Mantener valor final y dejar nota de dispersión residual</v>
      </c>
      <c r="AW44" s="421" t="str">
        <f t="shared" si="11"/>
        <v>Por alta dispersión se depura un mínimo y un máximo y se adopta el promedio interior.</v>
      </c>
    </row>
    <row r="45" spans="1:49" ht="15" customHeight="1" x14ac:dyDescent="0.35">
      <c r="A45" s="421" t="s">
        <v>467</v>
      </c>
      <c r="B45" s="422">
        <v>37</v>
      </c>
      <c r="C45" s="435" t="s">
        <v>457</v>
      </c>
      <c r="D45" s="435" t="s">
        <v>633</v>
      </c>
      <c r="E45" s="423">
        <v>68</v>
      </c>
      <c r="F45" s="424">
        <v>109000</v>
      </c>
      <c r="G45" s="424">
        <v>42000</v>
      </c>
      <c r="H45" s="424">
        <v>41000</v>
      </c>
      <c r="I45" s="424">
        <v>129800</v>
      </c>
      <c r="J45" s="424">
        <v>118000</v>
      </c>
      <c r="K45" s="424">
        <v>88522</v>
      </c>
      <c r="L45" s="424">
        <v>100489</v>
      </c>
      <c r="M45" s="424"/>
      <c r="N45" s="424">
        <v>27500</v>
      </c>
      <c r="O45" s="424">
        <v>39980</v>
      </c>
      <c r="P45" s="425">
        <f t="shared" si="12"/>
        <v>9</v>
      </c>
      <c r="Q45" s="422">
        <f t="shared" si="13"/>
        <v>4</v>
      </c>
      <c r="R45" s="426" t="str">
        <f t="shared" si="14"/>
        <v>Proc_SECOP II - COT 1</v>
      </c>
      <c r="S45" s="424">
        <f t="shared" si="15"/>
        <v>27500</v>
      </c>
      <c r="T45" s="426" t="str">
        <f t="shared" si="16"/>
        <v>SGI</v>
      </c>
      <c r="U45" s="424">
        <f t="shared" si="17"/>
        <v>129800</v>
      </c>
      <c r="V45" s="427">
        <f t="shared" si="18"/>
        <v>88522</v>
      </c>
      <c r="W45" s="427">
        <f t="shared" si="19"/>
        <v>88522</v>
      </c>
      <c r="X45" s="424">
        <f t="shared" si="0"/>
        <v>6019496</v>
      </c>
      <c r="Y45" s="430">
        <f t="shared" si="20"/>
        <v>0</v>
      </c>
      <c r="Z45" s="421" t="str">
        <f t="shared" si="21"/>
        <v>Revisión por dispersión</v>
      </c>
      <c r="AA45" s="421" t="str">
        <f t="shared" si="1"/>
        <v>Validación técnica y segunda ronda</v>
      </c>
      <c r="AB45" s="421" t="str">
        <f t="shared" si="2"/>
        <v>Diferencia entre máximo y mínimo superior al 30% de la mediana; no excluir atípicos sin justificación.</v>
      </c>
      <c r="AC45" s="428">
        <f t="shared" si="22"/>
        <v>1.1556449244255664</v>
      </c>
      <c r="AD45" s="428">
        <f t="shared" si="23"/>
        <v>0.5112952054541825</v>
      </c>
      <c r="AE45" s="426" t="str">
        <f t="shared" si="24"/>
        <v>Alta</v>
      </c>
      <c r="AF45" s="426" t="str">
        <f t="shared" si="3"/>
        <v>Sí</v>
      </c>
      <c r="AG45" s="426" t="str">
        <f t="shared" si="4"/>
        <v>Mediana referencial sujeta a validación</v>
      </c>
      <c r="AH45" s="426" t="str">
        <f t="shared" si="25"/>
        <v>Sí</v>
      </c>
      <c r="AI45" s="426">
        <f t="shared" si="26"/>
        <v>7</v>
      </c>
      <c r="AJ45" s="424">
        <f t="shared" si="27"/>
        <v>39980</v>
      </c>
      <c r="AK45" s="424">
        <f t="shared" si="28"/>
        <v>118000</v>
      </c>
      <c r="AL45" s="427">
        <f t="shared" si="29"/>
        <v>76999</v>
      </c>
      <c r="AM45" s="424">
        <f t="shared" si="30"/>
        <v>5235932</v>
      </c>
      <c r="AN45" s="428">
        <f t="shared" si="31"/>
        <v>-0.13017103093016424</v>
      </c>
      <c r="AO45" s="428">
        <f t="shared" si="32"/>
        <v>1.0132599124663957</v>
      </c>
      <c r="AP45" s="426" t="str">
        <f t="shared" si="5"/>
        <v>Alta</v>
      </c>
      <c r="AQ45" s="421" t="str">
        <f t="shared" si="6"/>
        <v>Revisión complementaria</v>
      </c>
      <c r="AR45" s="421" t="str">
        <f t="shared" si="7"/>
        <v>Aun sin extremos persiste dispersión relevante; validar alcance técnico.</v>
      </c>
      <c r="AS45" s="421" t="str">
        <f t="shared" si="8"/>
        <v>Promedio depurado sin extremos</v>
      </c>
      <c r="AT45" s="429">
        <f t="shared" si="33"/>
        <v>76999</v>
      </c>
      <c r="AU45" s="421" t="str">
        <f t="shared" si="9"/>
        <v>Definido con depuración</v>
      </c>
      <c r="AV45" s="421" t="str">
        <f t="shared" si="10"/>
        <v>Mantener valor final y dejar nota de dispersión residual</v>
      </c>
      <c r="AW45" s="421" t="str">
        <f t="shared" si="11"/>
        <v>Por alta dispersión se depura un mínimo y un máximo y se adopta el promedio interior.</v>
      </c>
    </row>
    <row r="46" spans="1:49" ht="15" customHeight="1" x14ac:dyDescent="0.35">
      <c r="A46" s="421" t="s">
        <v>467</v>
      </c>
      <c r="B46" s="422">
        <v>38</v>
      </c>
      <c r="C46" s="435" t="s">
        <v>458</v>
      </c>
      <c r="D46" s="435" t="s">
        <v>632</v>
      </c>
      <c r="E46" s="423">
        <v>68</v>
      </c>
      <c r="F46" s="424">
        <v>82000</v>
      </c>
      <c r="G46" s="424">
        <v>44300</v>
      </c>
      <c r="H46" s="424">
        <v>24000</v>
      </c>
      <c r="I46" s="424">
        <v>94400</v>
      </c>
      <c r="J46" s="424">
        <v>101000</v>
      </c>
      <c r="K46" s="424">
        <v>65529</v>
      </c>
      <c r="L46" s="424">
        <v>71560</v>
      </c>
      <c r="M46" s="424"/>
      <c r="N46" s="424">
        <v>38000</v>
      </c>
      <c r="O46" s="424">
        <v>39980</v>
      </c>
      <c r="P46" s="425">
        <f t="shared" si="12"/>
        <v>9</v>
      </c>
      <c r="Q46" s="422">
        <f t="shared" si="13"/>
        <v>4</v>
      </c>
      <c r="R46" s="426" t="str">
        <f t="shared" si="14"/>
        <v>CIMA</v>
      </c>
      <c r="S46" s="424">
        <f t="shared" si="15"/>
        <v>24000</v>
      </c>
      <c r="T46" s="426" t="str">
        <f t="shared" si="16"/>
        <v>Javeriana</v>
      </c>
      <c r="U46" s="424">
        <f t="shared" si="17"/>
        <v>101000</v>
      </c>
      <c r="V46" s="427">
        <f t="shared" si="18"/>
        <v>65529</v>
      </c>
      <c r="W46" s="427">
        <f t="shared" si="19"/>
        <v>65529</v>
      </c>
      <c r="X46" s="424">
        <f t="shared" si="0"/>
        <v>4455972</v>
      </c>
      <c r="Y46" s="430">
        <f t="shared" si="20"/>
        <v>0</v>
      </c>
      <c r="Z46" s="421" t="str">
        <f t="shared" si="21"/>
        <v>Revisión por dispersión</v>
      </c>
      <c r="AA46" s="421" t="str">
        <f t="shared" si="1"/>
        <v>Validación técnica y segunda ronda</v>
      </c>
      <c r="AB46" s="421" t="str">
        <f t="shared" si="2"/>
        <v>Diferencia entre máximo y mínimo superior al 30% de la mediana; no excluir atípicos sin justificación.</v>
      </c>
      <c r="AC46" s="428">
        <f t="shared" si="22"/>
        <v>1.1750522669352501</v>
      </c>
      <c r="AD46" s="428">
        <f t="shared" si="23"/>
        <v>0.43555415115004287</v>
      </c>
      <c r="AE46" s="426" t="str">
        <f t="shared" si="24"/>
        <v>Alta</v>
      </c>
      <c r="AF46" s="426" t="str">
        <f t="shared" si="3"/>
        <v>Sí</v>
      </c>
      <c r="AG46" s="426" t="str">
        <f t="shared" si="4"/>
        <v>Mediana referencial sujeta a validación</v>
      </c>
      <c r="AH46" s="426" t="str">
        <f t="shared" si="25"/>
        <v>Sí</v>
      </c>
      <c r="AI46" s="426">
        <f t="shared" si="26"/>
        <v>7</v>
      </c>
      <c r="AJ46" s="424">
        <f t="shared" si="27"/>
        <v>38000</v>
      </c>
      <c r="AK46" s="424">
        <f t="shared" si="28"/>
        <v>94400</v>
      </c>
      <c r="AL46" s="427">
        <f t="shared" si="29"/>
        <v>62253</v>
      </c>
      <c r="AM46" s="424">
        <f t="shared" si="30"/>
        <v>4233204</v>
      </c>
      <c r="AN46" s="428">
        <f t="shared" si="31"/>
        <v>-4.9993132811427005E-2</v>
      </c>
      <c r="AO46" s="428">
        <f t="shared" si="32"/>
        <v>0.90598043467784684</v>
      </c>
      <c r="AP46" s="426" t="str">
        <f t="shared" si="5"/>
        <v>Alta</v>
      </c>
      <c r="AQ46" s="421" t="str">
        <f t="shared" si="6"/>
        <v>Revisión complementaria</v>
      </c>
      <c r="AR46" s="421" t="str">
        <f t="shared" si="7"/>
        <v>Aun sin extremos persiste dispersión relevante; validar alcance técnico.</v>
      </c>
      <c r="AS46" s="421" t="str">
        <f t="shared" si="8"/>
        <v>Promedio depurado sin extremos</v>
      </c>
      <c r="AT46" s="429">
        <f t="shared" si="33"/>
        <v>62253</v>
      </c>
      <c r="AU46" s="421" t="str">
        <f t="shared" si="9"/>
        <v>Definido con depuración</v>
      </c>
      <c r="AV46" s="421" t="str">
        <f t="shared" si="10"/>
        <v>Mantener valor final y dejar nota de dispersión residual</v>
      </c>
      <c r="AW46" s="421" t="str">
        <f t="shared" si="11"/>
        <v>Por alta dispersión se depura un mínimo y un máximo y se adopta el promedio interior.</v>
      </c>
    </row>
    <row r="47" spans="1:49" ht="15" customHeight="1" x14ac:dyDescent="0.35">
      <c r="A47" s="421" t="s">
        <v>467</v>
      </c>
      <c r="B47" s="422">
        <v>39</v>
      </c>
      <c r="C47" s="435" t="s">
        <v>459</v>
      </c>
      <c r="D47" s="435" t="s">
        <v>632</v>
      </c>
      <c r="E47" s="423">
        <v>68</v>
      </c>
      <c r="F47" s="424">
        <v>82000</v>
      </c>
      <c r="G47" s="424">
        <v>44300</v>
      </c>
      <c r="H47" s="424">
        <v>24000</v>
      </c>
      <c r="I47" s="424">
        <v>94400</v>
      </c>
      <c r="J47" s="424">
        <v>101000</v>
      </c>
      <c r="K47" s="424">
        <v>65529</v>
      </c>
      <c r="L47" s="424">
        <v>71560</v>
      </c>
      <c r="M47" s="424"/>
      <c r="N47" s="424">
        <v>35600</v>
      </c>
      <c r="O47" s="424">
        <v>39980</v>
      </c>
      <c r="P47" s="425">
        <f t="shared" si="12"/>
        <v>9</v>
      </c>
      <c r="Q47" s="422">
        <f t="shared" si="13"/>
        <v>4</v>
      </c>
      <c r="R47" s="426" t="str">
        <f t="shared" si="14"/>
        <v>CIMA</v>
      </c>
      <c r="S47" s="424">
        <f t="shared" si="15"/>
        <v>24000</v>
      </c>
      <c r="T47" s="426" t="str">
        <f t="shared" si="16"/>
        <v>Javeriana</v>
      </c>
      <c r="U47" s="424">
        <f t="shared" si="17"/>
        <v>101000</v>
      </c>
      <c r="V47" s="427">
        <f t="shared" si="18"/>
        <v>65529</v>
      </c>
      <c r="W47" s="427">
        <f t="shared" si="19"/>
        <v>65529</v>
      </c>
      <c r="X47" s="424">
        <f t="shared" si="0"/>
        <v>4455972</v>
      </c>
      <c r="Y47" s="430">
        <f t="shared" si="20"/>
        <v>0</v>
      </c>
      <c r="Z47" s="421" t="str">
        <f t="shared" si="21"/>
        <v>Revisión por dispersión</v>
      </c>
      <c r="AA47" s="421" t="str">
        <f t="shared" si="1"/>
        <v>Validación técnica y segunda ronda</v>
      </c>
      <c r="AB47" s="421" t="str">
        <f t="shared" si="2"/>
        <v>Diferencia entre máximo y mínimo superior al 30% de la mediana; no excluir atípicos sin justificación.</v>
      </c>
      <c r="AC47" s="428">
        <f t="shared" si="22"/>
        <v>1.1750522669352501</v>
      </c>
      <c r="AD47" s="428">
        <f t="shared" si="23"/>
        <v>0.44192433473090004</v>
      </c>
      <c r="AE47" s="426" t="str">
        <f t="shared" si="24"/>
        <v>Alta</v>
      </c>
      <c r="AF47" s="426" t="str">
        <f t="shared" si="3"/>
        <v>Sí</v>
      </c>
      <c r="AG47" s="426" t="str">
        <f t="shared" si="4"/>
        <v>Mediana referencial sujeta a validación</v>
      </c>
      <c r="AH47" s="426" t="str">
        <f t="shared" si="25"/>
        <v>Sí</v>
      </c>
      <c r="AI47" s="426">
        <f t="shared" si="26"/>
        <v>7</v>
      </c>
      <c r="AJ47" s="424">
        <f t="shared" si="27"/>
        <v>35600</v>
      </c>
      <c r="AK47" s="424">
        <f t="shared" si="28"/>
        <v>94400</v>
      </c>
      <c r="AL47" s="427">
        <f t="shared" si="29"/>
        <v>61910</v>
      </c>
      <c r="AM47" s="424">
        <f t="shared" si="30"/>
        <v>4209880</v>
      </c>
      <c r="AN47" s="428">
        <f t="shared" si="31"/>
        <v>-5.5227456545956753E-2</v>
      </c>
      <c r="AO47" s="428">
        <f t="shared" si="32"/>
        <v>0.94976578904861897</v>
      </c>
      <c r="AP47" s="426" t="str">
        <f t="shared" si="5"/>
        <v>Alta</v>
      </c>
      <c r="AQ47" s="421" t="str">
        <f t="shared" si="6"/>
        <v>Revisión complementaria</v>
      </c>
      <c r="AR47" s="421" t="str">
        <f t="shared" si="7"/>
        <v>Aun sin extremos persiste dispersión relevante; validar alcance técnico.</v>
      </c>
      <c r="AS47" s="421" t="str">
        <f t="shared" si="8"/>
        <v>Promedio depurado sin extremos</v>
      </c>
      <c r="AT47" s="429">
        <f t="shared" si="33"/>
        <v>61910</v>
      </c>
      <c r="AU47" s="421" t="str">
        <f t="shared" si="9"/>
        <v>Definido con depuración</v>
      </c>
      <c r="AV47" s="421" t="str">
        <f t="shared" si="10"/>
        <v>Mantener valor final y dejar nota de dispersión residual</v>
      </c>
      <c r="AW47" s="421" t="str">
        <f t="shared" si="11"/>
        <v>Por alta dispersión se depura un mínimo y un máximo y se adopta el promedio interior.</v>
      </c>
    </row>
    <row r="48" spans="1:49" ht="15" customHeight="1" x14ac:dyDescent="0.35">
      <c r="A48" s="421" t="s">
        <v>467</v>
      </c>
      <c r="B48" s="422">
        <v>40</v>
      </c>
      <c r="C48" s="435" t="s">
        <v>460</v>
      </c>
      <c r="D48" s="435" t="s">
        <v>633</v>
      </c>
      <c r="E48" s="423">
        <v>68</v>
      </c>
      <c r="F48" s="424">
        <v>109000</v>
      </c>
      <c r="G48" s="424">
        <v>42000</v>
      </c>
      <c r="H48" s="424">
        <v>41000</v>
      </c>
      <c r="I48" s="424">
        <v>129800</v>
      </c>
      <c r="J48" s="424"/>
      <c r="K48" s="424">
        <v>65529</v>
      </c>
      <c r="L48" s="424"/>
      <c r="M48" s="424"/>
      <c r="N48" s="424">
        <v>31100</v>
      </c>
      <c r="O48" s="424">
        <v>39980</v>
      </c>
      <c r="P48" s="425">
        <f t="shared" si="12"/>
        <v>7</v>
      </c>
      <c r="Q48" s="422">
        <f t="shared" si="13"/>
        <v>4</v>
      </c>
      <c r="R48" s="426" t="str">
        <f t="shared" si="14"/>
        <v>Proc_SECOP II - COT 1</v>
      </c>
      <c r="S48" s="424">
        <f t="shared" si="15"/>
        <v>31100</v>
      </c>
      <c r="T48" s="426" t="str">
        <f t="shared" si="16"/>
        <v>SGI</v>
      </c>
      <c r="U48" s="424">
        <f t="shared" si="17"/>
        <v>129800</v>
      </c>
      <c r="V48" s="427">
        <f t="shared" si="18"/>
        <v>42000</v>
      </c>
      <c r="W48" s="427">
        <f t="shared" si="19"/>
        <v>42000</v>
      </c>
      <c r="X48" s="424">
        <f t="shared" si="0"/>
        <v>2856000</v>
      </c>
      <c r="Y48" s="430">
        <f t="shared" si="20"/>
        <v>0</v>
      </c>
      <c r="Z48" s="421" t="str">
        <f t="shared" si="21"/>
        <v>Revisión por dispersión</v>
      </c>
      <c r="AA48" s="421" t="str">
        <f t="shared" si="1"/>
        <v>Validación técnica y segunda ronda</v>
      </c>
      <c r="AB48" s="421" t="str">
        <f t="shared" si="2"/>
        <v>Diferencia entre máximo y mínimo superior al 30% de la mediana; no excluir atípicos sin justificación.</v>
      </c>
      <c r="AC48" s="428">
        <f t="shared" si="22"/>
        <v>2.35</v>
      </c>
      <c r="AD48" s="428">
        <f t="shared" si="23"/>
        <v>0.59186808963508286</v>
      </c>
      <c r="AE48" s="426" t="str">
        <f t="shared" si="24"/>
        <v>Alta</v>
      </c>
      <c r="AF48" s="426" t="str">
        <f t="shared" si="3"/>
        <v>Sí</v>
      </c>
      <c r="AG48" s="426" t="str">
        <f t="shared" si="4"/>
        <v>Mediana referencial sujeta a validación</v>
      </c>
      <c r="AH48" s="426" t="str">
        <f t="shared" si="25"/>
        <v>Sí</v>
      </c>
      <c r="AI48" s="426">
        <f t="shared" si="26"/>
        <v>5</v>
      </c>
      <c r="AJ48" s="424">
        <f t="shared" si="27"/>
        <v>39980</v>
      </c>
      <c r="AK48" s="424">
        <f t="shared" si="28"/>
        <v>109000</v>
      </c>
      <c r="AL48" s="427">
        <f t="shared" si="29"/>
        <v>59502</v>
      </c>
      <c r="AM48" s="424">
        <f t="shared" si="30"/>
        <v>4046136</v>
      </c>
      <c r="AN48" s="428">
        <f t="shared" si="31"/>
        <v>0.4167142857142857</v>
      </c>
      <c r="AO48" s="428">
        <f t="shared" si="32"/>
        <v>1.1599610097139592</v>
      </c>
      <c r="AP48" s="426" t="str">
        <f t="shared" si="5"/>
        <v>Alta</v>
      </c>
      <c r="AQ48" s="421" t="str">
        <f t="shared" si="6"/>
        <v>Revisión complementaria</v>
      </c>
      <c r="AR48" s="421" t="str">
        <f t="shared" si="7"/>
        <v>Aun sin extremos persiste dispersión relevante; validar alcance técnico.</v>
      </c>
      <c r="AS48" s="421" t="str">
        <f t="shared" si="8"/>
        <v>Promedio depurado sin extremos</v>
      </c>
      <c r="AT48" s="429">
        <f t="shared" si="33"/>
        <v>59502</v>
      </c>
      <c r="AU48" s="421" t="str">
        <f t="shared" si="9"/>
        <v>Definido con depuración</v>
      </c>
      <c r="AV48" s="421" t="str">
        <f t="shared" si="10"/>
        <v>Mantener valor final y dejar nota de dispersión residual</v>
      </c>
      <c r="AW48" s="421" t="str">
        <f t="shared" si="11"/>
        <v>Por alta dispersión se depura un mínimo y un máximo y se adopta el promedio interior.</v>
      </c>
    </row>
    <row r="49" spans="1:49" ht="15" customHeight="1" x14ac:dyDescent="0.35">
      <c r="A49" s="421" t="s">
        <v>467</v>
      </c>
      <c r="B49" s="422">
        <v>41</v>
      </c>
      <c r="C49" s="434" t="s">
        <v>461</v>
      </c>
      <c r="D49" s="434" t="s">
        <v>634</v>
      </c>
      <c r="E49" s="423">
        <v>68</v>
      </c>
      <c r="F49" s="424">
        <v>109000</v>
      </c>
      <c r="G49" s="424">
        <v>52500</v>
      </c>
      <c r="H49" s="424">
        <v>41000</v>
      </c>
      <c r="I49" s="424">
        <v>116800</v>
      </c>
      <c r="J49" s="424"/>
      <c r="K49" s="424">
        <v>100018</v>
      </c>
      <c r="L49" s="424">
        <v>58127</v>
      </c>
      <c r="M49" s="424"/>
      <c r="N49" s="424">
        <v>38900</v>
      </c>
      <c r="O49" s="424">
        <v>54440</v>
      </c>
      <c r="P49" s="425">
        <f t="shared" si="12"/>
        <v>8</v>
      </c>
      <c r="Q49" s="422">
        <f t="shared" si="13"/>
        <v>4</v>
      </c>
      <c r="R49" s="426" t="str">
        <f t="shared" si="14"/>
        <v>Proc_SECOP II - COT 1</v>
      </c>
      <c r="S49" s="424">
        <f t="shared" si="15"/>
        <v>38900</v>
      </c>
      <c r="T49" s="426" t="str">
        <f t="shared" si="16"/>
        <v>SGI</v>
      </c>
      <c r="U49" s="424">
        <f t="shared" si="17"/>
        <v>116800</v>
      </c>
      <c r="V49" s="427">
        <f t="shared" si="18"/>
        <v>56284</v>
      </c>
      <c r="W49" s="427">
        <f t="shared" si="19"/>
        <v>56284</v>
      </c>
      <c r="X49" s="424">
        <f t="shared" si="0"/>
        <v>3827312</v>
      </c>
      <c r="Y49" s="430">
        <f t="shared" si="20"/>
        <v>0</v>
      </c>
      <c r="Z49" s="421" t="str">
        <f t="shared" si="21"/>
        <v>Revisión por dispersión</v>
      </c>
      <c r="AA49" s="421" t="str">
        <f t="shared" si="1"/>
        <v>Validación técnica y segunda ronda</v>
      </c>
      <c r="AB49" s="421" t="str">
        <f t="shared" si="2"/>
        <v>Diferencia entre máximo y mínimo superior al 30% de la mediana; no excluir atípicos sin justificación.</v>
      </c>
      <c r="AC49" s="428">
        <f t="shared" si="22"/>
        <v>1.384052306161609</v>
      </c>
      <c r="AD49" s="428">
        <f t="shared" si="23"/>
        <v>0.44622560417761709</v>
      </c>
      <c r="AE49" s="426" t="str">
        <f t="shared" si="24"/>
        <v>Alta</v>
      </c>
      <c r="AF49" s="426" t="str">
        <f t="shared" si="3"/>
        <v>Sí</v>
      </c>
      <c r="AG49" s="426" t="str">
        <f t="shared" si="4"/>
        <v>Mediana referencial sujeta a validación</v>
      </c>
      <c r="AH49" s="426" t="str">
        <f t="shared" si="25"/>
        <v>Sí</v>
      </c>
      <c r="AI49" s="426">
        <f t="shared" si="26"/>
        <v>6</v>
      </c>
      <c r="AJ49" s="424">
        <f t="shared" si="27"/>
        <v>41000</v>
      </c>
      <c r="AK49" s="424">
        <f t="shared" si="28"/>
        <v>109000</v>
      </c>
      <c r="AL49" s="427">
        <f t="shared" si="29"/>
        <v>69181</v>
      </c>
      <c r="AM49" s="424">
        <f t="shared" si="30"/>
        <v>4704308</v>
      </c>
      <c r="AN49" s="428">
        <f t="shared" si="31"/>
        <v>0.22914149669533082</v>
      </c>
      <c r="AO49" s="428">
        <f t="shared" si="32"/>
        <v>0.98292883884303495</v>
      </c>
      <c r="AP49" s="426" t="str">
        <f t="shared" si="5"/>
        <v>Alta</v>
      </c>
      <c r="AQ49" s="421" t="str">
        <f t="shared" si="6"/>
        <v>Revisión complementaria</v>
      </c>
      <c r="AR49" s="421" t="str">
        <f t="shared" si="7"/>
        <v>Aun sin extremos persiste dispersión relevante; validar alcance técnico.</v>
      </c>
      <c r="AS49" s="421" t="str">
        <f t="shared" si="8"/>
        <v>Promedio depurado sin extremos</v>
      </c>
      <c r="AT49" s="429">
        <f t="shared" si="33"/>
        <v>69181</v>
      </c>
      <c r="AU49" s="421" t="str">
        <f t="shared" si="9"/>
        <v>Definido con depuración</v>
      </c>
      <c r="AV49" s="421" t="str">
        <f t="shared" si="10"/>
        <v>Mantener valor final y dejar nota de dispersión residual</v>
      </c>
      <c r="AW49" s="421" t="str">
        <f t="shared" si="11"/>
        <v>Por alta dispersión se depura un mínimo y un máximo y se adopta el promedio interior.</v>
      </c>
    </row>
    <row r="50" spans="1:49" ht="15" customHeight="1" x14ac:dyDescent="0.35">
      <c r="A50" s="421" t="s">
        <v>467</v>
      </c>
      <c r="B50" s="422">
        <v>42</v>
      </c>
      <c r="C50" s="434" t="s">
        <v>462</v>
      </c>
      <c r="D50" s="434" t="s">
        <v>634</v>
      </c>
      <c r="E50" s="423">
        <v>68</v>
      </c>
      <c r="F50" s="424">
        <v>109000</v>
      </c>
      <c r="G50" s="424">
        <v>52500</v>
      </c>
      <c r="H50" s="424">
        <v>41000</v>
      </c>
      <c r="I50" s="424">
        <v>116800</v>
      </c>
      <c r="J50" s="424"/>
      <c r="K50" s="424">
        <v>100018</v>
      </c>
      <c r="L50" s="424">
        <v>58127</v>
      </c>
      <c r="M50" s="424"/>
      <c r="N50" s="424">
        <v>35600</v>
      </c>
      <c r="O50" s="424">
        <v>54440</v>
      </c>
      <c r="P50" s="425">
        <f t="shared" si="12"/>
        <v>8</v>
      </c>
      <c r="Q50" s="422">
        <f t="shared" si="13"/>
        <v>4</v>
      </c>
      <c r="R50" s="426" t="str">
        <f t="shared" si="14"/>
        <v>Proc_SECOP II - COT 1</v>
      </c>
      <c r="S50" s="424">
        <f t="shared" si="15"/>
        <v>35600</v>
      </c>
      <c r="T50" s="426" t="str">
        <f t="shared" si="16"/>
        <v>SGI</v>
      </c>
      <c r="U50" s="424">
        <f t="shared" si="17"/>
        <v>116800</v>
      </c>
      <c r="V50" s="427">
        <f t="shared" si="18"/>
        <v>56284</v>
      </c>
      <c r="W50" s="427">
        <f t="shared" si="19"/>
        <v>56284</v>
      </c>
      <c r="X50" s="424">
        <f t="shared" si="0"/>
        <v>3827312</v>
      </c>
      <c r="Y50" s="430">
        <f t="shared" si="20"/>
        <v>0</v>
      </c>
      <c r="Z50" s="421" t="str">
        <f t="shared" si="21"/>
        <v>Revisión por dispersión</v>
      </c>
      <c r="AA50" s="421" t="str">
        <f t="shared" si="1"/>
        <v>Validación técnica y segunda ronda</v>
      </c>
      <c r="AB50" s="421" t="str">
        <f t="shared" si="2"/>
        <v>Diferencia entre máximo y mínimo superior al 30% de la mediana; no excluir atípicos sin justificación.</v>
      </c>
      <c r="AC50" s="428">
        <f t="shared" si="22"/>
        <v>1.4426835335086348</v>
      </c>
      <c r="AD50" s="428">
        <f t="shared" si="23"/>
        <v>0.45584030035070866</v>
      </c>
      <c r="AE50" s="426" t="str">
        <f t="shared" si="24"/>
        <v>Alta</v>
      </c>
      <c r="AF50" s="426" t="str">
        <f t="shared" si="3"/>
        <v>Sí</v>
      </c>
      <c r="AG50" s="426" t="str">
        <f t="shared" si="4"/>
        <v>Mediana referencial sujeta a validación</v>
      </c>
      <c r="AH50" s="426" t="str">
        <f t="shared" si="25"/>
        <v>Sí</v>
      </c>
      <c r="AI50" s="426">
        <f t="shared" si="26"/>
        <v>6</v>
      </c>
      <c r="AJ50" s="424">
        <f t="shared" si="27"/>
        <v>41000</v>
      </c>
      <c r="AK50" s="424">
        <f t="shared" si="28"/>
        <v>109000</v>
      </c>
      <c r="AL50" s="427">
        <f t="shared" si="29"/>
        <v>69181</v>
      </c>
      <c r="AM50" s="424">
        <f t="shared" si="30"/>
        <v>4704308</v>
      </c>
      <c r="AN50" s="428">
        <f t="shared" si="31"/>
        <v>0.22914149669533082</v>
      </c>
      <c r="AO50" s="428">
        <f t="shared" si="32"/>
        <v>0.98292883884303495</v>
      </c>
      <c r="AP50" s="426" t="str">
        <f t="shared" si="5"/>
        <v>Alta</v>
      </c>
      <c r="AQ50" s="421" t="str">
        <f t="shared" si="6"/>
        <v>Revisión complementaria</v>
      </c>
      <c r="AR50" s="421" t="str">
        <f t="shared" si="7"/>
        <v>Aun sin extremos persiste dispersión relevante; validar alcance técnico.</v>
      </c>
      <c r="AS50" s="421" t="str">
        <f t="shared" si="8"/>
        <v>Promedio depurado sin extremos</v>
      </c>
      <c r="AT50" s="429">
        <f t="shared" si="33"/>
        <v>69181</v>
      </c>
      <c r="AU50" s="421" t="str">
        <f t="shared" si="9"/>
        <v>Definido con depuración</v>
      </c>
      <c r="AV50" s="421" t="str">
        <f t="shared" si="10"/>
        <v>Mantener valor final y dejar nota de dispersión residual</v>
      </c>
      <c r="AW50" s="421" t="str">
        <f t="shared" si="11"/>
        <v>Por alta dispersión se depura un mínimo y un máximo y se adopta el promedio interior.</v>
      </c>
    </row>
    <row r="51" spans="1:49" ht="15" customHeight="1" x14ac:dyDescent="0.35">
      <c r="A51" s="421" t="s">
        <v>467</v>
      </c>
      <c r="B51" s="422">
        <v>43</v>
      </c>
      <c r="C51" s="434" t="s">
        <v>150</v>
      </c>
      <c r="D51" s="434" t="s">
        <v>634</v>
      </c>
      <c r="E51" s="423">
        <v>68</v>
      </c>
      <c r="F51" s="424">
        <v>109000</v>
      </c>
      <c r="G51" s="424">
        <v>52500</v>
      </c>
      <c r="H51" s="424">
        <v>41000</v>
      </c>
      <c r="I51" s="424">
        <v>116800</v>
      </c>
      <c r="J51" s="424"/>
      <c r="K51" s="424">
        <v>100018</v>
      </c>
      <c r="L51" s="424">
        <v>58127</v>
      </c>
      <c r="M51" s="424"/>
      <c r="N51" s="424">
        <v>60700</v>
      </c>
      <c r="O51" s="424">
        <v>54440</v>
      </c>
      <c r="P51" s="425">
        <f t="shared" si="12"/>
        <v>8</v>
      </c>
      <c r="Q51" s="422">
        <f t="shared" si="13"/>
        <v>4</v>
      </c>
      <c r="R51" s="426" t="str">
        <f t="shared" si="14"/>
        <v>CIMA</v>
      </c>
      <c r="S51" s="424">
        <f t="shared" si="15"/>
        <v>41000</v>
      </c>
      <c r="T51" s="426" t="str">
        <f t="shared" si="16"/>
        <v>SGI</v>
      </c>
      <c r="U51" s="424">
        <f t="shared" si="17"/>
        <v>116800</v>
      </c>
      <c r="V51" s="427">
        <f t="shared" si="18"/>
        <v>59414</v>
      </c>
      <c r="W51" s="427">
        <f t="shared" si="19"/>
        <v>59414</v>
      </c>
      <c r="X51" s="424">
        <f t="shared" si="0"/>
        <v>4040152</v>
      </c>
      <c r="Y51" s="430">
        <f t="shared" si="20"/>
        <v>0</v>
      </c>
      <c r="Z51" s="421" t="str">
        <f t="shared" si="21"/>
        <v>Revisión por dispersión</v>
      </c>
      <c r="AA51" s="421" t="str">
        <f t="shared" si="1"/>
        <v>Validación técnica y segunda ronda</v>
      </c>
      <c r="AB51" s="421" t="str">
        <f t="shared" si="2"/>
        <v>Diferencia entre máximo y mínimo superior al 30% de la mediana; no excluir atípicos sin justificación.</v>
      </c>
      <c r="AC51" s="428">
        <f t="shared" si="22"/>
        <v>1.2757935840037702</v>
      </c>
      <c r="AD51" s="428">
        <f t="shared" si="23"/>
        <v>0.39840770299203709</v>
      </c>
      <c r="AE51" s="426" t="str">
        <f t="shared" si="24"/>
        <v>Alta</v>
      </c>
      <c r="AF51" s="426" t="str">
        <f t="shared" si="3"/>
        <v>Sí</v>
      </c>
      <c r="AG51" s="426" t="str">
        <f t="shared" si="4"/>
        <v>Mediana referencial sujeta a validación</v>
      </c>
      <c r="AH51" s="426" t="str">
        <f t="shared" si="25"/>
        <v>Sí</v>
      </c>
      <c r="AI51" s="426">
        <f t="shared" si="26"/>
        <v>6</v>
      </c>
      <c r="AJ51" s="424">
        <f t="shared" si="27"/>
        <v>52500</v>
      </c>
      <c r="AK51" s="424">
        <f t="shared" si="28"/>
        <v>109000</v>
      </c>
      <c r="AL51" s="427">
        <f t="shared" si="29"/>
        <v>72464</v>
      </c>
      <c r="AM51" s="424">
        <f t="shared" si="30"/>
        <v>4927552</v>
      </c>
      <c r="AN51" s="428">
        <f t="shared" si="31"/>
        <v>0.21964520146766756</v>
      </c>
      <c r="AO51" s="428">
        <f t="shared" si="32"/>
        <v>0.77969750496798407</v>
      </c>
      <c r="AP51" s="426" t="str">
        <f t="shared" si="5"/>
        <v>Alta</v>
      </c>
      <c r="AQ51" s="421" t="str">
        <f t="shared" si="6"/>
        <v>Revisión complementaria</v>
      </c>
      <c r="AR51" s="421" t="str">
        <f t="shared" si="7"/>
        <v>Aun sin extremos persiste dispersión relevante; validar alcance técnico.</v>
      </c>
      <c r="AS51" s="421" t="str">
        <f t="shared" si="8"/>
        <v>Promedio depurado sin extremos</v>
      </c>
      <c r="AT51" s="429">
        <f t="shared" si="33"/>
        <v>72464</v>
      </c>
      <c r="AU51" s="421" t="str">
        <f t="shared" si="9"/>
        <v>Definido con depuración</v>
      </c>
      <c r="AV51" s="421" t="str">
        <f t="shared" si="10"/>
        <v>Mantener valor final y dejar nota de dispersión residual</v>
      </c>
      <c r="AW51" s="421" t="str">
        <f t="shared" si="11"/>
        <v>Por alta dispersión se depura un mínimo y un máximo y se adopta el promedio interior.</v>
      </c>
    </row>
    <row r="52" spans="1:49" ht="15" customHeight="1" x14ac:dyDescent="0.35">
      <c r="A52" s="421" t="s">
        <v>467</v>
      </c>
      <c r="B52" s="422">
        <v>44</v>
      </c>
      <c r="C52" s="434" t="s">
        <v>470</v>
      </c>
      <c r="D52" s="434" t="s">
        <v>635</v>
      </c>
      <c r="E52" s="423">
        <v>68</v>
      </c>
      <c r="F52" s="424">
        <v>264000</v>
      </c>
      <c r="G52" s="424">
        <v>52500</v>
      </c>
      <c r="H52" s="424">
        <v>29000</v>
      </c>
      <c r="I52" s="424">
        <v>212400</v>
      </c>
      <c r="J52" s="424"/>
      <c r="K52" s="424"/>
      <c r="L52" s="424">
        <v>47130</v>
      </c>
      <c r="M52" s="424">
        <v>60800</v>
      </c>
      <c r="N52" s="424">
        <v>27200</v>
      </c>
      <c r="O52" s="424">
        <v>23510</v>
      </c>
      <c r="P52" s="425">
        <f t="shared" si="12"/>
        <v>8</v>
      </c>
      <c r="Q52" s="422">
        <f t="shared" si="13"/>
        <v>4</v>
      </c>
      <c r="R52" s="426" t="str">
        <f t="shared" si="14"/>
        <v>Proc_SECOP II - COT 2</v>
      </c>
      <c r="S52" s="424">
        <f t="shared" si="15"/>
        <v>23510</v>
      </c>
      <c r="T52" s="426" t="str">
        <f t="shared" si="16"/>
        <v>Lasertec</v>
      </c>
      <c r="U52" s="424">
        <f t="shared" si="17"/>
        <v>264000</v>
      </c>
      <c r="V52" s="427">
        <f t="shared" si="18"/>
        <v>49815</v>
      </c>
      <c r="W52" s="427">
        <f t="shared" si="19"/>
        <v>49815</v>
      </c>
      <c r="X52" s="424">
        <f t="shared" si="0"/>
        <v>3387420</v>
      </c>
      <c r="Y52" s="430">
        <f t="shared" si="20"/>
        <v>0</v>
      </c>
      <c r="Z52" s="421" t="str">
        <f t="shared" si="21"/>
        <v>Revisión por dispersión</v>
      </c>
      <c r="AA52" s="421" t="str">
        <f t="shared" si="1"/>
        <v>Validación técnica y segunda ronda</v>
      </c>
      <c r="AB52" s="421" t="str">
        <f t="shared" si="2"/>
        <v>Diferencia entre máximo y mínimo superior al 30% de la mediana; no excluir atípicos sin justificación.</v>
      </c>
      <c r="AC52" s="428">
        <f t="shared" si="22"/>
        <v>4.8276623506975813</v>
      </c>
      <c r="AD52" s="428">
        <f t="shared" si="23"/>
        <v>1.04597598894837</v>
      </c>
      <c r="AE52" s="426" t="str">
        <f t="shared" si="24"/>
        <v>Alta</v>
      </c>
      <c r="AF52" s="426" t="str">
        <f t="shared" si="3"/>
        <v>Sí</v>
      </c>
      <c r="AG52" s="426" t="str">
        <f t="shared" si="4"/>
        <v>Mediana referencial sujeta a validación</v>
      </c>
      <c r="AH52" s="426" t="str">
        <f t="shared" si="25"/>
        <v>Sí</v>
      </c>
      <c r="AI52" s="426">
        <f t="shared" si="26"/>
        <v>6</v>
      </c>
      <c r="AJ52" s="424">
        <f t="shared" si="27"/>
        <v>27200</v>
      </c>
      <c r="AK52" s="424">
        <f t="shared" si="28"/>
        <v>212400</v>
      </c>
      <c r="AL52" s="427">
        <f t="shared" si="29"/>
        <v>71505</v>
      </c>
      <c r="AM52" s="424">
        <f t="shared" si="30"/>
        <v>4862340</v>
      </c>
      <c r="AN52" s="428">
        <f t="shared" si="31"/>
        <v>0.43541102077687444</v>
      </c>
      <c r="AO52" s="428">
        <f t="shared" si="32"/>
        <v>2.5900286693238237</v>
      </c>
      <c r="AP52" s="426" t="str">
        <f t="shared" si="5"/>
        <v>Alta</v>
      </c>
      <c r="AQ52" s="421" t="str">
        <f t="shared" si="6"/>
        <v>Revisión complementaria</v>
      </c>
      <c r="AR52" s="421" t="str">
        <f t="shared" si="7"/>
        <v>Aun sin extremos persiste dispersión relevante; validar alcance técnico.</v>
      </c>
      <c r="AS52" s="421" t="str">
        <f t="shared" si="8"/>
        <v>Promedio depurado sin extremos</v>
      </c>
      <c r="AT52" s="429">
        <f t="shared" si="33"/>
        <v>71505</v>
      </c>
      <c r="AU52" s="421" t="str">
        <f t="shared" si="9"/>
        <v>Definido con depuración</v>
      </c>
      <c r="AV52" s="421" t="str">
        <f t="shared" si="10"/>
        <v>Mantener valor final y dejar nota de dispersión residual</v>
      </c>
      <c r="AW52" s="421" t="str">
        <f t="shared" si="11"/>
        <v>Por alta dispersión se depura un mínimo y un máximo y se adopta el promedio interior.</v>
      </c>
    </row>
    <row r="53" spans="1:49" ht="15.75" customHeight="1" x14ac:dyDescent="0.35">
      <c r="A53" s="421" t="s">
        <v>475</v>
      </c>
      <c r="B53" s="426"/>
      <c r="C53" s="421"/>
      <c r="D53" s="421"/>
      <c r="E53" s="431"/>
      <c r="F53" s="424"/>
      <c r="G53" s="424"/>
      <c r="H53" s="424"/>
      <c r="I53" s="424"/>
      <c r="J53" s="424"/>
      <c r="K53" s="424"/>
      <c r="L53" s="424"/>
      <c r="M53" s="424"/>
      <c r="N53" s="484"/>
      <c r="O53" s="484"/>
    </row>
    <row r="54" spans="1:49" ht="15" customHeight="1" x14ac:dyDescent="0.35"/>
    <row r="56" spans="1:49" x14ac:dyDescent="0.35">
      <c r="AT56" s="436"/>
    </row>
  </sheetData>
  <mergeCells count="9">
    <mergeCell ref="F2:I2"/>
    <mergeCell ref="F4:I6"/>
    <mergeCell ref="F3:I3"/>
    <mergeCell ref="A1:I1"/>
    <mergeCell ref="C2:D2"/>
    <mergeCell ref="C3:D3"/>
    <mergeCell ref="C4:D4"/>
    <mergeCell ref="C5:D5"/>
    <mergeCell ref="C6:D6"/>
  </mergeCells>
  <conditionalFormatting sqref="F9:O52">
    <cfRule type="expression" dxfId="16" priority="1">
      <formula>AND(ISNUMBER(F9),F9&gt;MIN($F9:$O9),F9&lt;MAX($F9:$O9),F9&gt;AVERAGE($F9:$O9))</formula>
    </cfRule>
    <cfRule type="expression" dxfId="15" priority="2">
      <formula>AND(ISNUMBER(F9),F9&gt;MIN($F9:$O9),F9&lt;MAX($F9:$O9),F9&lt;=AVERAGE($F9:$O9))</formula>
    </cfRule>
    <cfRule type="expression" dxfId="14" priority="3">
      <formula>AND(ISNUMBER(F9),F9=MAX($F9:$O9))</formula>
    </cfRule>
    <cfRule type="expression" dxfId="13" priority="4">
      <formula>AND(ISNUMBER(F9),F9=MIN($F9:$O9))</formula>
    </cfRule>
  </conditionalFormatting>
  <hyperlinks>
    <hyperlink ref="A1:I1" location="'TABLERO CONTROL'!A1" display="ESTUDIO DE MERCADO LABORATORIO" xr:uid="{D8664ED0-3019-487D-9BEF-8D0F74188273}"/>
  </hyperlinks>
  <pageMargins left="0.7" right="0.7" top="0.75" bottom="0.75" header="0.3" footer="0.3"/>
  <ignoredErrors>
    <ignoredError sqref="AM16:AT22 AM10:AT14 AM37:AT48 AM49:AT52 AM23:AT36 P10:Q52 S9:U52 V9:V52 W9:W52 E7 AD9:AD52 AP9:AS9 AK9:AL9 AJ10:AL52 AU9:AW9 AU16:AW22 AU10:AW14 AU37:AW48 AU49:AW52 AU23:AW36 P9:Q9"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9E068-5FB4-4D95-BE65-CA99A52EBB22}">
  <dimension ref="A1:AR30"/>
  <sheetViews>
    <sheetView showGridLines="0" zoomScaleNormal="100" workbookViewId="0">
      <selection activeCell="F17" sqref="F17"/>
    </sheetView>
  </sheetViews>
  <sheetFormatPr defaultColWidth="8.73046875" defaultRowHeight="11.65" x14ac:dyDescent="0.35"/>
  <cols>
    <col min="1" max="1" width="20.1328125" style="416" customWidth="1"/>
    <col min="2" max="2" width="8" style="416" customWidth="1"/>
    <col min="3" max="3" width="27.59765625" style="416" bestFit="1" customWidth="1"/>
    <col min="4" max="4" width="14.1328125" style="416" customWidth="1"/>
    <col min="5" max="5" width="11.59765625" style="416" customWidth="1"/>
    <col min="6" max="10" width="10" style="416" customWidth="1"/>
    <col min="11" max="11" width="9.3984375" style="416" customWidth="1"/>
    <col min="12" max="12" width="10.265625" style="416" customWidth="1"/>
    <col min="13" max="13" width="12.73046875" style="416" customWidth="1"/>
    <col min="14" max="14" width="11.265625" style="416" customWidth="1"/>
    <col min="15" max="15" width="12.1328125" style="416" customWidth="1"/>
    <col min="16" max="20" width="11.265625" style="416" customWidth="1"/>
    <col min="21" max="21" width="18" style="416" customWidth="1"/>
    <col min="22" max="22" width="28" style="416" customWidth="1"/>
    <col min="23" max="23" width="62" style="416" customWidth="1"/>
    <col min="24" max="26" width="10.3984375" style="416" customWidth="1"/>
    <col min="27" max="27" width="14" style="416" customWidth="1"/>
    <col min="28" max="28" width="33.73046875" style="416" customWidth="1"/>
    <col min="29" max="30" width="13" style="416" customWidth="1"/>
    <col min="31" max="32" width="12" style="416" customWidth="1"/>
    <col min="33" max="33" width="18" style="416" customWidth="1"/>
    <col min="34" max="34" width="16" style="416" customWidth="1"/>
    <col min="35" max="35" width="18" style="416" customWidth="1"/>
    <col min="36" max="36" width="16" style="416" customWidth="1"/>
    <col min="37" max="37" width="18" style="416" customWidth="1"/>
    <col min="38" max="38" width="36.1328125" style="416" customWidth="1"/>
    <col min="39" max="39" width="49" style="416" customWidth="1"/>
    <col min="40" max="40" width="34.86328125" style="416" customWidth="1"/>
    <col min="41" max="42" width="18" style="416" customWidth="1"/>
    <col min="43" max="43" width="47.73046875" style="416" customWidth="1"/>
    <col min="44" max="44" width="56.86328125" style="416" customWidth="1"/>
    <col min="45" max="16384" width="8.73046875" style="416"/>
  </cols>
  <sheetData>
    <row r="1" spans="1:44" ht="24" customHeight="1" x14ac:dyDescent="0.35">
      <c r="A1" s="841" t="s">
        <v>553</v>
      </c>
      <c r="B1" s="841"/>
      <c r="C1" s="841"/>
      <c r="D1" s="841"/>
      <c r="E1" s="841"/>
      <c r="F1" s="841"/>
      <c r="G1" s="841"/>
      <c r="H1" s="841"/>
      <c r="I1" s="841"/>
      <c r="J1" s="453"/>
      <c r="K1" s="454"/>
      <c r="L1" s="454"/>
      <c r="M1" s="454"/>
      <c r="N1" s="454"/>
      <c r="O1" s="454"/>
      <c r="P1" s="454"/>
      <c r="Q1" s="454"/>
      <c r="R1" s="454"/>
      <c r="S1" s="454"/>
      <c r="T1" s="454"/>
      <c r="U1" s="454"/>
      <c r="V1" s="454"/>
      <c r="W1" s="454"/>
      <c r="X1" s="454"/>
      <c r="Y1" s="454"/>
      <c r="Z1" s="454"/>
      <c r="AA1" s="454"/>
      <c r="AB1" s="454"/>
      <c r="AC1" s="454"/>
      <c r="AD1" s="454"/>
      <c r="AE1" s="454"/>
      <c r="AF1" s="454"/>
      <c r="AG1" s="454"/>
      <c r="AH1" s="454"/>
      <c r="AI1" s="454"/>
      <c r="AJ1" s="454"/>
      <c r="AK1" s="454"/>
      <c r="AL1" s="454"/>
      <c r="AM1" s="454"/>
      <c r="AN1" s="454"/>
      <c r="AO1" s="454"/>
      <c r="AP1" s="454"/>
      <c r="AQ1" s="454"/>
      <c r="AR1" s="455"/>
    </row>
    <row r="2" spans="1:44" ht="24" customHeight="1" x14ac:dyDescent="0.35">
      <c r="A2" s="442" t="s">
        <v>79</v>
      </c>
      <c r="B2" s="442" t="s">
        <v>389</v>
      </c>
      <c r="C2" s="842" t="s">
        <v>480</v>
      </c>
      <c r="D2" s="843"/>
      <c r="E2" s="442" t="s">
        <v>482</v>
      </c>
      <c r="F2" s="831" t="s">
        <v>481</v>
      </c>
      <c r="G2" s="832"/>
      <c r="H2" s="832"/>
      <c r="I2" s="833"/>
    </row>
    <row r="3" spans="1:44" ht="21.75" customHeight="1" x14ac:dyDescent="0.35">
      <c r="A3" s="448" t="s">
        <v>484</v>
      </c>
      <c r="B3" s="441" t="s">
        <v>1</v>
      </c>
      <c r="C3" s="851">
        <f>SUM(AO7:AO14)</f>
        <v>4307150</v>
      </c>
      <c r="D3" s="852"/>
      <c r="E3" s="441">
        <v>68</v>
      </c>
      <c r="F3" s="848" t="s">
        <v>566</v>
      </c>
      <c r="G3" s="849"/>
      <c r="H3" s="849"/>
      <c r="I3" s="850"/>
    </row>
    <row r="4" spans="1:44" ht="24.75" customHeight="1" x14ac:dyDescent="0.35">
      <c r="A4" s="448" t="s">
        <v>487</v>
      </c>
      <c r="B4" s="441" t="s">
        <v>2</v>
      </c>
      <c r="C4" s="853">
        <f>SUM(AO15:AO18)</f>
        <v>639322</v>
      </c>
      <c r="D4" s="854"/>
      <c r="E4" s="441">
        <v>68</v>
      </c>
      <c r="F4" s="848" t="s">
        <v>567</v>
      </c>
      <c r="G4" s="849"/>
      <c r="H4" s="849"/>
      <c r="I4" s="850"/>
    </row>
    <row r="5" spans="1:44" ht="24.75" customHeight="1" x14ac:dyDescent="0.35">
      <c r="A5" s="448" t="s">
        <v>612</v>
      </c>
      <c r="B5" s="441" t="s">
        <v>3</v>
      </c>
      <c r="C5" s="853">
        <f>AO19</f>
        <v>10000000</v>
      </c>
      <c r="D5" s="854"/>
      <c r="E5" s="441">
        <v>2</v>
      </c>
      <c r="F5" s="848" t="s">
        <v>613</v>
      </c>
      <c r="G5" s="849"/>
      <c r="H5" s="849"/>
      <c r="I5" s="850"/>
    </row>
    <row r="6" spans="1:44" ht="23.25" x14ac:dyDescent="0.35">
      <c r="A6" s="417" t="s">
        <v>388</v>
      </c>
      <c r="B6" s="417" t="s">
        <v>389</v>
      </c>
      <c r="C6" s="417" t="s">
        <v>390</v>
      </c>
      <c r="D6" s="417" t="s">
        <v>644</v>
      </c>
      <c r="E6" s="417" t="s">
        <v>391</v>
      </c>
      <c r="F6" s="418" t="s">
        <v>392</v>
      </c>
      <c r="G6" s="418" t="s">
        <v>393</v>
      </c>
      <c r="H6" s="418" t="s">
        <v>394</v>
      </c>
      <c r="I6" s="418" t="s">
        <v>395</v>
      </c>
      <c r="J6" s="418" t="s">
        <v>485</v>
      </c>
      <c r="K6" s="419" t="s">
        <v>400</v>
      </c>
      <c r="L6" s="419" t="s">
        <v>401</v>
      </c>
      <c r="M6" s="419" t="s">
        <v>402</v>
      </c>
      <c r="N6" s="419" t="s">
        <v>403</v>
      </c>
      <c r="O6" s="419" t="s">
        <v>404</v>
      </c>
      <c r="P6" s="419" t="s">
        <v>405</v>
      </c>
      <c r="Q6" s="419" t="s">
        <v>406</v>
      </c>
      <c r="R6" s="419" t="s">
        <v>407</v>
      </c>
      <c r="S6" s="419" t="s">
        <v>408</v>
      </c>
      <c r="T6" s="419" t="s">
        <v>409</v>
      </c>
      <c r="U6" s="419" t="s">
        <v>410</v>
      </c>
      <c r="V6" s="419" t="s">
        <v>411</v>
      </c>
      <c r="W6" s="419" t="s">
        <v>412</v>
      </c>
      <c r="X6" s="419" t="s">
        <v>413</v>
      </c>
      <c r="Y6" s="419" t="s">
        <v>414</v>
      </c>
      <c r="Z6" s="419" t="s">
        <v>415</v>
      </c>
      <c r="AA6" s="419" t="s">
        <v>416</v>
      </c>
      <c r="AB6" s="419" t="s">
        <v>417</v>
      </c>
      <c r="AC6" s="420" t="s">
        <v>418</v>
      </c>
      <c r="AD6" s="420" t="s">
        <v>419</v>
      </c>
      <c r="AE6" s="420" t="s">
        <v>420</v>
      </c>
      <c r="AF6" s="420" t="s">
        <v>421</v>
      </c>
      <c r="AG6" s="420" t="s">
        <v>422</v>
      </c>
      <c r="AH6" s="420" t="s">
        <v>423</v>
      </c>
      <c r="AI6" s="420" t="s">
        <v>424</v>
      </c>
      <c r="AJ6" s="420" t="s">
        <v>425</v>
      </c>
      <c r="AK6" s="420" t="s">
        <v>426</v>
      </c>
      <c r="AL6" s="420" t="s">
        <v>427</v>
      </c>
      <c r="AM6" s="420" t="s">
        <v>428</v>
      </c>
      <c r="AN6" s="417" t="s">
        <v>429</v>
      </c>
      <c r="AO6" s="417" t="s">
        <v>73</v>
      </c>
      <c r="AP6" s="417" t="s">
        <v>430</v>
      </c>
      <c r="AQ6" s="417" t="s">
        <v>431</v>
      </c>
      <c r="AR6" s="417" t="s">
        <v>71</v>
      </c>
    </row>
    <row r="7" spans="1:44" ht="15.75" customHeight="1" x14ac:dyDescent="0.35">
      <c r="A7" s="421" t="s">
        <v>253</v>
      </c>
      <c r="B7" s="422">
        <v>1</v>
      </c>
      <c r="C7" s="421" t="s">
        <v>254</v>
      </c>
      <c r="D7" s="421" t="s">
        <v>636</v>
      </c>
      <c r="E7" s="423">
        <v>68</v>
      </c>
      <c r="F7" s="424">
        <v>264000</v>
      </c>
      <c r="G7" s="424">
        <v>139900</v>
      </c>
      <c r="H7" s="424">
        <v>106000</v>
      </c>
      <c r="I7" s="424">
        <v>212400</v>
      </c>
      <c r="J7" s="424"/>
      <c r="K7" s="425">
        <f>COUNT(F7:J7)</f>
        <v>4</v>
      </c>
      <c r="L7" s="422">
        <f t="shared" ref="L7:L19" si="0">COUNT(F7:I7)</f>
        <v>4</v>
      </c>
      <c r="M7" s="426" t="str">
        <f>IF(K7=0,"",IF(N7=F7,"Lasertec",IF(N7=G7,"Chemilab",IF(N7=H7,"CIMA",IF(N7=I7,"SGI",IF(N7=J7,"ANCLA",""))))))</f>
        <v>CIMA</v>
      </c>
      <c r="N7" s="424">
        <f t="shared" ref="N7:N19" si="1">IF(K7=0,"",MIN(F7:J7))</f>
        <v>106000</v>
      </c>
      <c r="O7" s="426" t="str">
        <f>IF(K7=0,"",IF(P7=F7,"Lasertec",IF(P7=G7,"Chemilab",IF(P7=H7,"CIMA",IF(P7=I7,"SGI",IF(P7=J7,"ANCLA",""))))))</f>
        <v>Lasertec</v>
      </c>
      <c r="P7" s="424">
        <f t="shared" ref="P7:P19" si="2">IF(K7=0,"",MAX(F7:J7))</f>
        <v>264000</v>
      </c>
      <c r="Q7" s="427">
        <f t="shared" ref="Q7:Q19" si="3">IF(K7=0,"",ROUND(MEDIAN(F7:J7),0))</f>
        <v>176150</v>
      </c>
      <c r="R7" s="427">
        <f>IF(K7=0,"",IF(K7&gt;=3,ROUND(MEDIAN(F7:J7),0),IF(K7=2,ROUND(AVERAGE(F7:J7),0),MAX(F7:J7))))</f>
        <v>176150</v>
      </c>
      <c r="S7" s="424">
        <f>IF(OR(E7="",R7=""),"",E7*R7)</f>
        <v>11978200</v>
      </c>
      <c r="T7" s="430">
        <f t="shared" ref="T7:T19" si="4">IFERROR((R7-Q7)/Q7,"")</f>
        <v>0</v>
      </c>
      <c r="U7" s="421" t="str">
        <f t="shared" ref="U7:U19" si="5">IF(K7=0,"Sin soporte",IF(AA7="Sí","Revisión por dispersión",IF(L7&lt;=1,"Único soporte formal",IF(K7&gt;=4,"Robusto",IF(K7=3,"Aceptable","Débil")))))</f>
        <v>Revisión por dispersión</v>
      </c>
      <c r="V7" s="421" t="str">
        <f t="shared" ref="V7:V19" si="6">IF(K7=0,"Buscar referencias adicionales",IF(L7&lt;=1,"Solicitar 2 cotizaciones adicionales",IF(AA7="Sí","Validación técnica y segunda ronda",IF(K7=2,"Solicitar 1 cotización adicional","No obligatoria"))))</f>
        <v>Validación técnica y segunda ronda</v>
      </c>
      <c r="W7" s="421" t="str">
        <f t="shared" ref="W7:W19" si="7">IF(K7=0,"Sin referencias comparables.",IF(AA7="Sí","Diferencia entre máximo y mínimo superior al 30% de la mediana; no excluir atípicos sin justificación.",IF(L7&lt;=1,"Solo existe 1 soporte formal comparable.",IF(K7=2,"Solo hay 2 referencias de mercado; completar pluralidad.","Comparación con mercado suficiente para fijar precio de referencia."))))</f>
        <v>Diferencia entre máximo y mínimo superior al 30% de la mediana; no excluir atípicos sin justificación.</v>
      </c>
      <c r="X7" s="428">
        <f>IFERROR((P7-N7)/Q7,"")</f>
        <v>0.89696281578200399</v>
      </c>
      <c r="Y7" s="428">
        <f t="shared" ref="Y7:Y19" si="8">IF(COUNT(F7:J7)&gt;1,STDEV(F7:J7)/AVERAGE(F7:J7),"")</f>
        <v>0.39403830413736868</v>
      </c>
      <c r="Z7" s="426" t="str">
        <f t="shared" ref="Z7:Z19" si="9">IF(K7=0,"Sin soportes",IF(K7=1,"Soporte único",IF(X7&lt;=0.15,"Baja",IF(X7&lt;=0.3,"Media","Alta"))))</f>
        <v>Alta</v>
      </c>
      <c r="AA7" s="426" t="str">
        <f t="shared" ref="AA7:AA19" si="10">IF(AND(K7&gt;1,X7&gt;0.3),"Sí","No")</f>
        <v>Sí</v>
      </c>
      <c r="AB7" s="426" t="str">
        <f t="shared" ref="AB7:AB19" si="11">IF(K7=0,"Sin referencia",IF(K7=1,"Precio único provisional",IF(AA7="Sí","Mediana referencial sujeta a validación",IF(K7&gt;=3,"Mediana",IF(K7=2,"Promedio","")))))</f>
        <v>Mediana referencial sujeta a validación</v>
      </c>
      <c r="AC7" s="426" t="str">
        <f t="shared" ref="AC7:AC19" si="12">IF(K7&gt;=3,"Sí","No")</f>
        <v>Sí</v>
      </c>
      <c r="AD7" s="426">
        <f t="shared" ref="AD7:AD19" si="13">IF(K7&gt;=3,K7-2,K7)</f>
        <v>2</v>
      </c>
      <c r="AE7" s="424">
        <f>IF(K7&gt;=4,SMALL(F7:J7,2),IF(K7=3,MEDIAN(F7:J7),IF(K7&gt;0,MIN(F7:J7),"")))</f>
        <v>139900</v>
      </c>
      <c r="AF7" s="424">
        <f t="shared" ref="AF7:AF19" si="14">IF(K7&gt;=4,LARGE(F7:J7,2),IF(K7=3,MEDIAN(F7:J7),IF(K7&gt;0,MAX(F7:J7),"")))</f>
        <v>212400</v>
      </c>
      <c r="AG7" s="427">
        <f t="shared" ref="AG7:AG19" si="15">IF(K7&gt;=4,ROUND((SUM(F7:J7)-MIN(F7:J7)-MAX(F7:J7))/(K7-2),0),IF(K7=3,ROUND(MEDIAN(F7:J7),0),IF(K7=2,ROUND(AVERAGE(F7:J7),0),IF(K7=1,MAX(F7:J7),""))))</f>
        <v>176150</v>
      </c>
      <c r="AH7" s="424">
        <f t="shared" ref="AH7:AH19" si="16">IF(OR(E7="",AG7=""),"",E7*AG7)</f>
        <v>11978200</v>
      </c>
      <c r="AI7" s="428">
        <f t="shared" ref="AI7:AI19" si="17">IFERROR((AG7-Q7)/Q7,"")</f>
        <v>0</v>
      </c>
      <c r="AJ7" s="428">
        <f t="shared" ref="AJ7:AJ19" si="18">IFERROR((AF7-AE7)/AG7,"")</f>
        <v>0.41158103888731196</v>
      </c>
      <c r="AK7" s="426" t="str">
        <f t="shared" ref="AK7:AK19" si="19">IF(AD7=0,"Sin soportes",IF(AD7=1,"Soporte único",IF(AJ7&lt;=0.15,"Baja",IF(AJ7&lt;=0.3,"Media","Alta"))))</f>
        <v>Alta</v>
      </c>
      <c r="AL7" s="421" t="str">
        <f t="shared" ref="AL7:AL19" si="20">IF(K7=0,"Sin referencia",IF(K7&lt;3,"Sin recorte por soportes insuficientes",IF(AK7="Alta","Revisión complementaria","Precio depurado útil")))</f>
        <v>Revisión complementaria</v>
      </c>
      <c r="AM7" s="421" t="str">
        <f t="shared" ref="AM7:AM19" si="21">IF(K7&lt;3,"No se eliminan extremos porque no hay pluralidad suficiente.",IF(AK7="Alta","Aun sin extremos persiste dispersión relevante; validar alcance técnico.","Se retiró un mínimo y un máximo para prueba de sensibilidad del mercado."))</f>
        <v>Aun sin extremos persiste dispersión relevante; validar alcance técnico.</v>
      </c>
      <c r="AN7" s="421" t="str">
        <f t="shared" ref="AN7:AN19" si="22">IF(K7=0,"Sin referencia",IF(K7=1,"Valor único de mercado",IF(AND(K7&gt;=4,Z7="Alta"),"Promedio depurado sin extremos",IF(AND(K7&gt;=3,Z7="Alta"),"Mediana de mercado (sin depuración fuerte)",IF(K7&gt;=3,"Mediana de mercado","Promedio simple de mercado")))))</f>
        <v>Promedio depurado sin extremos</v>
      </c>
      <c r="AO7" s="429">
        <f t="shared" ref="AO7:AO19" si="23">IF(K7=0,"",IF(AND(K7&gt;=4,Z7="Alta",AG7&lt;&gt;""),AG7,R7))</f>
        <v>176150</v>
      </c>
      <c r="AP7" s="421" t="str">
        <f t="shared" ref="AP7:AP19" si="24">IF(K7=0,"Sin precio",IF(K7=1,"Provisional: soporte único",IF(K7=2,"Definido con 2 soportes",IF(AND(K7&gt;=4,Z7="Alta"),"Definido con depuración","Definido"))))</f>
        <v>Definido con depuración</v>
      </c>
      <c r="AQ7" s="421" t="str">
        <f t="shared" ref="AQ7:AQ19" si="25">IF(K7=0,"Buscar mercado adicional",IF(K7=1,"Solicitar mínimo 2 cotizaciones adicionales",IF(K7=2,"Conveniente solicitar 1 cotización adicional",IF(AND(K7&gt;=4,Z7="Alta",AK7="Alta"),"Mantener valor final y dejar nota de dispersión residual",IF(AND(K7&gt;=4,Z7="Alta"),"Usar valor depurado y conservar trazabilidad de extremos","Usar valor final recomendado")))))</f>
        <v>Mantener valor final y dejar nota de dispersión residual</v>
      </c>
      <c r="AR7" s="421" t="str">
        <f t="shared" ref="AR7:AR19" si="26">IF(K7=0,"No hay soporte comparable.",IF(K7=1,"El valor final corresponde al único soporte comparable disponible.",IF(AND(K7&gt;=4,Z7="Alta"),"Por alta dispersión se depura un mínimo y un máximo y se adopta el promedio interior.",IF(K7&gt;=3,"Se adopta la mediana del mercado por ser una medida robusta.","Con 2 soportes se usa el promedio simple de mercado."))))</f>
        <v>Por alta dispersión se depura un mínimo y un máximo y se adopta el promedio interior.</v>
      </c>
    </row>
    <row r="8" spans="1:44" ht="15.75" customHeight="1" x14ac:dyDescent="0.35">
      <c r="A8" s="421" t="s">
        <v>253</v>
      </c>
      <c r="B8" s="422">
        <v>2</v>
      </c>
      <c r="C8" s="421" t="s">
        <v>255</v>
      </c>
      <c r="D8" s="421" t="s">
        <v>637</v>
      </c>
      <c r="E8" s="423">
        <v>68</v>
      </c>
      <c r="F8" s="424">
        <v>264000</v>
      </c>
      <c r="G8" s="424">
        <v>139900</v>
      </c>
      <c r="H8" s="424">
        <v>106000</v>
      </c>
      <c r="I8" s="424">
        <v>212400</v>
      </c>
      <c r="J8" s="424"/>
      <c r="K8" s="425">
        <f t="shared" ref="K8:K19" si="27">COUNT(F8:J8)</f>
        <v>4</v>
      </c>
      <c r="L8" s="422">
        <f t="shared" si="0"/>
        <v>4</v>
      </c>
      <c r="M8" s="426" t="str">
        <f t="shared" ref="M8:M19" si="28">IF(K8=0,"",IF(N8=F8,"Lasertec",IF(N8=G8,"Chemilab",IF(N8=H8,"CIMA",IF(N8=I8,"SGI",IF(N8=J8,"ANCLA",""))))))</f>
        <v>CIMA</v>
      </c>
      <c r="N8" s="424">
        <f t="shared" si="1"/>
        <v>106000</v>
      </c>
      <c r="O8" s="426" t="str">
        <f t="shared" ref="O8:O19" si="29">IF(K8=0,"",IF(P8=F8,"Lasertec",IF(P8=G8,"Chemilab",IF(P8=H8,"CIMA",IF(P8=I8,"SGI",IF(P8=J8,"ANCLA",""))))))</f>
        <v>Lasertec</v>
      </c>
      <c r="P8" s="424">
        <f t="shared" si="2"/>
        <v>264000</v>
      </c>
      <c r="Q8" s="427">
        <f t="shared" si="3"/>
        <v>176150</v>
      </c>
      <c r="R8" s="427">
        <f t="shared" ref="R8:R19" si="30">IF(K8=0,"",IF(K8&gt;=3,ROUND(MEDIAN(F8:J8),0),IF(K8=2,ROUND(AVERAGE(F8:J8),0),MAX(F8:J8))))</f>
        <v>176150</v>
      </c>
      <c r="S8" s="424">
        <f t="shared" ref="S8:S19" si="31">IF(OR(E8="",R8=""),"",E8*R8)</f>
        <v>11978200</v>
      </c>
      <c r="T8" s="430">
        <f t="shared" si="4"/>
        <v>0</v>
      </c>
      <c r="U8" s="421" t="str">
        <f t="shared" si="5"/>
        <v>Revisión por dispersión</v>
      </c>
      <c r="V8" s="421" t="str">
        <f t="shared" si="6"/>
        <v>Validación técnica y segunda ronda</v>
      </c>
      <c r="W8" s="421" t="str">
        <f t="shared" si="7"/>
        <v>Diferencia entre máximo y mínimo superior al 30% de la mediana; no excluir atípicos sin justificación.</v>
      </c>
      <c r="X8" s="428">
        <f t="shared" ref="X8:X19" si="32">IFERROR((P8-N8)/Q8,"")</f>
        <v>0.89696281578200399</v>
      </c>
      <c r="Y8" s="428">
        <f t="shared" si="8"/>
        <v>0.39403830413736868</v>
      </c>
      <c r="Z8" s="426" t="str">
        <f t="shared" si="9"/>
        <v>Alta</v>
      </c>
      <c r="AA8" s="426" t="str">
        <f t="shared" si="10"/>
        <v>Sí</v>
      </c>
      <c r="AB8" s="426" t="str">
        <f t="shared" si="11"/>
        <v>Mediana referencial sujeta a validación</v>
      </c>
      <c r="AC8" s="426" t="str">
        <f t="shared" si="12"/>
        <v>Sí</v>
      </c>
      <c r="AD8" s="426">
        <f t="shared" si="13"/>
        <v>2</v>
      </c>
      <c r="AE8" s="424">
        <f t="shared" ref="AE8:AE19" si="33">IF(K8&gt;=4,SMALL(F8:J8,2),IF(K8=3,MEDIAN(F8:J8),IF(K8&gt;0,MIN(F8:J8),"")))</f>
        <v>139900</v>
      </c>
      <c r="AF8" s="424">
        <f t="shared" si="14"/>
        <v>212400</v>
      </c>
      <c r="AG8" s="427">
        <f t="shared" si="15"/>
        <v>176150</v>
      </c>
      <c r="AH8" s="424">
        <f t="shared" si="16"/>
        <v>11978200</v>
      </c>
      <c r="AI8" s="428">
        <f t="shared" si="17"/>
        <v>0</v>
      </c>
      <c r="AJ8" s="428">
        <f t="shared" si="18"/>
        <v>0.41158103888731196</v>
      </c>
      <c r="AK8" s="426" t="str">
        <f t="shared" si="19"/>
        <v>Alta</v>
      </c>
      <c r="AL8" s="421" t="str">
        <f t="shared" si="20"/>
        <v>Revisión complementaria</v>
      </c>
      <c r="AM8" s="421" t="str">
        <f t="shared" si="21"/>
        <v>Aun sin extremos persiste dispersión relevante; validar alcance técnico.</v>
      </c>
      <c r="AN8" s="421" t="str">
        <f t="shared" si="22"/>
        <v>Promedio depurado sin extremos</v>
      </c>
      <c r="AO8" s="429">
        <f t="shared" si="23"/>
        <v>176150</v>
      </c>
      <c r="AP8" s="421" t="str">
        <f t="shared" si="24"/>
        <v>Definido con depuración</v>
      </c>
      <c r="AQ8" s="421" t="str">
        <f t="shared" si="25"/>
        <v>Mantener valor final y dejar nota de dispersión residual</v>
      </c>
      <c r="AR8" s="421" t="str">
        <f t="shared" si="26"/>
        <v>Por alta dispersión se depura un mínimo y un máximo y se adopta el promedio interior.</v>
      </c>
    </row>
    <row r="9" spans="1:44" ht="15.75" customHeight="1" x14ac:dyDescent="0.35">
      <c r="A9" s="421" t="s">
        <v>253</v>
      </c>
      <c r="B9" s="422">
        <v>3</v>
      </c>
      <c r="C9" s="421" t="s">
        <v>256</v>
      </c>
      <c r="D9" s="421" t="s">
        <v>637</v>
      </c>
      <c r="E9" s="423">
        <v>68</v>
      </c>
      <c r="F9" s="424">
        <v>264000</v>
      </c>
      <c r="G9" s="424">
        <v>139900</v>
      </c>
      <c r="H9" s="424">
        <v>106000</v>
      </c>
      <c r="I9" s="424">
        <v>212400</v>
      </c>
      <c r="J9" s="424"/>
      <c r="K9" s="425">
        <f t="shared" si="27"/>
        <v>4</v>
      </c>
      <c r="L9" s="422">
        <f t="shared" si="0"/>
        <v>4</v>
      </c>
      <c r="M9" s="426" t="str">
        <f t="shared" si="28"/>
        <v>CIMA</v>
      </c>
      <c r="N9" s="424">
        <f t="shared" si="1"/>
        <v>106000</v>
      </c>
      <c r="O9" s="426" t="str">
        <f t="shared" si="29"/>
        <v>Lasertec</v>
      </c>
      <c r="P9" s="424">
        <f t="shared" si="2"/>
        <v>264000</v>
      </c>
      <c r="Q9" s="427">
        <f t="shared" si="3"/>
        <v>176150</v>
      </c>
      <c r="R9" s="427">
        <f t="shared" si="30"/>
        <v>176150</v>
      </c>
      <c r="S9" s="424">
        <f t="shared" si="31"/>
        <v>11978200</v>
      </c>
      <c r="T9" s="430">
        <f t="shared" si="4"/>
        <v>0</v>
      </c>
      <c r="U9" s="421" t="str">
        <f t="shared" si="5"/>
        <v>Revisión por dispersión</v>
      </c>
      <c r="V9" s="421" t="str">
        <f t="shared" si="6"/>
        <v>Validación técnica y segunda ronda</v>
      </c>
      <c r="W9" s="421" t="str">
        <f t="shared" si="7"/>
        <v>Diferencia entre máximo y mínimo superior al 30% de la mediana; no excluir atípicos sin justificación.</v>
      </c>
      <c r="X9" s="428">
        <f t="shared" si="32"/>
        <v>0.89696281578200399</v>
      </c>
      <c r="Y9" s="428">
        <f t="shared" si="8"/>
        <v>0.39403830413736868</v>
      </c>
      <c r="Z9" s="426" t="str">
        <f t="shared" si="9"/>
        <v>Alta</v>
      </c>
      <c r="AA9" s="426" t="str">
        <f t="shared" si="10"/>
        <v>Sí</v>
      </c>
      <c r="AB9" s="426" t="str">
        <f t="shared" si="11"/>
        <v>Mediana referencial sujeta a validación</v>
      </c>
      <c r="AC9" s="426" t="str">
        <f t="shared" si="12"/>
        <v>Sí</v>
      </c>
      <c r="AD9" s="426">
        <f t="shared" si="13"/>
        <v>2</v>
      </c>
      <c r="AE9" s="424">
        <f t="shared" si="33"/>
        <v>139900</v>
      </c>
      <c r="AF9" s="424">
        <f t="shared" si="14"/>
        <v>212400</v>
      </c>
      <c r="AG9" s="427">
        <f t="shared" si="15"/>
        <v>176150</v>
      </c>
      <c r="AH9" s="424">
        <f t="shared" si="16"/>
        <v>11978200</v>
      </c>
      <c r="AI9" s="428">
        <f t="shared" si="17"/>
        <v>0</v>
      </c>
      <c r="AJ9" s="428">
        <f t="shared" si="18"/>
        <v>0.41158103888731196</v>
      </c>
      <c r="AK9" s="426" t="str">
        <f t="shared" si="19"/>
        <v>Alta</v>
      </c>
      <c r="AL9" s="421" t="str">
        <f t="shared" si="20"/>
        <v>Revisión complementaria</v>
      </c>
      <c r="AM9" s="421" t="str">
        <f t="shared" si="21"/>
        <v>Aun sin extremos persiste dispersión relevante; validar alcance técnico.</v>
      </c>
      <c r="AN9" s="421" t="str">
        <f t="shared" si="22"/>
        <v>Promedio depurado sin extremos</v>
      </c>
      <c r="AO9" s="429">
        <f t="shared" si="23"/>
        <v>176150</v>
      </c>
      <c r="AP9" s="421" t="str">
        <f t="shared" si="24"/>
        <v>Definido con depuración</v>
      </c>
      <c r="AQ9" s="421" t="str">
        <f t="shared" si="25"/>
        <v>Mantener valor final y dejar nota de dispersión residual</v>
      </c>
      <c r="AR9" s="421" t="str">
        <f t="shared" si="26"/>
        <v>Por alta dispersión se depura un mínimo y un máximo y se adopta el promedio interior.</v>
      </c>
    </row>
    <row r="10" spans="1:44" ht="15.75" customHeight="1" x14ac:dyDescent="0.35">
      <c r="A10" s="421" t="s">
        <v>253</v>
      </c>
      <c r="B10" s="422">
        <v>4</v>
      </c>
      <c r="C10" s="421" t="s">
        <v>463</v>
      </c>
      <c r="D10" s="421" t="s">
        <v>638</v>
      </c>
      <c r="E10" s="423">
        <v>68</v>
      </c>
      <c r="F10" s="424">
        <v>264000</v>
      </c>
      <c r="G10" s="424">
        <v>139900</v>
      </c>
      <c r="H10" s="424">
        <v>106000</v>
      </c>
      <c r="I10" s="424">
        <v>212400</v>
      </c>
      <c r="J10" s="424"/>
      <c r="K10" s="425">
        <f t="shared" si="27"/>
        <v>4</v>
      </c>
      <c r="L10" s="422">
        <f t="shared" si="0"/>
        <v>4</v>
      </c>
      <c r="M10" s="426" t="str">
        <f t="shared" si="28"/>
        <v>CIMA</v>
      </c>
      <c r="N10" s="424">
        <f t="shared" si="1"/>
        <v>106000</v>
      </c>
      <c r="O10" s="426" t="str">
        <f t="shared" si="29"/>
        <v>Lasertec</v>
      </c>
      <c r="P10" s="424">
        <f t="shared" si="2"/>
        <v>264000</v>
      </c>
      <c r="Q10" s="427">
        <f t="shared" si="3"/>
        <v>176150</v>
      </c>
      <c r="R10" s="427">
        <f t="shared" si="30"/>
        <v>176150</v>
      </c>
      <c r="S10" s="424">
        <f t="shared" si="31"/>
        <v>11978200</v>
      </c>
      <c r="T10" s="430">
        <f t="shared" si="4"/>
        <v>0</v>
      </c>
      <c r="U10" s="421" t="str">
        <f t="shared" si="5"/>
        <v>Revisión por dispersión</v>
      </c>
      <c r="V10" s="421" t="str">
        <f t="shared" si="6"/>
        <v>Validación técnica y segunda ronda</v>
      </c>
      <c r="W10" s="421" t="str">
        <f t="shared" si="7"/>
        <v>Diferencia entre máximo y mínimo superior al 30% de la mediana; no excluir atípicos sin justificación.</v>
      </c>
      <c r="X10" s="428">
        <f t="shared" si="32"/>
        <v>0.89696281578200399</v>
      </c>
      <c r="Y10" s="428">
        <f t="shared" si="8"/>
        <v>0.39403830413736868</v>
      </c>
      <c r="Z10" s="426" t="str">
        <f t="shared" si="9"/>
        <v>Alta</v>
      </c>
      <c r="AA10" s="426" t="str">
        <f t="shared" si="10"/>
        <v>Sí</v>
      </c>
      <c r="AB10" s="426" t="str">
        <f t="shared" si="11"/>
        <v>Mediana referencial sujeta a validación</v>
      </c>
      <c r="AC10" s="426" t="str">
        <f t="shared" si="12"/>
        <v>Sí</v>
      </c>
      <c r="AD10" s="426">
        <f t="shared" si="13"/>
        <v>2</v>
      </c>
      <c r="AE10" s="424">
        <f t="shared" si="33"/>
        <v>139900</v>
      </c>
      <c r="AF10" s="424">
        <f t="shared" si="14"/>
        <v>212400</v>
      </c>
      <c r="AG10" s="427">
        <f t="shared" si="15"/>
        <v>176150</v>
      </c>
      <c r="AH10" s="424">
        <f t="shared" si="16"/>
        <v>11978200</v>
      </c>
      <c r="AI10" s="428">
        <f t="shared" si="17"/>
        <v>0</v>
      </c>
      <c r="AJ10" s="428">
        <f t="shared" si="18"/>
        <v>0.41158103888731196</v>
      </c>
      <c r="AK10" s="426" t="str">
        <f t="shared" si="19"/>
        <v>Alta</v>
      </c>
      <c r="AL10" s="421" t="str">
        <f t="shared" si="20"/>
        <v>Revisión complementaria</v>
      </c>
      <c r="AM10" s="421" t="str">
        <f t="shared" si="21"/>
        <v>Aun sin extremos persiste dispersión relevante; validar alcance técnico.</v>
      </c>
      <c r="AN10" s="421" t="str">
        <f t="shared" si="22"/>
        <v>Promedio depurado sin extremos</v>
      </c>
      <c r="AO10" s="429">
        <f t="shared" si="23"/>
        <v>176150</v>
      </c>
      <c r="AP10" s="421" t="str">
        <f t="shared" si="24"/>
        <v>Definido con depuración</v>
      </c>
      <c r="AQ10" s="421" t="str">
        <f t="shared" si="25"/>
        <v>Mantener valor final y dejar nota de dispersión residual</v>
      </c>
      <c r="AR10" s="421" t="str">
        <f t="shared" si="26"/>
        <v>Por alta dispersión se depura un mínimo y un máximo y se adopta el promedio interior.</v>
      </c>
    </row>
    <row r="11" spans="1:44" ht="15.75" customHeight="1" x14ac:dyDescent="0.35">
      <c r="A11" s="421" t="s">
        <v>253</v>
      </c>
      <c r="B11" s="422">
        <v>5</v>
      </c>
      <c r="C11" s="421" t="s">
        <v>257</v>
      </c>
      <c r="D11" s="421" t="s">
        <v>639</v>
      </c>
      <c r="E11" s="423">
        <v>68</v>
      </c>
      <c r="F11" s="424">
        <v>264000</v>
      </c>
      <c r="G11" s="424"/>
      <c r="H11" s="424">
        <v>106000</v>
      </c>
      <c r="I11" s="424">
        <v>212400</v>
      </c>
      <c r="J11" s="424"/>
      <c r="K11" s="425">
        <f t="shared" si="27"/>
        <v>3</v>
      </c>
      <c r="L11" s="422">
        <f t="shared" si="0"/>
        <v>3</v>
      </c>
      <c r="M11" s="426" t="str">
        <f t="shared" si="28"/>
        <v>CIMA</v>
      </c>
      <c r="N11" s="424">
        <f t="shared" si="1"/>
        <v>106000</v>
      </c>
      <c r="O11" s="426" t="str">
        <f t="shared" si="29"/>
        <v>Lasertec</v>
      </c>
      <c r="P11" s="424">
        <f t="shared" si="2"/>
        <v>264000</v>
      </c>
      <c r="Q11" s="427">
        <f t="shared" si="3"/>
        <v>212400</v>
      </c>
      <c r="R11" s="427">
        <f t="shared" si="30"/>
        <v>212400</v>
      </c>
      <c r="S11" s="424">
        <f t="shared" si="31"/>
        <v>14443200</v>
      </c>
      <c r="T11" s="430">
        <f t="shared" si="4"/>
        <v>0</v>
      </c>
      <c r="U11" s="421" t="str">
        <f t="shared" si="5"/>
        <v>Revisión por dispersión</v>
      </c>
      <c r="V11" s="421" t="str">
        <f t="shared" si="6"/>
        <v>Validación técnica y segunda ronda</v>
      </c>
      <c r="W11" s="421" t="str">
        <f t="shared" si="7"/>
        <v>Diferencia entre máximo y mínimo superior al 30% de la mediana; no excluir atípicos sin justificación.</v>
      </c>
      <c r="X11" s="428">
        <f t="shared" si="32"/>
        <v>0.74387947269303201</v>
      </c>
      <c r="Y11" s="428">
        <f t="shared" si="8"/>
        <v>0.41501535730609229</v>
      </c>
      <c r="Z11" s="426" t="str">
        <f t="shared" si="9"/>
        <v>Alta</v>
      </c>
      <c r="AA11" s="426" t="str">
        <f t="shared" si="10"/>
        <v>Sí</v>
      </c>
      <c r="AB11" s="426" t="str">
        <f t="shared" si="11"/>
        <v>Mediana referencial sujeta a validación</v>
      </c>
      <c r="AC11" s="426" t="str">
        <f t="shared" si="12"/>
        <v>Sí</v>
      </c>
      <c r="AD11" s="426">
        <f t="shared" si="13"/>
        <v>1</v>
      </c>
      <c r="AE11" s="424">
        <f t="shared" si="33"/>
        <v>212400</v>
      </c>
      <c r="AF11" s="424">
        <f t="shared" si="14"/>
        <v>212400</v>
      </c>
      <c r="AG11" s="427">
        <f t="shared" si="15"/>
        <v>212400</v>
      </c>
      <c r="AH11" s="424">
        <f t="shared" si="16"/>
        <v>14443200</v>
      </c>
      <c r="AI11" s="428">
        <f t="shared" si="17"/>
        <v>0</v>
      </c>
      <c r="AJ11" s="428">
        <f t="shared" si="18"/>
        <v>0</v>
      </c>
      <c r="AK11" s="426" t="str">
        <f t="shared" si="19"/>
        <v>Soporte único</v>
      </c>
      <c r="AL11" s="421" t="str">
        <f t="shared" si="20"/>
        <v>Precio depurado útil</v>
      </c>
      <c r="AM11" s="421" t="str">
        <f t="shared" si="21"/>
        <v>Se retiró un mínimo y un máximo para prueba de sensibilidad del mercado.</v>
      </c>
      <c r="AN11" s="421" t="str">
        <f t="shared" si="22"/>
        <v>Mediana de mercado (sin depuración fuerte)</v>
      </c>
      <c r="AO11" s="429">
        <f t="shared" si="23"/>
        <v>212400</v>
      </c>
      <c r="AP11" s="421" t="str">
        <f t="shared" si="24"/>
        <v>Definido</v>
      </c>
      <c r="AQ11" s="421" t="str">
        <f t="shared" si="25"/>
        <v>Usar valor final recomendado</v>
      </c>
      <c r="AR11" s="421" t="str">
        <f t="shared" si="26"/>
        <v>Se adopta la mediana del mercado por ser una medida robusta.</v>
      </c>
    </row>
    <row r="12" spans="1:44" ht="15.75" customHeight="1" x14ac:dyDescent="0.35">
      <c r="A12" s="421" t="s">
        <v>253</v>
      </c>
      <c r="B12" s="422">
        <v>6</v>
      </c>
      <c r="C12" s="421" t="s">
        <v>464</v>
      </c>
      <c r="D12" s="421" t="s">
        <v>640</v>
      </c>
      <c r="E12" s="423">
        <v>68</v>
      </c>
      <c r="F12" s="424">
        <v>264000</v>
      </c>
      <c r="G12" s="424">
        <v>139900</v>
      </c>
      <c r="H12" s="424">
        <v>106000</v>
      </c>
      <c r="I12" s="424">
        <v>212400</v>
      </c>
      <c r="J12" s="424"/>
      <c r="K12" s="425">
        <f t="shared" si="27"/>
        <v>4</v>
      </c>
      <c r="L12" s="422">
        <f t="shared" si="0"/>
        <v>4</v>
      </c>
      <c r="M12" s="426" t="str">
        <f t="shared" si="28"/>
        <v>CIMA</v>
      </c>
      <c r="N12" s="424">
        <f t="shared" si="1"/>
        <v>106000</v>
      </c>
      <c r="O12" s="426" t="str">
        <f t="shared" si="29"/>
        <v>Lasertec</v>
      </c>
      <c r="P12" s="424">
        <f t="shared" si="2"/>
        <v>264000</v>
      </c>
      <c r="Q12" s="427">
        <f t="shared" si="3"/>
        <v>176150</v>
      </c>
      <c r="R12" s="427">
        <f t="shared" si="30"/>
        <v>176150</v>
      </c>
      <c r="S12" s="424">
        <f t="shared" si="31"/>
        <v>11978200</v>
      </c>
      <c r="T12" s="430">
        <f t="shared" si="4"/>
        <v>0</v>
      </c>
      <c r="U12" s="421" t="str">
        <f t="shared" si="5"/>
        <v>Revisión por dispersión</v>
      </c>
      <c r="V12" s="421" t="str">
        <f t="shared" si="6"/>
        <v>Validación técnica y segunda ronda</v>
      </c>
      <c r="W12" s="421" t="str">
        <f t="shared" si="7"/>
        <v>Diferencia entre máximo y mínimo superior al 30% de la mediana; no excluir atípicos sin justificación.</v>
      </c>
      <c r="X12" s="428">
        <f t="shared" si="32"/>
        <v>0.89696281578200399</v>
      </c>
      <c r="Y12" s="428">
        <f t="shared" si="8"/>
        <v>0.39403830413736868</v>
      </c>
      <c r="Z12" s="426" t="str">
        <f t="shared" si="9"/>
        <v>Alta</v>
      </c>
      <c r="AA12" s="426" t="str">
        <f t="shared" si="10"/>
        <v>Sí</v>
      </c>
      <c r="AB12" s="426" t="str">
        <f t="shared" si="11"/>
        <v>Mediana referencial sujeta a validación</v>
      </c>
      <c r="AC12" s="426" t="str">
        <f t="shared" si="12"/>
        <v>Sí</v>
      </c>
      <c r="AD12" s="426">
        <f t="shared" si="13"/>
        <v>2</v>
      </c>
      <c r="AE12" s="424">
        <f t="shared" si="33"/>
        <v>139900</v>
      </c>
      <c r="AF12" s="424">
        <f t="shared" si="14"/>
        <v>212400</v>
      </c>
      <c r="AG12" s="427">
        <f t="shared" si="15"/>
        <v>176150</v>
      </c>
      <c r="AH12" s="424">
        <f t="shared" si="16"/>
        <v>11978200</v>
      </c>
      <c r="AI12" s="428">
        <f t="shared" si="17"/>
        <v>0</v>
      </c>
      <c r="AJ12" s="428">
        <f t="shared" si="18"/>
        <v>0.41158103888731196</v>
      </c>
      <c r="AK12" s="426" t="str">
        <f t="shared" si="19"/>
        <v>Alta</v>
      </c>
      <c r="AL12" s="421" t="str">
        <f t="shared" si="20"/>
        <v>Revisión complementaria</v>
      </c>
      <c r="AM12" s="421" t="str">
        <f t="shared" si="21"/>
        <v>Aun sin extremos persiste dispersión relevante; validar alcance técnico.</v>
      </c>
      <c r="AN12" s="421" t="str">
        <f t="shared" si="22"/>
        <v>Promedio depurado sin extremos</v>
      </c>
      <c r="AO12" s="429">
        <f t="shared" si="23"/>
        <v>176150</v>
      </c>
      <c r="AP12" s="421" t="str">
        <f t="shared" si="24"/>
        <v>Definido con depuración</v>
      </c>
      <c r="AQ12" s="421" t="str">
        <f t="shared" si="25"/>
        <v>Mantener valor final y dejar nota de dispersión residual</v>
      </c>
      <c r="AR12" s="421" t="str">
        <f t="shared" si="26"/>
        <v>Por alta dispersión se depura un mínimo y un máximo y se adopta el promedio interior.</v>
      </c>
    </row>
    <row r="13" spans="1:44" ht="15.75" customHeight="1" x14ac:dyDescent="0.35">
      <c r="A13" s="421" t="s">
        <v>253</v>
      </c>
      <c r="B13" s="422">
        <v>7</v>
      </c>
      <c r="C13" s="421" t="s">
        <v>465</v>
      </c>
      <c r="D13" s="421" t="s">
        <v>639</v>
      </c>
      <c r="E13" s="423">
        <v>68</v>
      </c>
      <c r="F13" s="424">
        <v>264000</v>
      </c>
      <c r="G13" s="424"/>
      <c r="H13" s="424"/>
      <c r="I13" s="424"/>
      <c r="J13" s="424"/>
      <c r="K13" s="425">
        <f t="shared" si="27"/>
        <v>1</v>
      </c>
      <c r="L13" s="422">
        <f t="shared" si="0"/>
        <v>1</v>
      </c>
      <c r="M13" s="426" t="str">
        <f t="shared" si="28"/>
        <v>Lasertec</v>
      </c>
      <c r="N13" s="424">
        <f t="shared" si="1"/>
        <v>264000</v>
      </c>
      <c r="O13" s="426" t="str">
        <f t="shared" si="29"/>
        <v>Lasertec</v>
      </c>
      <c r="P13" s="424">
        <f t="shared" si="2"/>
        <v>264000</v>
      </c>
      <c r="Q13" s="427">
        <f t="shared" si="3"/>
        <v>264000</v>
      </c>
      <c r="R13" s="427">
        <f t="shared" si="30"/>
        <v>264000</v>
      </c>
      <c r="S13" s="424">
        <f t="shared" si="31"/>
        <v>17952000</v>
      </c>
      <c r="T13" s="430">
        <f t="shared" si="4"/>
        <v>0</v>
      </c>
      <c r="U13" s="421" t="str">
        <f t="shared" si="5"/>
        <v>Único soporte formal</v>
      </c>
      <c r="V13" s="421" t="str">
        <f t="shared" si="6"/>
        <v>Solicitar 2 cotizaciones adicionales</v>
      </c>
      <c r="W13" s="421" t="str">
        <f t="shared" si="7"/>
        <v>Solo existe 1 soporte formal comparable.</v>
      </c>
      <c r="X13" s="428">
        <f t="shared" si="32"/>
        <v>0</v>
      </c>
      <c r="Y13" s="428" t="str">
        <f t="shared" si="8"/>
        <v/>
      </c>
      <c r="Z13" s="426" t="str">
        <f t="shared" si="9"/>
        <v>Soporte único</v>
      </c>
      <c r="AA13" s="426" t="str">
        <f t="shared" si="10"/>
        <v>No</v>
      </c>
      <c r="AB13" s="426" t="str">
        <f t="shared" si="11"/>
        <v>Precio único provisional</v>
      </c>
      <c r="AC13" s="426" t="str">
        <f t="shared" si="12"/>
        <v>No</v>
      </c>
      <c r="AD13" s="426">
        <f t="shared" si="13"/>
        <v>1</v>
      </c>
      <c r="AE13" s="424">
        <f t="shared" si="33"/>
        <v>264000</v>
      </c>
      <c r="AF13" s="424">
        <f t="shared" si="14"/>
        <v>264000</v>
      </c>
      <c r="AG13" s="427">
        <f t="shared" si="15"/>
        <v>264000</v>
      </c>
      <c r="AH13" s="424">
        <f t="shared" si="16"/>
        <v>17952000</v>
      </c>
      <c r="AI13" s="428">
        <f t="shared" si="17"/>
        <v>0</v>
      </c>
      <c r="AJ13" s="428">
        <f t="shared" si="18"/>
        <v>0</v>
      </c>
      <c r="AK13" s="426" t="str">
        <f t="shared" si="19"/>
        <v>Soporte único</v>
      </c>
      <c r="AL13" s="421" t="str">
        <f t="shared" si="20"/>
        <v>Sin recorte por soportes insuficientes</v>
      </c>
      <c r="AM13" s="421" t="str">
        <f t="shared" si="21"/>
        <v>No se eliminan extremos porque no hay pluralidad suficiente.</v>
      </c>
      <c r="AN13" s="421" t="str">
        <f t="shared" si="22"/>
        <v>Valor único de mercado</v>
      </c>
      <c r="AO13" s="429">
        <f t="shared" si="23"/>
        <v>264000</v>
      </c>
      <c r="AP13" s="421" t="str">
        <f t="shared" si="24"/>
        <v>Provisional: soporte único</v>
      </c>
      <c r="AQ13" s="421" t="str">
        <f t="shared" si="25"/>
        <v>Solicitar mínimo 2 cotizaciones adicionales</v>
      </c>
      <c r="AR13" s="421" t="str">
        <f t="shared" si="26"/>
        <v>El valor final corresponde al único soporte comparable disponible.</v>
      </c>
    </row>
    <row r="14" spans="1:44" ht="15.75" customHeight="1" x14ac:dyDescent="0.35">
      <c r="A14" s="421" t="s">
        <v>253</v>
      </c>
      <c r="B14" s="422">
        <v>8</v>
      </c>
      <c r="C14" s="421" t="s">
        <v>466</v>
      </c>
      <c r="D14" s="421" t="s">
        <v>641</v>
      </c>
      <c r="E14" s="423">
        <v>68</v>
      </c>
      <c r="F14" s="424">
        <v>3000000</v>
      </c>
      <c r="G14" s="424"/>
      <c r="H14" s="424">
        <v>2378000</v>
      </c>
      <c r="I14" s="424">
        <v>2950000</v>
      </c>
      <c r="J14" s="424"/>
      <c r="K14" s="425">
        <f t="shared" si="27"/>
        <v>3</v>
      </c>
      <c r="L14" s="422">
        <f t="shared" si="0"/>
        <v>3</v>
      </c>
      <c r="M14" s="426" t="str">
        <f t="shared" si="28"/>
        <v>CIMA</v>
      </c>
      <c r="N14" s="424">
        <f t="shared" si="1"/>
        <v>2378000</v>
      </c>
      <c r="O14" s="426" t="str">
        <f t="shared" si="29"/>
        <v>Lasertec</v>
      </c>
      <c r="P14" s="424">
        <f t="shared" si="2"/>
        <v>3000000</v>
      </c>
      <c r="Q14" s="427">
        <f t="shared" si="3"/>
        <v>2950000</v>
      </c>
      <c r="R14" s="427">
        <f t="shared" si="30"/>
        <v>2950000</v>
      </c>
      <c r="S14" s="424">
        <f t="shared" si="31"/>
        <v>200600000</v>
      </c>
      <c r="T14" s="430">
        <f t="shared" si="4"/>
        <v>0</v>
      </c>
      <c r="U14" s="421" t="str">
        <f t="shared" si="5"/>
        <v>Aceptable</v>
      </c>
      <c r="V14" s="421" t="str">
        <f t="shared" si="6"/>
        <v>No obligatoria</v>
      </c>
      <c r="W14" s="421" t="str">
        <f t="shared" si="7"/>
        <v>Comparación con mercado suficiente para fijar precio de referencia.</v>
      </c>
      <c r="X14" s="428">
        <f t="shared" si="32"/>
        <v>0.21084745762711865</v>
      </c>
      <c r="Y14" s="428">
        <f t="shared" si="8"/>
        <v>0.1244897566368892</v>
      </c>
      <c r="Z14" s="426" t="str">
        <f t="shared" si="9"/>
        <v>Media</v>
      </c>
      <c r="AA14" s="426" t="str">
        <f t="shared" si="10"/>
        <v>No</v>
      </c>
      <c r="AB14" s="426" t="str">
        <f t="shared" si="11"/>
        <v>Mediana</v>
      </c>
      <c r="AC14" s="426" t="str">
        <f t="shared" si="12"/>
        <v>Sí</v>
      </c>
      <c r="AD14" s="426">
        <f t="shared" si="13"/>
        <v>1</v>
      </c>
      <c r="AE14" s="424">
        <f t="shared" si="33"/>
        <v>2950000</v>
      </c>
      <c r="AF14" s="424">
        <f t="shared" si="14"/>
        <v>2950000</v>
      </c>
      <c r="AG14" s="427">
        <f t="shared" si="15"/>
        <v>2950000</v>
      </c>
      <c r="AH14" s="424">
        <f t="shared" si="16"/>
        <v>200600000</v>
      </c>
      <c r="AI14" s="428">
        <f t="shared" si="17"/>
        <v>0</v>
      </c>
      <c r="AJ14" s="428">
        <f t="shared" si="18"/>
        <v>0</v>
      </c>
      <c r="AK14" s="426" t="str">
        <f t="shared" si="19"/>
        <v>Soporte único</v>
      </c>
      <c r="AL14" s="421" t="str">
        <f t="shared" si="20"/>
        <v>Precio depurado útil</v>
      </c>
      <c r="AM14" s="421" t="str">
        <f t="shared" si="21"/>
        <v>Se retiró un mínimo y un máximo para prueba de sensibilidad del mercado.</v>
      </c>
      <c r="AN14" s="421" t="str">
        <f t="shared" si="22"/>
        <v>Mediana de mercado</v>
      </c>
      <c r="AO14" s="429">
        <f t="shared" si="23"/>
        <v>2950000</v>
      </c>
      <c r="AP14" s="421" t="str">
        <f t="shared" si="24"/>
        <v>Definido</v>
      </c>
      <c r="AQ14" s="421" t="str">
        <f t="shared" si="25"/>
        <v>Usar valor final recomendado</v>
      </c>
      <c r="AR14" s="421" t="str">
        <f t="shared" si="26"/>
        <v>Se adopta la mediana del mercado por ser una medida robusta.</v>
      </c>
    </row>
    <row r="15" spans="1:44" ht="15.75" customHeight="1" x14ac:dyDescent="0.35">
      <c r="A15" s="421" t="s">
        <v>486</v>
      </c>
      <c r="B15" s="422">
        <v>1</v>
      </c>
      <c r="C15" s="421" t="s">
        <v>471</v>
      </c>
      <c r="D15" s="421" t="s">
        <v>642</v>
      </c>
      <c r="E15" s="423">
        <v>68</v>
      </c>
      <c r="F15" s="424">
        <v>150000</v>
      </c>
      <c r="G15" s="424"/>
      <c r="H15" s="424"/>
      <c r="I15" s="424"/>
      <c r="J15" s="424">
        <f>9024000/68</f>
        <v>132705.88235294117</v>
      </c>
      <c r="K15" s="425">
        <f t="shared" si="27"/>
        <v>2</v>
      </c>
      <c r="L15" s="422">
        <f t="shared" si="0"/>
        <v>1</v>
      </c>
      <c r="M15" s="426" t="str">
        <f t="shared" si="28"/>
        <v>ANCLA</v>
      </c>
      <c r="N15" s="424">
        <f t="shared" si="1"/>
        <v>132705.88235294117</v>
      </c>
      <c r="O15" s="426" t="str">
        <f t="shared" si="29"/>
        <v>Lasertec</v>
      </c>
      <c r="P15" s="424">
        <f t="shared" si="2"/>
        <v>150000</v>
      </c>
      <c r="Q15" s="427">
        <f t="shared" si="3"/>
        <v>141353</v>
      </c>
      <c r="R15" s="427">
        <f t="shared" si="30"/>
        <v>141353</v>
      </c>
      <c r="S15" s="424">
        <f t="shared" si="31"/>
        <v>9612004</v>
      </c>
      <c r="T15" s="430">
        <f t="shared" si="4"/>
        <v>0</v>
      </c>
      <c r="U15" s="421" t="str">
        <f t="shared" si="5"/>
        <v>Único soporte formal</v>
      </c>
      <c r="V15" s="421" t="str">
        <f t="shared" si="6"/>
        <v>Solicitar 2 cotizaciones adicionales</v>
      </c>
      <c r="W15" s="421" t="str">
        <f t="shared" si="7"/>
        <v>Solo existe 1 soporte formal comparable.</v>
      </c>
      <c r="X15" s="428">
        <f t="shared" si="32"/>
        <v>0.12234701525301073</v>
      </c>
      <c r="Y15" s="428">
        <f t="shared" si="8"/>
        <v>8.6512440145170622E-2</v>
      </c>
      <c r="Z15" s="426" t="str">
        <f t="shared" si="9"/>
        <v>Baja</v>
      </c>
      <c r="AA15" s="426" t="str">
        <f t="shared" si="10"/>
        <v>No</v>
      </c>
      <c r="AB15" s="426" t="str">
        <f t="shared" si="11"/>
        <v>Promedio</v>
      </c>
      <c r="AC15" s="426" t="str">
        <f t="shared" si="12"/>
        <v>No</v>
      </c>
      <c r="AD15" s="426">
        <f t="shared" si="13"/>
        <v>2</v>
      </c>
      <c r="AE15" s="424">
        <f t="shared" si="33"/>
        <v>132705.88235294117</v>
      </c>
      <c r="AF15" s="424">
        <f t="shared" si="14"/>
        <v>150000</v>
      </c>
      <c r="AG15" s="427">
        <f t="shared" si="15"/>
        <v>141353</v>
      </c>
      <c r="AH15" s="424">
        <f t="shared" si="16"/>
        <v>9612004</v>
      </c>
      <c r="AI15" s="428">
        <f t="shared" si="17"/>
        <v>0</v>
      </c>
      <c r="AJ15" s="428">
        <f t="shared" si="18"/>
        <v>0.12234701525301073</v>
      </c>
      <c r="AK15" s="426" t="str">
        <f t="shared" si="19"/>
        <v>Baja</v>
      </c>
      <c r="AL15" s="421" t="str">
        <f t="shared" si="20"/>
        <v>Sin recorte por soportes insuficientes</v>
      </c>
      <c r="AM15" s="421" t="str">
        <f t="shared" si="21"/>
        <v>No se eliminan extremos porque no hay pluralidad suficiente.</v>
      </c>
      <c r="AN15" s="421" t="str">
        <f t="shared" si="22"/>
        <v>Promedio simple de mercado</v>
      </c>
      <c r="AO15" s="429">
        <f t="shared" si="23"/>
        <v>141353</v>
      </c>
      <c r="AP15" s="421" t="str">
        <f t="shared" si="24"/>
        <v>Definido con 2 soportes</v>
      </c>
      <c r="AQ15" s="421" t="str">
        <f t="shared" si="25"/>
        <v>Conveniente solicitar 1 cotización adicional</v>
      </c>
      <c r="AR15" s="421" t="str">
        <f t="shared" si="26"/>
        <v>Con 2 soportes se usa el promedio simple de mercado.</v>
      </c>
    </row>
    <row r="16" spans="1:44" ht="15.75" customHeight="1" x14ac:dyDescent="0.35">
      <c r="A16" s="421" t="s">
        <v>486</v>
      </c>
      <c r="B16" s="422">
        <v>2</v>
      </c>
      <c r="C16" s="421" t="s">
        <v>472</v>
      </c>
      <c r="D16" s="421" t="s">
        <v>642</v>
      </c>
      <c r="E16" s="423">
        <v>68</v>
      </c>
      <c r="F16" s="424">
        <v>150000</v>
      </c>
      <c r="G16" s="424"/>
      <c r="H16" s="424"/>
      <c r="I16" s="424"/>
      <c r="J16" s="424">
        <f>9024000/68</f>
        <v>132705.88235294117</v>
      </c>
      <c r="K16" s="425">
        <f t="shared" si="27"/>
        <v>2</v>
      </c>
      <c r="L16" s="422">
        <f t="shared" si="0"/>
        <v>1</v>
      </c>
      <c r="M16" s="426" t="str">
        <f t="shared" si="28"/>
        <v>ANCLA</v>
      </c>
      <c r="N16" s="424">
        <f t="shared" si="1"/>
        <v>132705.88235294117</v>
      </c>
      <c r="O16" s="426" t="str">
        <f t="shared" si="29"/>
        <v>Lasertec</v>
      </c>
      <c r="P16" s="424">
        <f t="shared" si="2"/>
        <v>150000</v>
      </c>
      <c r="Q16" s="427">
        <f t="shared" si="3"/>
        <v>141353</v>
      </c>
      <c r="R16" s="427">
        <f t="shared" si="30"/>
        <v>141353</v>
      </c>
      <c r="S16" s="424">
        <f t="shared" si="31"/>
        <v>9612004</v>
      </c>
      <c r="T16" s="430">
        <f t="shared" si="4"/>
        <v>0</v>
      </c>
      <c r="U16" s="421" t="str">
        <f t="shared" si="5"/>
        <v>Único soporte formal</v>
      </c>
      <c r="V16" s="421" t="str">
        <f t="shared" si="6"/>
        <v>Solicitar 2 cotizaciones adicionales</v>
      </c>
      <c r="W16" s="421" t="str">
        <f t="shared" si="7"/>
        <v>Solo existe 1 soporte formal comparable.</v>
      </c>
      <c r="X16" s="428">
        <f t="shared" si="32"/>
        <v>0.12234701525301073</v>
      </c>
      <c r="Y16" s="428">
        <f t="shared" si="8"/>
        <v>8.6512440145170622E-2</v>
      </c>
      <c r="Z16" s="426" t="str">
        <f t="shared" si="9"/>
        <v>Baja</v>
      </c>
      <c r="AA16" s="426" t="str">
        <f t="shared" si="10"/>
        <v>No</v>
      </c>
      <c r="AB16" s="426" t="str">
        <f t="shared" si="11"/>
        <v>Promedio</v>
      </c>
      <c r="AC16" s="426" t="str">
        <f t="shared" si="12"/>
        <v>No</v>
      </c>
      <c r="AD16" s="426">
        <f t="shared" si="13"/>
        <v>2</v>
      </c>
      <c r="AE16" s="424">
        <f t="shared" si="33"/>
        <v>132705.88235294117</v>
      </c>
      <c r="AF16" s="424">
        <f t="shared" si="14"/>
        <v>150000</v>
      </c>
      <c r="AG16" s="427">
        <f t="shared" si="15"/>
        <v>141353</v>
      </c>
      <c r="AH16" s="424">
        <f t="shared" si="16"/>
        <v>9612004</v>
      </c>
      <c r="AI16" s="428">
        <f t="shared" si="17"/>
        <v>0</v>
      </c>
      <c r="AJ16" s="428">
        <f t="shared" si="18"/>
        <v>0.12234701525301073</v>
      </c>
      <c r="AK16" s="426" t="str">
        <f t="shared" si="19"/>
        <v>Baja</v>
      </c>
      <c r="AL16" s="421" t="str">
        <f t="shared" si="20"/>
        <v>Sin recorte por soportes insuficientes</v>
      </c>
      <c r="AM16" s="421" t="str">
        <f t="shared" si="21"/>
        <v>No se eliminan extremos porque no hay pluralidad suficiente.</v>
      </c>
      <c r="AN16" s="421" t="str">
        <f t="shared" si="22"/>
        <v>Promedio simple de mercado</v>
      </c>
      <c r="AO16" s="429">
        <f t="shared" si="23"/>
        <v>141353</v>
      </c>
      <c r="AP16" s="421" t="str">
        <f t="shared" si="24"/>
        <v>Definido con 2 soportes</v>
      </c>
      <c r="AQ16" s="421" t="str">
        <f t="shared" si="25"/>
        <v>Conveniente solicitar 1 cotización adicional</v>
      </c>
      <c r="AR16" s="421" t="str">
        <f t="shared" si="26"/>
        <v>Con 2 soportes se usa el promedio simple de mercado.</v>
      </c>
    </row>
    <row r="17" spans="1:44" ht="15.75" customHeight="1" x14ac:dyDescent="0.35">
      <c r="A17" s="421" t="s">
        <v>486</v>
      </c>
      <c r="B17" s="422">
        <v>3</v>
      </c>
      <c r="C17" s="421" t="s">
        <v>473</v>
      </c>
      <c r="D17" s="421" t="s">
        <v>642</v>
      </c>
      <c r="E17" s="423">
        <v>68</v>
      </c>
      <c r="F17" s="424">
        <v>150000</v>
      </c>
      <c r="G17" s="424"/>
      <c r="H17" s="424"/>
      <c r="I17" s="424"/>
      <c r="J17" s="424">
        <f>19075700/68</f>
        <v>280525</v>
      </c>
      <c r="K17" s="425">
        <f t="shared" si="27"/>
        <v>2</v>
      </c>
      <c r="L17" s="422">
        <f t="shared" si="0"/>
        <v>1</v>
      </c>
      <c r="M17" s="426" t="str">
        <f t="shared" si="28"/>
        <v>Lasertec</v>
      </c>
      <c r="N17" s="424">
        <f t="shared" si="1"/>
        <v>150000</v>
      </c>
      <c r="O17" s="426" t="str">
        <f t="shared" si="29"/>
        <v>ANCLA</v>
      </c>
      <c r="P17" s="424">
        <f t="shared" si="2"/>
        <v>280525</v>
      </c>
      <c r="Q17" s="427">
        <f t="shared" si="3"/>
        <v>215263</v>
      </c>
      <c r="R17" s="427">
        <f t="shared" si="30"/>
        <v>215263</v>
      </c>
      <c r="S17" s="424">
        <f t="shared" si="31"/>
        <v>14637884</v>
      </c>
      <c r="T17" s="430">
        <f t="shared" si="4"/>
        <v>0</v>
      </c>
      <c r="U17" s="421" t="str">
        <f t="shared" si="5"/>
        <v>Revisión por dispersión</v>
      </c>
      <c r="V17" s="421" t="str">
        <f t="shared" si="6"/>
        <v>Solicitar 2 cotizaciones adicionales</v>
      </c>
      <c r="W17" s="421" t="str">
        <f t="shared" si="7"/>
        <v>Diferencia entre máximo y mínimo superior al 30% de la mediana; no excluir atípicos sin justificación.</v>
      </c>
      <c r="X17" s="428">
        <f t="shared" si="32"/>
        <v>0.60635130050217645</v>
      </c>
      <c r="Y17" s="428">
        <f t="shared" si="8"/>
        <v>0.42875611225538174</v>
      </c>
      <c r="Z17" s="426" t="str">
        <f t="shared" si="9"/>
        <v>Alta</v>
      </c>
      <c r="AA17" s="426" t="str">
        <f t="shared" si="10"/>
        <v>Sí</v>
      </c>
      <c r="AB17" s="426" t="str">
        <f t="shared" si="11"/>
        <v>Mediana referencial sujeta a validación</v>
      </c>
      <c r="AC17" s="426" t="str">
        <f t="shared" si="12"/>
        <v>No</v>
      </c>
      <c r="AD17" s="426">
        <f t="shared" si="13"/>
        <v>2</v>
      </c>
      <c r="AE17" s="424">
        <f t="shared" si="33"/>
        <v>150000</v>
      </c>
      <c r="AF17" s="424">
        <f t="shared" si="14"/>
        <v>280525</v>
      </c>
      <c r="AG17" s="427">
        <f t="shared" si="15"/>
        <v>215263</v>
      </c>
      <c r="AH17" s="424">
        <f t="shared" si="16"/>
        <v>14637884</v>
      </c>
      <c r="AI17" s="428">
        <f t="shared" si="17"/>
        <v>0</v>
      </c>
      <c r="AJ17" s="428">
        <f t="shared" si="18"/>
        <v>0.60635130050217645</v>
      </c>
      <c r="AK17" s="426" t="str">
        <f t="shared" si="19"/>
        <v>Alta</v>
      </c>
      <c r="AL17" s="421" t="str">
        <f t="shared" si="20"/>
        <v>Sin recorte por soportes insuficientes</v>
      </c>
      <c r="AM17" s="421" t="str">
        <f t="shared" si="21"/>
        <v>No se eliminan extremos porque no hay pluralidad suficiente.</v>
      </c>
      <c r="AN17" s="421" t="str">
        <f t="shared" si="22"/>
        <v>Promedio simple de mercado</v>
      </c>
      <c r="AO17" s="429">
        <f t="shared" si="23"/>
        <v>215263</v>
      </c>
      <c r="AP17" s="421" t="str">
        <f t="shared" si="24"/>
        <v>Definido con 2 soportes</v>
      </c>
      <c r="AQ17" s="421" t="str">
        <f t="shared" si="25"/>
        <v>Conveniente solicitar 1 cotización adicional</v>
      </c>
      <c r="AR17" s="421" t="str">
        <f t="shared" si="26"/>
        <v>Con 2 soportes se usa el promedio simple de mercado.</v>
      </c>
    </row>
    <row r="18" spans="1:44" ht="15.75" customHeight="1" x14ac:dyDescent="0.35">
      <c r="A18" s="421" t="s">
        <v>486</v>
      </c>
      <c r="B18" s="422">
        <v>4</v>
      </c>
      <c r="C18" s="421" t="s">
        <v>474</v>
      </c>
      <c r="D18" s="421" t="s">
        <v>642</v>
      </c>
      <c r="E18" s="423">
        <v>68</v>
      </c>
      <c r="F18" s="424">
        <v>150000</v>
      </c>
      <c r="G18" s="424"/>
      <c r="H18" s="424"/>
      <c r="I18" s="424"/>
      <c r="J18" s="424">
        <f>9024000/68</f>
        <v>132705.88235294117</v>
      </c>
      <c r="K18" s="425">
        <f t="shared" si="27"/>
        <v>2</v>
      </c>
      <c r="L18" s="422">
        <f t="shared" si="0"/>
        <v>1</v>
      </c>
      <c r="M18" s="426" t="str">
        <f t="shared" si="28"/>
        <v>ANCLA</v>
      </c>
      <c r="N18" s="424">
        <f t="shared" si="1"/>
        <v>132705.88235294117</v>
      </c>
      <c r="O18" s="426" t="str">
        <f t="shared" si="29"/>
        <v>Lasertec</v>
      </c>
      <c r="P18" s="424">
        <f t="shared" si="2"/>
        <v>150000</v>
      </c>
      <c r="Q18" s="427">
        <f t="shared" si="3"/>
        <v>141353</v>
      </c>
      <c r="R18" s="427">
        <f t="shared" si="30"/>
        <v>141353</v>
      </c>
      <c r="S18" s="424">
        <f t="shared" si="31"/>
        <v>9612004</v>
      </c>
      <c r="T18" s="430">
        <f t="shared" si="4"/>
        <v>0</v>
      </c>
      <c r="U18" s="421" t="str">
        <f t="shared" si="5"/>
        <v>Único soporte formal</v>
      </c>
      <c r="V18" s="421" t="str">
        <f t="shared" si="6"/>
        <v>Solicitar 2 cotizaciones adicionales</v>
      </c>
      <c r="W18" s="421" t="str">
        <f t="shared" si="7"/>
        <v>Solo existe 1 soporte formal comparable.</v>
      </c>
      <c r="X18" s="428">
        <f t="shared" si="32"/>
        <v>0.12234701525301073</v>
      </c>
      <c r="Y18" s="428">
        <f t="shared" si="8"/>
        <v>8.6512440145170622E-2</v>
      </c>
      <c r="Z18" s="426" t="str">
        <f t="shared" si="9"/>
        <v>Baja</v>
      </c>
      <c r="AA18" s="426" t="str">
        <f t="shared" si="10"/>
        <v>No</v>
      </c>
      <c r="AB18" s="426" t="str">
        <f t="shared" si="11"/>
        <v>Promedio</v>
      </c>
      <c r="AC18" s="426" t="str">
        <f t="shared" si="12"/>
        <v>No</v>
      </c>
      <c r="AD18" s="426">
        <f t="shared" si="13"/>
        <v>2</v>
      </c>
      <c r="AE18" s="424">
        <f t="shared" si="33"/>
        <v>132705.88235294117</v>
      </c>
      <c r="AF18" s="424">
        <f t="shared" si="14"/>
        <v>150000</v>
      </c>
      <c r="AG18" s="427">
        <f t="shared" si="15"/>
        <v>141353</v>
      </c>
      <c r="AH18" s="424">
        <f t="shared" si="16"/>
        <v>9612004</v>
      </c>
      <c r="AI18" s="428">
        <f t="shared" si="17"/>
        <v>0</v>
      </c>
      <c r="AJ18" s="428">
        <f t="shared" si="18"/>
        <v>0.12234701525301073</v>
      </c>
      <c r="AK18" s="426" t="str">
        <f t="shared" si="19"/>
        <v>Baja</v>
      </c>
      <c r="AL18" s="421" t="str">
        <f t="shared" si="20"/>
        <v>Sin recorte por soportes insuficientes</v>
      </c>
      <c r="AM18" s="421" t="str">
        <f t="shared" si="21"/>
        <v>No se eliminan extremos porque no hay pluralidad suficiente.</v>
      </c>
      <c r="AN18" s="421" t="str">
        <f t="shared" si="22"/>
        <v>Promedio simple de mercado</v>
      </c>
      <c r="AO18" s="429">
        <f t="shared" si="23"/>
        <v>141353</v>
      </c>
      <c r="AP18" s="421" t="str">
        <f t="shared" si="24"/>
        <v>Definido con 2 soportes</v>
      </c>
      <c r="AQ18" s="421" t="str">
        <f t="shared" si="25"/>
        <v>Conveniente solicitar 1 cotización adicional</v>
      </c>
      <c r="AR18" s="421" t="str">
        <f t="shared" si="26"/>
        <v>Con 2 soportes se usa el promedio simple de mercado.</v>
      </c>
    </row>
    <row r="19" spans="1:44" ht="15.75" customHeight="1" x14ac:dyDescent="0.35">
      <c r="A19" s="421" t="s">
        <v>488</v>
      </c>
      <c r="B19" s="422">
        <v>1</v>
      </c>
      <c r="C19" s="421" t="s">
        <v>488</v>
      </c>
      <c r="D19" s="421" t="s">
        <v>643</v>
      </c>
      <c r="E19" s="423">
        <v>2</v>
      </c>
      <c r="F19" s="424">
        <v>15000000</v>
      </c>
      <c r="G19" s="424"/>
      <c r="H19" s="424"/>
      <c r="I19" s="424"/>
      <c r="J19" s="424">
        <v>5000000</v>
      </c>
      <c r="K19" s="450">
        <f t="shared" si="27"/>
        <v>2</v>
      </c>
      <c r="L19" s="422">
        <f t="shared" si="0"/>
        <v>1</v>
      </c>
      <c r="M19" s="426" t="str">
        <f t="shared" si="28"/>
        <v>ANCLA</v>
      </c>
      <c r="N19" s="424">
        <f t="shared" si="1"/>
        <v>5000000</v>
      </c>
      <c r="O19" s="426" t="str">
        <f t="shared" si="29"/>
        <v>Lasertec</v>
      </c>
      <c r="P19" s="424">
        <f t="shared" si="2"/>
        <v>15000000</v>
      </c>
      <c r="Q19" s="451">
        <f t="shared" si="3"/>
        <v>10000000</v>
      </c>
      <c r="R19" s="451">
        <f t="shared" si="30"/>
        <v>10000000</v>
      </c>
      <c r="S19" s="424">
        <f t="shared" si="31"/>
        <v>20000000</v>
      </c>
      <c r="T19" s="430">
        <f t="shared" si="4"/>
        <v>0</v>
      </c>
      <c r="U19" s="421" t="str">
        <f t="shared" si="5"/>
        <v>Revisión por dispersión</v>
      </c>
      <c r="V19" s="421" t="str">
        <f t="shared" si="6"/>
        <v>Solicitar 2 cotizaciones adicionales</v>
      </c>
      <c r="W19" s="421" t="str">
        <f t="shared" si="7"/>
        <v>Diferencia entre máximo y mínimo superior al 30% de la mediana; no excluir atípicos sin justificación.</v>
      </c>
      <c r="X19" s="428">
        <f t="shared" si="32"/>
        <v>1</v>
      </c>
      <c r="Y19" s="428">
        <f t="shared" si="8"/>
        <v>0.70710678118654746</v>
      </c>
      <c r="Z19" s="426" t="str">
        <f t="shared" si="9"/>
        <v>Alta</v>
      </c>
      <c r="AA19" s="426" t="str">
        <f t="shared" si="10"/>
        <v>Sí</v>
      </c>
      <c r="AB19" s="426" t="str">
        <f t="shared" si="11"/>
        <v>Mediana referencial sujeta a validación</v>
      </c>
      <c r="AC19" s="426" t="str">
        <f t="shared" si="12"/>
        <v>No</v>
      </c>
      <c r="AD19" s="426">
        <f t="shared" si="13"/>
        <v>2</v>
      </c>
      <c r="AE19" s="424">
        <f t="shared" si="33"/>
        <v>5000000</v>
      </c>
      <c r="AF19" s="424">
        <f t="shared" si="14"/>
        <v>15000000</v>
      </c>
      <c r="AG19" s="451">
        <f t="shared" si="15"/>
        <v>10000000</v>
      </c>
      <c r="AH19" s="424">
        <f t="shared" si="16"/>
        <v>20000000</v>
      </c>
      <c r="AI19" s="428">
        <f t="shared" si="17"/>
        <v>0</v>
      </c>
      <c r="AJ19" s="428">
        <f t="shared" si="18"/>
        <v>1</v>
      </c>
      <c r="AK19" s="426" t="str">
        <f t="shared" si="19"/>
        <v>Alta</v>
      </c>
      <c r="AL19" s="421" t="str">
        <f t="shared" si="20"/>
        <v>Sin recorte por soportes insuficientes</v>
      </c>
      <c r="AM19" s="421" t="str">
        <f t="shared" si="21"/>
        <v>No se eliminan extremos porque no hay pluralidad suficiente.</v>
      </c>
      <c r="AN19" s="421" t="str">
        <f t="shared" si="22"/>
        <v>Promedio simple de mercado</v>
      </c>
      <c r="AO19" s="429">
        <f t="shared" si="23"/>
        <v>10000000</v>
      </c>
      <c r="AP19" s="421" t="str">
        <f t="shared" si="24"/>
        <v>Definido con 2 soportes</v>
      </c>
      <c r="AQ19" s="421" t="str">
        <f t="shared" si="25"/>
        <v>Conveniente solicitar 1 cotización adicional</v>
      </c>
      <c r="AR19" s="421" t="str">
        <f t="shared" si="26"/>
        <v>Con 2 soportes se usa el promedio simple de mercado.</v>
      </c>
    </row>
    <row r="20" spans="1:44" ht="15.75" customHeight="1" x14ac:dyDescent="0.35">
      <c r="A20" s="421" t="s">
        <v>475</v>
      </c>
      <c r="B20" s="426"/>
      <c r="C20" s="421"/>
      <c r="D20" s="421"/>
      <c r="E20" s="424"/>
      <c r="F20" s="424"/>
      <c r="G20" s="424"/>
      <c r="H20" s="424"/>
      <c r="I20" s="424"/>
      <c r="J20" s="424"/>
      <c r="K20" s="424"/>
      <c r="L20" s="422"/>
      <c r="M20" s="426"/>
      <c r="N20" s="424"/>
      <c r="O20" s="426"/>
      <c r="P20" s="424"/>
      <c r="S20" s="424"/>
      <c r="T20" s="428"/>
      <c r="U20" s="421"/>
      <c r="V20" s="421"/>
      <c r="W20" s="421"/>
      <c r="X20" s="428"/>
      <c r="Y20" s="428"/>
      <c r="Z20" s="426"/>
      <c r="AA20" s="426"/>
      <c r="AB20" s="426"/>
      <c r="AC20" s="426"/>
      <c r="AD20" s="426"/>
      <c r="AE20" s="424"/>
      <c r="AF20" s="424"/>
      <c r="AH20" s="424"/>
      <c r="AI20" s="428"/>
      <c r="AJ20" s="428"/>
      <c r="AK20" s="426"/>
      <c r="AL20" s="421"/>
      <c r="AM20" s="421"/>
      <c r="AN20" s="421"/>
      <c r="AO20" s="429"/>
      <c r="AP20" s="421"/>
      <c r="AQ20" s="421"/>
      <c r="AR20" s="421"/>
    </row>
    <row r="21" spans="1:44" ht="12.75" x14ac:dyDescent="0.35">
      <c r="C21"/>
      <c r="D21"/>
    </row>
    <row r="23" spans="1:44" x14ac:dyDescent="0.35">
      <c r="E23" s="449"/>
    </row>
    <row r="25" spans="1:44" x14ac:dyDescent="0.35">
      <c r="E25" s="449"/>
    </row>
    <row r="26" spans="1:44" x14ac:dyDescent="0.35">
      <c r="E26" s="449"/>
    </row>
    <row r="27" spans="1:44" x14ac:dyDescent="0.35">
      <c r="E27" s="449"/>
    </row>
    <row r="28" spans="1:44" x14ac:dyDescent="0.35">
      <c r="E28" s="449"/>
    </row>
    <row r="29" spans="1:44" x14ac:dyDescent="0.35">
      <c r="E29" s="449"/>
    </row>
    <row r="30" spans="1:44" x14ac:dyDescent="0.35">
      <c r="E30" s="449"/>
    </row>
  </sheetData>
  <mergeCells count="9">
    <mergeCell ref="F2:I2"/>
    <mergeCell ref="F3:I3"/>
    <mergeCell ref="F4:I4"/>
    <mergeCell ref="F5:I5"/>
    <mergeCell ref="A1:I1"/>
    <mergeCell ref="C2:D2"/>
    <mergeCell ref="C3:D3"/>
    <mergeCell ref="C4:D4"/>
    <mergeCell ref="C5:D5"/>
  </mergeCells>
  <phoneticPr fontId="5" type="noConversion"/>
  <conditionalFormatting sqref="F7:J19 E20:K20">
    <cfRule type="expression" dxfId="12" priority="319" stopIfTrue="1">
      <formula>AND(ISNUMBER(E7),E7=MIN($F7:$J7))</formula>
    </cfRule>
    <cfRule type="expression" dxfId="11" priority="320" stopIfTrue="1">
      <formula>AND(ISNUMBER(E7),E7=MAX($F7:$J7))</formula>
    </cfRule>
    <cfRule type="expression" dxfId="10" priority="321" stopIfTrue="1">
      <formula>AND(ISNUMBER(E7),E7&gt;MIN($F7:$J7),E7&lt;MAX($F7:$J7),E7&lt;=AVERAGE($F7:$J7))</formula>
    </cfRule>
    <cfRule type="expression" dxfId="9" priority="322" stopIfTrue="1">
      <formula>AND(ISNUMBER(E7),E7&gt;MIN($F7:$J7),E7&lt;MAX($F7:$J7),E7&gt;AVERAGE($F7:$J7))</formula>
    </cfRule>
  </conditionalFormatting>
  <hyperlinks>
    <hyperlink ref="A1:I1" location="'TABLERO CONTROL'!A1" display="ESTUDIO DE MERCADO HIDROBIOLOGÍA" xr:uid="{579A87A7-850E-49ED-B0AE-9A7023BD023A}"/>
  </hyperlinks>
  <pageMargins left="0.7" right="0.7" top="0.75" bottom="0.75" header="0.3" footer="0.3"/>
  <ignoredErrors>
    <ignoredError sqref="K8:L18 L7 P7:Q7 P8:AD18 K19:L19 N7 N8:N18 N19 P19:AD19 T7:W7 Y7:AD7 AE7:AO7 AF8:AO18 AF19:AO19 AE8:AE19 AP7:AR7 AP8:AR18 AP19:AR19" formulaRange="1"/>
    <ignoredError sqref="J17"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D4DF1-F52F-476C-83FB-C34224E30A7D}">
  <dimension ref="A1:AW47"/>
  <sheetViews>
    <sheetView showGridLines="0" workbookViewId="0">
      <selection activeCell="A2" sqref="A2"/>
    </sheetView>
  </sheetViews>
  <sheetFormatPr defaultColWidth="8.73046875" defaultRowHeight="11.65" x14ac:dyDescent="0.35"/>
  <cols>
    <col min="1" max="1" width="20.1328125" style="416" customWidth="1"/>
    <col min="2" max="2" width="8" style="416" customWidth="1"/>
    <col min="3" max="3" width="18.73046875" style="416" bestFit="1" customWidth="1"/>
    <col min="4" max="4" width="7.1328125" style="416" bestFit="1" customWidth="1"/>
    <col min="5" max="5" width="11.59765625" style="416" customWidth="1"/>
    <col min="6" max="15" width="10" style="416" customWidth="1"/>
    <col min="16" max="16" width="9.3984375" style="416" customWidth="1"/>
    <col min="17" max="17" width="10.265625" style="416" customWidth="1"/>
    <col min="18" max="18" width="17.265625" style="416" customWidth="1"/>
    <col min="19" max="19" width="11.265625" style="416" customWidth="1"/>
    <col min="20" max="20" width="12.1328125" style="416" customWidth="1"/>
    <col min="21" max="25" width="11.265625" style="416" customWidth="1"/>
    <col min="26" max="26" width="18" style="416" customWidth="1"/>
    <col min="27" max="27" width="28" style="416" customWidth="1"/>
    <col min="28" max="28" width="62" style="416" customWidth="1"/>
    <col min="29" max="31" width="10.3984375" style="416" customWidth="1"/>
    <col min="32" max="32" width="14" style="416" customWidth="1"/>
    <col min="33" max="33" width="33.73046875" style="416" customWidth="1"/>
    <col min="34" max="35" width="13" style="416" customWidth="1"/>
    <col min="36" max="37" width="12" style="416" customWidth="1"/>
    <col min="38" max="38" width="18" style="416" customWidth="1"/>
    <col min="39" max="39" width="16" style="416" customWidth="1"/>
    <col min="40" max="40" width="18" style="416" customWidth="1"/>
    <col min="41" max="41" width="16" style="416" customWidth="1"/>
    <col min="42" max="42" width="18" style="416" customWidth="1"/>
    <col min="43" max="43" width="36.1328125" style="416" customWidth="1"/>
    <col min="44" max="44" width="49" style="416" customWidth="1"/>
    <col min="45" max="45" width="34.86328125" style="416" customWidth="1"/>
    <col min="46" max="47" width="18" style="416" customWidth="1"/>
    <col min="48" max="48" width="47.73046875" style="416" customWidth="1"/>
    <col min="49" max="49" width="56.86328125" style="416" customWidth="1"/>
    <col min="50" max="16384" width="8.73046875" style="416"/>
  </cols>
  <sheetData>
    <row r="1" spans="1:49" ht="24" customHeight="1" x14ac:dyDescent="0.35">
      <c r="A1" s="859" t="s">
        <v>552</v>
      </c>
      <c r="B1" s="859"/>
      <c r="C1" s="859"/>
      <c r="D1" s="859"/>
      <c r="E1" s="859"/>
      <c r="F1" s="859"/>
      <c r="G1" s="859"/>
      <c r="H1" s="859"/>
      <c r="I1" s="859"/>
      <c r="J1" s="859"/>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2"/>
      <c r="AN1" s="452"/>
      <c r="AO1" s="452"/>
      <c r="AP1" s="452"/>
      <c r="AQ1" s="452"/>
      <c r="AR1" s="452"/>
      <c r="AS1" s="452"/>
      <c r="AT1" s="452"/>
      <c r="AU1" s="452"/>
      <c r="AV1" s="452"/>
      <c r="AW1" s="452"/>
    </row>
    <row r="2" spans="1:49" s="64" customFormat="1" ht="26.25" customHeight="1" x14ac:dyDescent="0.35">
      <c r="A2" s="442" t="s">
        <v>79</v>
      </c>
      <c r="B2" s="442" t="s">
        <v>389</v>
      </c>
      <c r="C2" s="842" t="s">
        <v>480</v>
      </c>
      <c r="D2" s="843"/>
      <c r="E2" s="442" t="s">
        <v>518</v>
      </c>
      <c r="F2" s="856" t="s">
        <v>481</v>
      </c>
      <c r="G2" s="856"/>
      <c r="H2" s="856"/>
      <c r="I2" s="856"/>
      <c r="J2" s="856"/>
      <c r="K2" s="456"/>
      <c r="L2" s="456"/>
      <c r="M2" s="456"/>
      <c r="N2" s="456"/>
      <c r="O2" s="456"/>
      <c r="P2" s="456"/>
      <c r="Q2" s="456"/>
      <c r="R2" s="456"/>
      <c r="S2" s="456"/>
      <c r="T2" s="456"/>
      <c r="U2" s="456"/>
      <c r="V2" s="456"/>
      <c r="W2" s="456"/>
      <c r="X2" s="456"/>
      <c r="Y2" s="456"/>
      <c r="Z2" s="456"/>
      <c r="AA2" s="456"/>
      <c r="AB2" s="456"/>
      <c r="AC2" s="456"/>
      <c r="AD2" s="456"/>
      <c r="AE2" s="456"/>
      <c r="AF2" s="456"/>
      <c r="AG2" s="456"/>
      <c r="AH2" s="456"/>
      <c r="AI2" s="456"/>
      <c r="AJ2" s="456"/>
      <c r="AK2" s="456"/>
      <c r="AL2" s="456"/>
      <c r="AM2" s="456"/>
      <c r="AN2" s="456"/>
      <c r="AO2" s="456"/>
      <c r="AP2" s="456"/>
      <c r="AQ2" s="456"/>
      <c r="AR2" s="456"/>
      <c r="AS2" s="456"/>
      <c r="AT2" s="456"/>
      <c r="AU2" s="456"/>
      <c r="AV2" s="456"/>
      <c r="AW2" s="456"/>
    </row>
    <row r="3" spans="1:49" s="64" customFormat="1" ht="43.5" customHeight="1" x14ac:dyDescent="0.35">
      <c r="A3" s="490" t="s">
        <v>517</v>
      </c>
      <c r="B3" s="490"/>
      <c r="C3" s="860">
        <f>SUM(AT7:AT12)*E7/9</f>
        <v>2496575</v>
      </c>
      <c r="D3" s="861"/>
      <c r="E3" s="491">
        <v>9</v>
      </c>
      <c r="F3" s="858" t="s">
        <v>589</v>
      </c>
      <c r="G3" s="858"/>
      <c r="H3" s="858"/>
      <c r="I3" s="858"/>
      <c r="J3" s="858"/>
      <c r="K3" s="456"/>
      <c r="L3" s="456"/>
      <c r="M3" s="456"/>
      <c r="N3" s="456"/>
      <c r="O3" s="456"/>
      <c r="P3" s="456"/>
      <c r="Q3" s="456"/>
      <c r="R3" s="456"/>
      <c r="S3" s="456"/>
      <c r="T3" s="456"/>
      <c r="U3" s="456"/>
      <c r="V3" s="456"/>
      <c r="W3" s="456"/>
      <c r="X3" s="456"/>
      <c r="Y3" s="456"/>
      <c r="Z3" s="456"/>
      <c r="AA3" s="456"/>
      <c r="AB3" s="456"/>
      <c r="AC3" s="456"/>
      <c r="AD3" s="456"/>
      <c r="AE3" s="456"/>
      <c r="AF3" s="456"/>
      <c r="AG3" s="456"/>
      <c r="AH3" s="456"/>
      <c r="AI3" s="456"/>
      <c r="AJ3" s="456"/>
      <c r="AK3" s="456"/>
      <c r="AL3" s="456"/>
      <c r="AM3" s="456"/>
      <c r="AN3" s="456"/>
      <c r="AO3" s="456"/>
      <c r="AP3" s="456"/>
      <c r="AQ3" s="456"/>
      <c r="AR3" s="456"/>
      <c r="AS3" s="456"/>
      <c r="AT3" s="456"/>
      <c r="AU3" s="456"/>
      <c r="AV3" s="456"/>
      <c r="AW3" s="456"/>
    </row>
    <row r="4" spans="1:49" s="64" customFormat="1" ht="39.75" customHeight="1" x14ac:dyDescent="0.35">
      <c r="A4" s="487" t="s">
        <v>493</v>
      </c>
      <c r="B4" s="487"/>
      <c r="C4" s="862">
        <f>SUM(AT13:AT46)*E13/9</f>
        <v>2135021</v>
      </c>
      <c r="D4" s="863"/>
      <c r="E4" s="488">
        <v>9</v>
      </c>
      <c r="F4" s="857" t="s">
        <v>578</v>
      </c>
      <c r="G4" s="857"/>
      <c r="H4" s="857"/>
      <c r="I4" s="857"/>
      <c r="J4" s="857"/>
      <c r="K4" s="456"/>
      <c r="L4" s="456"/>
      <c r="M4" s="456"/>
      <c r="N4" s="456"/>
      <c r="O4" s="456"/>
      <c r="P4" s="456"/>
      <c r="Q4" s="456"/>
      <c r="R4" s="456"/>
      <c r="S4" s="456"/>
      <c r="T4" s="456"/>
      <c r="U4" s="456"/>
      <c r="V4" s="456"/>
      <c r="W4" s="456"/>
      <c r="X4" s="456"/>
      <c r="Y4" s="456"/>
      <c r="Z4" s="456"/>
      <c r="AA4" s="456"/>
      <c r="AB4" s="456"/>
      <c r="AC4" s="456"/>
      <c r="AD4" s="456"/>
      <c r="AE4" s="456"/>
      <c r="AF4" s="456"/>
      <c r="AG4" s="456"/>
      <c r="AH4" s="456"/>
      <c r="AI4" s="456"/>
      <c r="AJ4" s="456"/>
      <c r="AK4" s="456"/>
      <c r="AL4" s="456"/>
      <c r="AM4" s="456"/>
      <c r="AN4" s="456"/>
      <c r="AO4" s="456"/>
      <c r="AP4" s="456"/>
      <c r="AQ4" s="456"/>
      <c r="AR4" s="456"/>
      <c r="AS4" s="456"/>
      <c r="AT4" s="456"/>
      <c r="AU4" s="456"/>
      <c r="AV4" s="456"/>
      <c r="AW4" s="456"/>
    </row>
    <row r="5" spans="1:49" s="64" customFormat="1" ht="23.25" customHeight="1" x14ac:dyDescent="0.35">
      <c r="A5" s="487" t="s">
        <v>494</v>
      </c>
      <c r="B5" s="489"/>
      <c r="C5" s="862">
        <f>SUM(C3:C4)</f>
        <v>4631596</v>
      </c>
      <c r="D5" s="863"/>
      <c r="E5" s="488">
        <f>AVERAGE(E3:E4)</f>
        <v>9</v>
      </c>
      <c r="F5" s="855" t="s">
        <v>495</v>
      </c>
      <c r="G5" s="855"/>
      <c r="H5" s="855"/>
      <c r="I5" s="855"/>
      <c r="J5" s="855"/>
    </row>
    <row r="6" spans="1:49" ht="23.25" x14ac:dyDescent="0.35">
      <c r="A6" s="485" t="s">
        <v>388</v>
      </c>
      <c r="B6" s="485" t="s">
        <v>389</v>
      </c>
      <c r="C6" s="485" t="s">
        <v>390</v>
      </c>
      <c r="D6" s="485" t="s">
        <v>644</v>
      </c>
      <c r="E6" s="485" t="s">
        <v>391</v>
      </c>
      <c r="F6" s="486" t="s">
        <v>392</v>
      </c>
      <c r="G6" s="486" t="s">
        <v>393</v>
      </c>
      <c r="H6" s="486" t="s">
        <v>394</v>
      </c>
      <c r="I6" s="486" t="s">
        <v>395</v>
      </c>
      <c r="J6" s="486" t="s">
        <v>396</v>
      </c>
      <c r="K6" s="418" t="s">
        <v>397</v>
      </c>
      <c r="L6" s="418" t="s">
        <v>398</v>
      </c>
      <c r="M6" s="418" t="s">
        <v>399</v>
      </c>
      <c r="N6" s="418" t="s">
        <v>500</v>
      </c>
      <c r="O6" s="418" t="s">
        <v>501</v>
      </c>
      <c r="P6" s="419" t="s">
        <v>400</v>
      </c>
      <c r="Q6" s="419" t="s">
        <v>401</v>
      </c>
      <c r="R6" s="419" t="s">
        <v>402</v>
      </c>
      <c r="S6" s="419" t="s">
        <v>403</v>
      </c>
      <c r="T6" s="419" t="s">
        <v>404</v>
      </c>
      <c r="U6" s="419" t="s">
        <v>405</v>
      </c>
      <c r="V6" s="419" t="s">
        <v>406</v>
      </c>
      <c r="W6" s="419" t="s">
        <v>407</v>
      </c>
      <c r="X6" s="419" t="s">
        <v>408</v>
      </c>
      <c r="Y6" s="419" t="s">
        <v>409</v>
      </c>
      <c r="Z6" s="419" t="s">
        <v>410</v>
      </c>
      <c r="AA6" s="419" t="s">
        <v>411</v>
      </c>
      <c r="AB6" s="419" t="s">
        <v>412</v>
      </c>
      <c r="AC6" s="419" t="s">
        <v>413</v>
      </c>
      <c r="AD6" s="419" t="s">
        <v>414</v>
      </c>
      <c r="AE6" s="419" t="s">
        <v>415</v>
      </c>
      <c r="AF6" s="419" t="s">
        <v>416</v>
      </c>
      <c r="AG6" s="419" t="s">
        <v>417</v>
      </c>
      <c r="AH6" s="420" t="s">
        <v>418</v>
      </c>
      <c r="AI6" s="420" t="s">
        <v>419</v>
      </c>
      <c r="AJ6" s="420" t="s">
        <v>420</v>
      </c>
      <c r="AK6" s="420" t="s">
        <v>421</v>
      </c>
      <c r="AL6" s="420" t="s">
        <v>422</v>
      </c>
      <c r="AM6" s="420" t="s">
        <v>423</v>
      </c>
      <c r="AN6" s="420" t="s">
        <v>424</v>
      </c>
      <c r="AO6" s="420" t="s">
        <v>425</v>
      </c>
      <c r="AP6" s="420" t="s">
        <v>426</v>
      </c>
      <c r="AQ6" s="420" t="s">
        <v>427</v>
      </c>
      <c r="AR6" s="420" t="s">
        <v>428</v>
      </c>
      <c r="AS6" s="417" t="s">
        <v>429</v>
      </c>
      <c r="AT6" s="417" t="s">
        <v>73</v>
      </c>
      <c r="AU6" s="417" t="s">
        <v>430</v>
      </c>
      <c r="AV6" s="417" t="s">
        <v>431</v>
      </c>
      <c r="AW6" s="417" t="s">
        <v>71</v>
      </c>
    </row>
    <row r="7" spans="1:49" ht="15.75" customHeight="1" x14ac:dyDescent="0.35">
      <c r="A7" s="421" t="s">
        <v>489</v>
      </c>
      <c r="B7" s="422">
        <v>1</v>
      </c>
      <c r="C7" s="457" t="s">
        <v>148</v>
      </c>
      <c r="D7" s="457" t="s">
        <v>615</v>
      </c>
      <c r="E7" s="423">
        <v>225</v>
      </c>
      <c r="F7" s="424">
        <v>17000</v>
      </c>
      <c r="G7" s="424">
        <v>3500</v>
      </c>
      <c r="H7" s="424">
        <v>4000</v>
      </c>
      <c r="I7" s="424">
        <v>20100</v>
      </c>
      <c r="J7" s="424">
        <v>22000</v>
      </c>
      <c r="K7" s="424">
        <v>13796</v>
      </c>
      <c r="L7" s="424">
        <v>19639</v>
      </c>
      <c r="M7" s="424">
        <v>8800</v>
      </c>
      <c r="N7" s="424">
        <v>4500</v>
      </c>
      <c r="O7" s="424">
        <v>2930</v>
      </c>
      <c r="P7" s="425">
        <f>COUNT(F7:O7)</f>
        <v>10</v>
      </c>
      <c r="Q7" s="422">
        <f>COUNT(F7:I7)</f>
        <v>4</v>
      </c>
      <c r="R7" s="426" t="str">
        <f>IF(P7=0,"",IF(S7=F7,"Lasertec",IF(S7=G7,"Chemilab",IF(S7=H7,"CIMA",IF(S7=I7,"SGI",IF(S7=J7,"Javeriana",IF(S7=K7,"Acueducto Bogotá",IF(S7=L7,"CARDIQUE",IF(S7=M7,"UPB Montería",IF(S7=N7,"Proc_SECOP II - COT 1",IF(S7=O7,"Proc_SECOP II - COT 2","")))))))))))</f>
        <v>Proc_SECOP II - COT 2</v>
      </c>
      <c r="S7" s="424">
        <f>IF(P7=0,"",MIN(F7:O7))</f>
        <v>2930</v>
      </c>
      <c r="T7" s="426" t="str">
        <f>IF(P7=0,"",IF(U7=F7,"Lasertec",IF(U7=G7,"Chemilab",IF(U7=H7,"CIMA",IF(U7=I7,"SGI",IF(U7=J7,"Javeriana",IF(U7=K7,"Acueducto Bogotá",IF(U7=L7,"CARDIQUE",IF(U7=M7,"UPB Montería",IF(U7=N7,"Proc_SECOP II - COT 1",IF(U7=O7,"Proc_SECOP II - COT 2","")))))))))))</f>
        <v>Javeriana</v>
      </c>
      <c r="U7" s="424">
        <f>IF(P7=0,"",MAX(F7:O7))</f>
        <v>22000</v>
      </c>
      <c r="V7" s="427">
        <f>IF(P7=0,"",ROUND(MEDIAN(F7:O7),0))</f>
        <v>11298</v>
      </c>
      <c r="W7" s="427">
        <f>IF(P7=0,"",IF(P7&gt;=3,ROUND(MEDIAN(F7:O7),0),IF(P7=2,ROUND(AVERAGE(F7:O7),0),MAX(F7:O7))))</f>
        <v>11298</v>
      </c>
      <c r="X7" s="424">
        <f>IF(OR(E7="",W7=""),"",E7*W7)</f>
        <v>2542050</v>
      </c>
      <c r="Y7" s="428">
        <f>IFERROR((W7-V7)/V7,"")</f>
        <v>0</v>
      </c>
      <c r="Z7" s="421" t="str">
        <f t="shared" ref="Z7:Z46" si="0">IF(P7=0,"Sin soporte",IF(AF7="Sí","Revisión por dispersión",IF(Q7&lt;=1,"Único soporte formal",IF(P7&gt;=4,"Robusto",IF(P7=3,"Aceptable","Débil")))))</f>
        <v>Revisión por dispersión</v>
      </c>
      <c r="AA7" s="421" t="str">
        <f t="shared" ref="AA7:AA46" si="1">IF(P7=0,"Buscar referencias adicionales",IF(Q7&lt;=1,"Solicitar 2 cotizaciones adicionales",IF(AF7="Sí","Validación técnica y segunda ronda",IF(P7=2,"Solicitar 1 cotización adicional","No obligatoria"))))</f>
        <v>Validación técnica y segunda ronda</v>
      </c>
      <c r="AB7" s="421" t="str">
        <f t="shared" ref="AB7:AB46" si="2">IF(P7=0,"Sin referencias comparables.",IF(AF7="Sí","Diferencia entre máximo y mínimo superior al 30% de la mediana; no excluir atípicos sin justificación.",IF(Q7&lt;=1,"Solo existe 1 soporte formal comparable.",IF(P7=2,"Solo hay 2 referencias de mercado; completar pluralidad.","Comparación con mercado suficiente para fijar precio de referencia."))))</f>
        <v>Diferencia entre máximo y mínimo superior al 30% de la mediana; no excluir atípicos sin justificación.</v>
      </c>
      <c r="AC7" s="428">
        <f t="shared" ref="AC7:AC46" si="3">IFERROR((U7-S7)/V7,"")</f>
        <v>1.6879093644892902</v>
      </c>
      <c r="AD7" s="428">
        <f t="shared" ref="AD7:AD46" si="4">IF(COUNT(F7:M7)&gt;1,STDEV(F7:M7)/AVERAGE(F7:M7),"")</f>
        <v>0.5402175737884678</v>
      </c>
      <c r="AE7" s="426" t="str">
        <f t="shared" ref="AE7:AE46" si="5">IF(P7=0,"Sin soportes",IF(P7=1,"Soporte único",IF(AC7&lt;=0.15,"Baja",IF(AC7&lt;=0.3,"Media","Alta"))))</f>
        <v>Alta</v>
      </c>
      <c r="AF7" s="426" t="str">
        <f t="shared" ref="AF7:AF46" si="6">IF(AND(P7&gt;1,AC7&gt;0.3),"Sí","No")</f>
        <v>Sí</v>
      </c>
      <c r="AG7" s="426" t="str">
        <f t="shared" ref="AG7:AG46" si="7">IF(P7=0,"Sin referencia",IF(P7=1,"Precio único provisional",IF(AF7="Sí","Mediana referencial sujeta a validación",IF(P7&gt;=3,"Mediana",IF(P7=2,"Promedio","")))))</f>
        <v>Mediana referencial sujeta a validación</v>
      </c>
      <c r="AH7" s="426" t="str">
        <f t="shared" ref="AH7:AH46" si="8">IF(P7&gt;=3,"Sí","No")</f>
        <v>Sí</v>
      </c>
      <c r="AI7" s="426">
        <f>IF(P7&gt;=3,P7-2,P7)</f>
        <v>8</v>
      </c>
      <c r="AJ7" s="424">
        <f>IF(P7&gt;=4,SMALL(F7:O7,2),IF(P7=3,MEDIAN(F7:M7),IF(P7&gt;0,MIN(F7:O7),"")))</f>
        <v>3500</v>
      </c>
      <c r="AK7" s="424">
        <f>IF(P7&gt;=4,LARGE(F7:O7,2),IF(P7=3,MEDIAN(F7:O7),IF(P7&gt;0,MAX(F7:O7),"")))</f>
        <v>20100</v>
      </c>
      <c r="AL7" s="427">
        <f>IF(P7&gt;=4,ROUND((SUM(F7:O7)-MIN(F7:O7)-MAX(F7:O7))/(P7-2),0),IF(P7=3,ROUND(MEDIAN(F7:O7),0),IF(P7=2,ROUND(AVERAGE(F7:O7),0),IF(P7=1,MAX(F7:O7),""))))</f>
        <v>11417</v>
      </c>
      <c r="AM7" s="424">
        <f>IF(OR(E7="",AL7=""),"",E7*AL7)</f>
        <v>2568825</v>
      </c>
      <c r="AN7" s="428">
        <f t="shared" ref="AN7:AN46" si="9">IFERROR((AL7-V7)/V7,"")</f>
        <v>1.0532837670384139E-2</v>
      </c>
      <c r="AO7" s="428">
        <f t="shared" ref="AO7:AO46" si="10">IFERROR((AK7-AJ7)/AL7,"")</f>
        <v>1.4539721467986335</v>
      </c>
      <c r="AP7" s="426" t="str">
        <f t="shared" ref="AP7:AP46" si="11">IF(AI7=0,"Sin soportes",IF(AI7=1,"Soporte único",IF(AO7&lt;=0.15,"Baja",IF(AO7&lt;=0.3,"Media","Alta"))))</f>
        <v>Alta</v>
      </c>
      <c r="AQ7" s="421" t="str">
        <f t="shared" ref="AQ7:AQ46" si="12">IF(P7=0,"Sin referencia",IF(P7&lt;3,"Sin recorte por soportes insuficientes",IF(AP7="Alta","Revisión complementaria","Precio depurado útil")))</f>
        <v>Revisión complementaria</v>
      </c>
      <c r="AR7" s="421" t="str">
        <f t="shared" ref="AR7:AR46" si="13">IF(P7&lt;3,"No se eliminan extremos porque no hay pluralidad suficiente.",IF(AP7="Alta","Aun sin extremos persiste dispersión relevante; validar alcance técnico.","Se retiró un mínimo y un máximo para prueba de sensibilidad del mercado."))</f>
        <v>Aun sin extremos persiste dispersión relevante; validar alcance técnico.</v>
      </c>
      <c r="AS7" s="421" t="str">
        <f t="shared" ref="AS7:AS46" si="14">IF(P7=0,"Sin referencia",IF(P7=1,"Valor único de mercado",IF(AND(P7&gt;=4,AE7="Alta"),"Promedio depurado sin extremos",IF(AND(P7&gt;=3,AE7="Alta"),"Mediana de mercado (sin depuración fuerte)",IF(P7&gt;=3,"Mediana de mercado","Promedio simple de mercado")))))</f>
        <v>Promedio depurado sin extremos</v>
      </c>
      <c r="AT7" s="429">
        <f t="shared" ref="AT7:AT46" si="15">IF(P7=0,"",IF(AND(P7&gt;=4,AE7="Alta",AL7&lt;&gt;""),AL7,W7))</f>
        <v>11417</v>
      </c>
      <c r="AU7" s="421" t="str">
        <f t="shared" ref="AU7:AU46" si="16">IF(P7=0,"Sin precio",IF(P7=1,"Provisional: soporte único",IF(P7=2,"Definido con 2 soportes",IF(AND(P7&gt;=4,AE7="Alta"),"Definido con depuración","Definido"))))</f>
        <v>Definido con depuración</v>
      </c>
      <c r="AV7" s="421" t="str">
        <f t="shared" ref="AV7:AV46" si="17">IF(P7=0,"Buscar mercado adicional",IF(P7=1,"Solicitar mínimo 2 cotizaciones adicionales",IF(P7=2,"Conveniente solicitar 1 cotización adicional",IF(AND(P7&gt;=4,AE7="Alta",AP7="Alta"),"Mantener valor final y dejar nota de dispersión residual",IF(AND(P7&gt;=4,AE7="Alta"),"Usar valor depurado y conservar trazabilidad de extremos","Usar valor final recomendado")))))</f>
        <v>Mantener valor final y dejar nota de dispersión residual</v>
      </c>
      <c r="AW7" s="421" t="str">
        <f t="shared" ref="AW7:AW46" si="18">IF(P7=0,"No hay soporte comparable.",IF(P7=1,"El valor final corresponde al único soporte comparable disponible.",IF(AND(P7&gt;=4,AE7="Alta"),"Por alta dispersión se depura un mínimo y un máximo y se adopta el promedio interior.",IF(P7&gt;=3,"Se adopta la mediana del mercado por ser una medida robusta.","Con 2 soportes se usa el promedio simple de mercado."))))</f>
        <v>Por alta dispersión se depura un mínimo y un máximo y se adopta el promedio interior.</v>
      </c>
    </row>
    <row r="8" spans="1:49" ht="15.75" customHeight="1" x14ac:dyDescent="0.35">
      <c r="A8" s="421" t="s">
        <v>489</v>
      </c>
      <c r="B8" s="422">
        <v>2</v>
      </c>
      <c r="C8" s="457" t="s">
        <v>432</v>
      </c>
      <c r="D8" s="457" t="s">
        <v>616</v>
      </c>
      <c r="E8" s="423">
        <v>225</v>
      </c>
      <c r="F8" s="424">
        <v>38000</v>
      </c>
      <c r="G8" s="424">
        <v>7000</v>
      </c>
      <c r="H8" s="424">
        <v>8000</v>
      </c>
      <c r="I8" s="424">
        <v>54300</v>
      </c>
      <c r="J8" s="424">
        <v>24000</v>
      </c>
      <c r="K8" s="424">
        <v>14945</v>
      </c>
      <c r="L8" s="424">
        <v>15710</v>
      </c>
      <c r="M8" s="424">
        <v>8800</v>
      </c>
      <c r="N8" s="424">
        <v>3400</v>
      </c>
      <c r="O8" s="424">
        <v>12340</v>
      </c>
      <c r="P8" s="425">
        <f t="shared" ref="P8:P47" si="19">COUNT(F8:O8)</f>
        <v>10</v>
      </c>
      <c r="Q8" s="422">
        <f t="shared" ref="Q8:Q46" si="20">COUNT(F8:I8)</f>
        <v>4</v>
      </c>
      <c r="R8" s="426" t="str">
        <f t="shared" ref="R8:R47" si="21">IF(P8=0,"",IF(S8=F8,"Lasertec",IF(S8=G8,"Chemilab",IF(S8=H8,"CIMA",IF(S8=I8,"SGI",IF(S8=J8,"Javeriana",IF(S8=K8,"Acueducto Bogotá",IF(S8=L8,"CARDIQUE",IF(S8=M8,"UPB Montería",IF(S8=N8,"Proc_SECOP II - COT 1",IF(S8=O8,"Proc_SECOP II - COT 2","")))))))))))</f>
        <v>Proc_SECOP II - COT 1</v>
      </c>
      <c r="S8" s="424">
        <f t="shared" ref="S8:S47" si="22">IF(P8=0,"",MIN(F8:O8))</f>
        <v>3400</v>
      </c>
      <c r="T8" s="426" t="str">
        <f t="shared" ref="T8:T47" si="23">IF(P8=0,"",IF(U8=F8,"Lasertec",IF(U8=G8,"Chemilab",IF(U8=H8,"CIMA",IF(U8=I8,"SGI",IF(U8=J8,"Javeriana",IF(U8=K8,"Acueducto Bogotá",IF(U8=L8,"CARDIQUE",IF(U8=M8,"UPB Montería",IF(U8=N8,"Proc_SECOP II - COT 1",IF(U8=O8,"Proc_SECOP II - COT 2","")))))))))))</f>
        <v>SGI</v>
      </c>
      <c r="U8" s="424">
        <f t="shared" ref="U8:U47" si="24">IF(P8=0,"",MAX(F8:O8))</f>
        <v>54300</v>
      </c>
      <c r="V8" s="427">
        <f t="shared" ref="V8:V47" si="25">IF(P8=0,"",ROUND(MEDIAN(F8:O8),0))</f>
        <v>13643</v>
      </c>
      <c r="W8" s="427">
        <f t="shared" ref="W8:W46" si="26">IF(P8=0,"",IF(P8&gt;=3,ROUND(MEDIAN(F8:O8),0),IF(P8=2,ROUND(AVERAGE(F8:O8),0),MAX(F8:O8))))</f>
        <v>13643</v>
      </c>
      <c r="X8" s="424">
        <f t="shared" ref="X8:X46" si="27">IF(OR(E8="",W8=""),"",E8*W8)</f>
        <v>3069675</v>
      </c>
      <c r="Y8" s="428">
        <f t="shared" ref="Y8:Y46" si="28">IFERROR((W8-V8)/V8,"")</f>
        <v>0</v>
      </c>
      <c r="Z8" s="421" t="str">
        <f t="shared" si="0"/>
        <v>Revisión por dispersión</v>
      </c>
      <c r="AA8" s="421" t="str">
        <f t="shared" si="1"/>
        <v>Validación técnica y segunda ronda</v>
      </c>
      <c r="AB8" s="421" t="str">
        <f t="shared" si="2"/>
        <v>Diferencia entre máximo y mínimo superior al 30% de la mediana; no excluir atípicos sin justificación.</v>
      </c>
      <c r="AC8" s="428">
        <f t="shared" si="3"/>
        <v>3.7308509858535515</v>
      </c>
      <c r="AD8" s="428">
        <f t="shared" si="4"/>
        <v>0.78883332840175346</v>
      </c>
      <c r="AE8" s="426" t="str">
        <f t="shared" si="5"/>
        <v>Alta</v>
      </c>
      <c r="AF8" s="426" t="str">
        <f t="shared" si="6"/>
        <v>Sí</v>
      </c>
      <c r="AG8" s="426" t="str">
        <f t="shared" si="7"/>
        <v>Mediana referencial sujeta a validación</v>
      </c>
      <c r="AH8" s="426" t="str">
        <f t="shared" si="8"/>
        <v>Sí</v>
      </c>
      <c r="AI8" s="426">
        <f t="shared" ref="AI8:AI46" si="29">IF(P8&gt;=3,P8-2,P8)</f>
        <v>8</v>
      </c>
      <c r="AJ8" s="424">
        <f t="shared" ref="AJ8:AJ47" si="30">IF(P8&gt;=4,SMALL(F8:O8,2),IF(P8=3,MEDIAN(F8:M8),IF(P8&gt;0,MIN(F8:O8),"")))</f>
        <v>7000</v>
      </c>
      <c r="AK8" s="424">
        <f t="shared" ref="AK8:AK47" si="31">IF(P8&gt;=4,LARGE(F8:O8,2),IF(P8=3,MEDIAN(F8:O8),IF(P8&gt;0,MAX(F8:O8),"")))</f>
        <v>38000</v>
      </c>
      <c r="AL8" s="427">
        <f t="shared" ref="AL8:AL47" si="32">IF(P8&gt;=4,ROUND((SUM(F8:O8)-MIN(F8:O8)-MAX(F8:O8))/(P8-2),0),IF(P8=3,ROUND(MEDIAN(F8:O8),0),IF(P8=2,ROUND(AVERAGE(F8:O8),0),IF(P8=1,MAX(F8:O8),""))))</f>
        <v>16099</v>
      </c>
      <c r="AM8" s="424">
        <f t="shared" ref="AM8:AM46" si="33">IF(OR(E8="",AL8=""),"",E8*AL8)</f>
        <v>3622275</v>
      </c>
      <c r="AN8" s="428">
        <f t="shared" si="9"/>
        <v>0.18001905739206919</v>
      </c>
      <c r="AO8" s="428">
        <f t="shared" si="10"/>
        <v>1.9255854400894465</v>
      </c>
      <c r="AP8" s="426" t="str">
        <f t="shared" si="11"/>
        <v>Alta</v>
      </c>
      <c r="AQ8" s="421" t="str">
        <f t="shared" si="12"/>
        <v>Revisión complementaria</v>
      </c>
      <c r="AR8" s="421" t="str">
        <f t="shared" si="13"/>
        <v>Aun sin extremos persiste dispersión relevante; validar alcance técnico.</v>
      </c>
      <c r="AS8" s="421" t="str">
        <f t="shared" si="14"/>
        <v>Promedio depurado sin extremos</v>
      </c>
      <c r="AT8" s="429">
        <f t="shared" si="15"/>
        <v>16099</v>
      </c>
      <c r="AU8" s="421" t="str">
        <f t="shared" si="16"/>
        <v>Definido con depuración</v>
      </c>
      <c r="AV8" s="421" t="str">
        <f t="shared" si="17"/>
        <v>Mantener valor final y dejar nota de dispersión residual</v>
      </c>
      <c r="AW8" s="421" t="str">
        <f t="shared" si="18"/>
        <v>Por alta dispersión se depura un mínimo y un máximo y se adopta el promedio interior.</v>
      </c>
    </row>
    <row r="9" spans="1:49" ht="15.75" customHeight="1" x14ac:dyDescent="0.35">
      <c r="A9" s="421" t="s">
        <v>489</v>
      </c>
      <c r="B9" s="422">
        <v>3</v>
      </c>
      <c r="C9" s="457" t="s">
        <v>433</v>
      </c>
      <c r="D9" s="457" t="s">
        <v>617</v>
      </c>
      <c r="E9" s="423">
        <v>225</v>
      </c>
      <c r="F9" s="424">
        <v>38000</v>
      </c>
      <c r="G9" s="424">
        <v>7000</v>
      </c>
      <c r="H9" s="424">
        <v>6000</v>
      </c>
      <c r="I9" s="424">
        <v>54300</v>
      </c>
      <c r="J9" s="424">
        <v>39000</v>
      </c>
      <c r="K9" s="424">
        <v>24142</v>
      </c>
      <c r="L9" s="424">
        <v>26707</v>
      </c>
      <c r="M9" s="424">
        <v>10000</v>
      </c>
      <c r="N9" s="424">
        <v>8600</v>
      </c>
      <c r="O9" s="424">
        <v>12340</v>
      </c>
      <c r="P9" s="425">
        <f t="shared" si="19"/>
        <v>10</v>
      </c>
      <c r="Q9" s="422">
        <f t="shared" si="20"/>
        <v>4</v>
      </c>
      <c r="R9" s="426" t="str">
        <f t="shared" si="21"/>
        <v>CIMA</v>
      </c>
      <c r="S9" s="424">
        <f t="shared" si="22"/>
        <v>6000</v>
      </c>
      <c r="T9" s="426" t="str">
        <f t="shared" si="23"/>
        <v>SGI</v>
      </c>
      <c r="U9" s="424">
        <f t="shared" si="24"/>
        <v>54300</v>
      </c>
      <c r="V9" s="427">
        <f t="shared" si="25"/>
        <v>18241</v>
      </c>
      <c r="W9" s="427">
        <f t="shared" si="26"/>
        <v>18241</v>
      </c>
      <c r="X9" s="424">
        <f t="shared" si="27"/>
        <v>4104225</v>
      </c>
      <c r="Y9" s="428">
        <f t="shared" si="28"/>
        <v>0</v>
      </c>
      <c r="Z9" s="421" t="str">
        <f t="shared" si="0"/>
        <v>Revisión por dispersión</v>
      </c>
      <c r="AA9" s="421" t="str">
        <f t="shared" si="1"/>
        <v>Validación técnica y segunda ronda</v>
      </c>
      <c r="AB9" s="421" t="str">
        <f t="shared" si="2"/>
        <v>Diferencia entre máximo y mínimo superior al 30% de la mediana; no excluir atípicos sin justificación.</v>
      </c>
      <c r="AC9" s="428">
        <f t="shared" si="3"/>
        <v>2.6478811468669479</v>
      </c>
      <c r="AD9" s="428">
        <f t="shared" si="4"/>
        <v>0.68084940567758612</v>
      </c>
      <c r="AE9" s="426" t="str">
        <f t="shared" si="5"/>
        <v>Alta</v>
      </c>
      <c r="AF9" s="426" t="str">
        <f t="shared" si="6"/>
        <v>Sí</v>
      </c>
      <c r="AG9" s="426" t="str">
        <f t="shared" si="7"/>
        <v>Mediana referencial sujeta a validación</v>
      </c>
      <c r="AH9" s="426" t="str">
        <f t="shared" si="8"/>
        <v>Sí</v>
      </c>
      <c r="AI9" s="426">
        <f t="shared" si="29"/>
        <v>8</v>
      </c>
      <c r="AJ9" s="424">
        <f t="shared" si="30"/>
        <v>7000</v>
      </c>
      <c r="AK9" s="424">
        <f t="shared" si="31"/>
        <v>39000</v>
      </c>
      <c r="AL9" s="427">
        <f t="shared" si="32"/>
        <v>20724</v>
      </c>
      <c r="AM9" s="424">
        <f t="shared" si="33"/>
        <v>4662900</v>
      </c>
      <c r="AN9" s="428">
        <f t="shared" si="9"/>
        <v>0.13612192314017871</v>
      </c>
      <c r="AO9" s="428">
        <f t="shared" si="10"/>
        <v>1.5441034549314805</v>
      </c>
      <c r="AP9" s="426" t="str">
        <f t="shared" si="11"/>
        <v>Alta</v>
      </c>
      <c r="AQ9" s="421" t="str">
        <f t="shared" si="12"/>
        <v>Revisión complementaria</v>
      </c>
      <c r="AR9" s="421" t="str">
        <f t="shared" si="13"/>
        <v>Aun sin extremos persiste dispersión relevante; validar alcance técnico.</v>
      </c>
      <c r="AS9" s="421" t="str">
        <f t="shared" si="14"/>
        <v>Promedio depurado sin extremos</v>
      </c>
      <c r="AT9" s="429">
        <f t="shared" si="15"/>
        <v>20724</v>
      </c>
      <c r="AU9" s="421" t="str">
        <f t="shared" si="16"/>
        <v>Definido con depuración</v>
      </c>
      <c r="AV9" s="421" t="str">
        <f t="shared" si="17"/>
        <v>Mantener valor final y dejar nota de dispersión residual</v>
      </c>
      <c r="AW9" s="421" t="str">
        <f t="shared" si="18"/>
        <v>Por alta dispersión se depura un mínimo y un máximo y se adopta el promedio interior.</v>
      </c>
    </row>
    <row r="10" spans="1:49" ht="15.75" customHeight="1" x14ac:dyDescent="0.35">
      <c r="A10" s="421" t="s">
        <v>489</v>
      </c>
      <c r="B10" s="422">
        <v>4</v>
      </c>
      <c r="C10" s="457" t="s">
        <v>149</v>
      </c>
      <c r="D10" s="457" t="s">
        <v>618</v>
      </c>
      <c r="E10" s="423">
        <v>225</v>
      </c>
      <c r="F10" s="424">
        <v>17000</v>
      </c>
      <c r="G10" s="424">
        <v>2600</v>
      </c>
      <c r="H10" s="424">
        <v>2000</v>
      </c>
      <c r="I10" s="424">
        <v>16500</v>
      </c>
      <c r="J10" s="424"/>
      <c r="K10" s="424">
        <v>17244</v>
      </c>
      <c r="L10" s="424">
        <v>11783</v>
      </c>
      <c r="M10" s="424">
        <v>7300</v>
      </c>
      <c r="N10" s="424">
        <v>3500</v>
      </c>
      <c r="O10" s="424">
        <v>2930</v>
      </c>
      <c r="P10" s="425">
        <f t="shared" si="19"/>
        <v>9</v>
      </c>
      <c r="Q10" s="422">
        <f t="shared" si="20"/>
        <v>4</v>
      </c>
      <c r="R10" s="426" t="str">
        <f t="shared" si="21"/>
        <v>CIMA</v>
      </c>
      <c r="S10" s="424">
        <f t="shared" si="22"/>
        <v>2000</v>
      </c>
      <c r="T10" s="426" t="str">
        <f t="shared" si="23"/>
        <v>Acueducto Bogotá</v>
      </c>
      <c r="U10" s="424">
        <f t="shared" si="24"/>
        <v>17244</v>
      </c>
      <c r="V10" s="427">
        <f t="shared" si="25"/>
        <v>7300</v>
      </c>
      <c r="W10" s="427">
        <f t="shared" si="26"/>
        <v>7300</v>
      </c>
      <c r="X10" s="424">
        <f t="shared" si="27"/>
        <v>1642500</v>
      </c>
      <c r="Y10" s="428">
        <f t="shared" si="28"/>
        <v>0</v>
      </c>
      <c r="Z10" s="421" t="str">
        <f t="shared" si="0"/>
        <v>Revisión por dispersión</v>
      </c>
      <c r="AA10" s="421" t="str">
        <f t="shared" si="1"/>
        <v>Validación técnica y segunda ronda</v>
      </c>
      <c r="AB10" s="421" t="str">
        <f t="shared" si="2"/>
        <v>Diferencia entre máximo y mínimo superior al 30% de la mediana; no excluir atípicos sin justificación.</v>
      </c>
      <c r="AC10" s="428">
        <f t="shared" si="3"/>
        <v>2.0882191780821917</v>
      </c>
      <c r="AD10" s="428">
        <f t="shared" si="4"/>
        <v>0.63110016884646902</v>
      </c>
      <c r="AE10" s="426" t="str">
        <f t="shared" si="5"/>
        <v>Alta</v>
      </c>
      <c r="AF10" s="426" t="str">
        <f t="shared" si="6"/>
        <v>Sí</v>
      </c>
      <c r="AG10" s="426" t="str">
        <f t="shared" si="7"/>
        <v>Mediana referencial sujeta a validación</v>
      </c>
      <c r="AH10" s="426" t="str">
        <f t="shared" si="8"/>
        <v>Sí</v>
      </c>
      <c r="AI10" s="426">
        <f t="shared" si="29"/>
        <v>7</v>
      </c>
      <c r="AJ10" s="424">
        <f t="shared" si="30"/>
        <v>2600</v>
      </c>
      <c r="AK10" s="424">
        <f t="shared" si="31"/>
        <v>17000</v>
      </c>
      <c r="AL10" s="427">
        <f t="shared" si="32"/>
        <v>8802</v>
      </c>
      <c r="AM10" s="424">
        <f t="shared" si="33"/>
        <v>1980450</v>
      </c>
      <c r="AN10" s="428">
        <f t="shared" si="9"/>
        <v>0.20575342465753424</v>
      </c>
      <c r="AO10" s="428">
        <f t="shared" si="10"/>
        <v>1.6359918200408998</v>
      </c>
      <c r="AP10" s="426" t="str">
        <f t="shared" si="11"/>
        <v>Alta</v>
      </c>
      <c r="AQ10" s="421" t="str">
        <f t="shared" si="12"/>
        <v>Revisión complementaria</v>
      </c>
      <c r="AR10" s="421" t="str">
        <f t="shared" si="13"/>
        <v>Aun sin extremos persiste dispersión relevante; validar alcance técnico.</v>
      </c>
      <c r="AS10" s="421" t="str">
        <f t="shared" si="14"/>
        <v>Promedio depurado sin extremos</v>
      </c>
      <c r="AT10" s="429">
        <f t="shared" si="15"/>
        <v>8802</v>
      </c>
      <c r="AU10" s="421" t="str">
        <f t="shared" si="16"/>
        <v>Definido con depuración</v>
      </c>
      <c r="AV10" s="421" t="str">
        <f t="shared" si="17"/>
        <v>Mantener valor final y dejar nota de dispersión residual</v>
      </c>
      <c r="AW10" s="421" t="str">
        <f t="shared" si="18"/>
        <v>Por alta dispersión se depura un mínimo y un máximo y se adopta el promedio interior.</v>
      </c>
    </row>
    <row r="11" spans="1:49" ht="15.75" customHeight="1" x14ac:dyDescent="0.35">
      <c r="A11" s="421" t="s">
        <v>489</v>
      </c>
      <c r="B11" s="422">
        <v>5</v>
      </c>
      <c r="C11" s="457" t="s">
        <v>490</v>
      </c>
      <c r="D11" s="457" t="s">
        <v>619</v>
      </c>
      <c r="E11" s="423">
        <v>225</v>
      </c>
      <c r="F11" s="424">
        <v>38000</v>
      </c>
      <c r="G11" s="424">
        <v>7000</v>
      </c>
      <c r="H11" s="424">
        <v>6000</v>
      </c>
      <c r="I11" s="424">
        <v>27100</v>
      </c>
      <c r="J11" s="424"/>
      <c r="K11" s="424"/>
      <c r="L11" s="424">
        <v>23564</v>
      </c>
      <c r="M11" s="424"/>
      <c r="N11" s="424"/>
      <c r="O11" s="424"/>
      <c r="P11" s="425">
        <f t="shared" si="19"/>
        <v>5</v>
      </c>
      <c r="Q11" s="422">
        <f t="shared" si="20"/>
        <v>4</v>
      </c>
      <c r="R11" s="426" t="str">
        <f t="shared" si="21"/>
        <v>CIMA</v>
      </c>
      <c r="S11" s="424">
        <f t="shared" si="22"/>
        <v>6000</v>
      </c>
      <c r="T11" s="426" t="str">
        <f t="shared" si="23"/>
        <v>Lasertec</v>
      </c>
      <c r="U11" s="424">
        <f t="shared" si="24"/>
        <v>38000</v>
      </c>
      <c r="V11" s="427">
        <f t="shared" si="25"/>
        <v>23564</v>
      </c>
      <c r="W11" s="427">
        <f t="shared" si="26"/>
        <v>23564</v>
      </c>
      <c r="X11" s="424">
        <f t="shared" si="27"/>
        <v>5301900</v>
      </c>
      <c r="Y11" s="428">
        <f t="shared" si="28"/>
        <v>0</v>
      </c>
      <c r="Z11" s="421" t="str">
        <f t="shared" si="0"/>
        <v>Revisión por dispersión</v>
      </c>
      <c r="AA11" s="421" t="str">
        <f t="shared" si="1"/>
        <v>Validación técnica y segunda ronda</v>
      </c>
      <c r="AB11" s="421" t="str">
        <f t="shared" si="2"/>
        <v>Diferencia entre máximo y mínimo superior al 30% de la mediana; no excluir atípicos sin justificación.</v>
      </c>
      <c r="AC11" s="428">
        <f t="shared" si="3"/>
        <v>1.35800373451027</v>
      </c>
      <c r="AD11" s="428">
        <f t="shared" si="4"/>
        <v>0.67414630435108946</v>
      </c>
      <c r="AE11" s="426" t="str">
        <f t="shared" si="5"/>
        <v>Alta</v>
      </c>
      <c r="AF11" s="426" t="str">
        <f t="shared" si="6"/>
        <v>Sí</v>
      </c>
      <c r="AG11" s="426" t="str">
        <f t="shared" si="7"/>
        <v>Mediana referencial sujeta a validación</v>
      </c>
      <c r="AH11" s="426" t="str">
        <f t="shared" si="8"/>
        <v>Sí</v>
      </c>
      <c r="AI11" s="426">
        <f t="shared" si="29"/>
        <v>3</v>
      </c>
      <c r="AJ11" s="424">
        <f t="shared" si="30"/>
        <v>7000</v>
      </c>
      <c r="AK11" s="424">
        <f t="shared" si="31"/>
        <v>27100</v>
      </c>
      <c r="AL11" s="427">
        <f t="shared" si="32"/>
        <v>19221</v>
      </c>
      <c r="AM11" s="424">
        <f t="shared" si="33"/>
        <v>4324725</v>
      </c>
      <c r="AN11" s="428">
        <f t="shared" si="9"/>
        <v>-0.18430656934306569</v>
      </c>
      <c r="AO11" s="428">
        <f t="shared" si="10"/>
        <v>1.0457312314655844</v>
      </c>
      <c r="AP11" s="426" t="str">
        <f t="shared" si="11"/>
        <v>Alta</v>
      </c>
      <c r="AQ11" s="421" t="str">
        <f t="shared" si="12"/>
        <v>Revisión complementaria</v>
      </c>
      <c r="AR11" s="421" t="str">
        <f t="shared" si="13"/>
        <v>Aun sin extremos persiste dispersión relevante; validar alcance técnico.</v>
      </c>
      <c r="AS11" s="421" t="str">
        <f t="shared" si="14"/>
        <v>Promedio depurado sin extremos</v>
      </c>
      <c r="AT11" s="429">
        <f t="shared" si="15"/>
        <v>19221</v>
      </c>
      <c r="AU11" s="421" t="str">
        <f t="shared" si="16"/>
        <v>Definido con depuración</v>
      </c>
      <c r="AV11" s="421" t="str">
        <f t="shared" si="17"/>
        <v>Mantener valor final y dejar nota de dispersión residual</v>
      </c>
      <c r="AW11" s="421" t="str">
        <f t="shared" si="18"/>
        <v>Por alta dispersión se depura un mínimo y un máximo y se adopta el promedio interior.</v>
      </c>
    </row>
    <row r="12" spans="1:49" ht="15.75" customHeight="1" x14ac:dyDescent="0.35">
      <c r="A12" s="421" t="s">
        <v>489</v>
      </c>
      <c r="B12" s="422">
        <v>6</v>
      </c>
      <c r="C12" s="457" t="s">
        <v>434</v>
      </c>
      <c r="D12" s="457" t="s">
        <v>620</v>
      </c>
      <c r="E12" s="423">
        <v>225</v>
      </c>
      <c r="F12" s="424">
        <v>38000</v>
      </c>
      <c r="G12" s="424">
        <v>5800</v>
      </c>
      <c r="H12" s="424"/>
      <c r="I12" s="424">
        <v>40100</v>
      </c>
      <c r="J12" s="424">
        <v>31000</v>
      </c>
      <c r="K12" s="424">
        <v>25292</v>
      </c>
      <c r="L12" s="424">
        <v>15710</v>
      </c>
      <c r="M12" s="424">
        <v>8000</v>
      </c>
      <c r="N12" s="424"/>
      <c r="O12" s="424"/>
      <c r="P12" s="425">
        <f t="shared" si="19"/>
        <v>7</v>
      </c>
      <c r="Q12" s="422">
        <f t="shared" si="20"/>
        <v>3</v>
      </c>
      <c r="R12" s="426" t="str">
        <f t="shared" si="21"/>
        <v>Chemilab</v>
      </c>
      <c r="S12" s="424">
        <f t="shared" si="22"/>
        <v>5800</v>
      </c>
      <c r="T12" s="426" t="str">
        <f t="shared" si="23"/>
        <v>SGI</v>
      </c>
      <c r="U12" s="424">
        <f t="shared" si="24"/>
        <v>40100</v>
      </c>
      <c r="V12" s="427">
        <f t="shared" si="25"/>
        <v>25292</v>
      </c>
      <c r="W12" s="427">
        <f t="shared" si="26"/>
        <v>25292</v>
      </c>
      <c r="X12" s="424">
        <f t="shared" si="27"/>
        <v>5690700</v>
      </c>
      <c r="Y12" s="428">
        <f t="shared" si="28"/>
        <v>0</v>
      </c>
      <c r="Z12" s="421" t="str">
        <f t="shared" si="0"/>
        <v>Revisión por dispersión</v>
      </c>
      <c r="AA12" s="421" t="str">
        <f t="shared" si="1"/>
        <v>Validación técnica y segunda ronda</v>
      </c>
      <c r="AB12" s="421" t="str">
        <f t="shared" si="2"/>
        <v>Diferencia entre máximo y mínimo superior al 30% de la mediana; no excluir atípicos sin justificación.</v>
      </c>
      <c r="AC12" s="428">
        <f t="shared" si="3"/>
        <v>1.3561600506088882</v>
      </c>
      <c r="AD12" s="428">
        <f t="shared" si="4"/>
        <v>0.5936946051293539</v>
      </c>
      <c r="AE12" s="426" t="str">
        <f t="shared" si="5"/>
        <v>Alta</v>
      </c>
      <c r="AF12" s="426" t="str">
        <f t="shared" si="6"/>
        <v>Sí</v>
      </c>
      <c r="AG12" s="426" t="str">
        <f t="shared" si="7"/>
        <v>Mediana referencial sujeta a validación</v>
      </c>
      <c r="AH12" s="426" t="str">
        <f t="shared" si="8"/>
        <v>Sí</v>
      </c>
      <c r="AI12" s="426">
        <f t="shared" si="29"/>
        <v>5</v>
      </c>
      <c r="AJ12" s="424">
        <f t="shared" si="30"/>
        <v>8000</v>
      </c>
      <c r="AK12" s="424">
        <f t="shared" si="31"/>
        <v>38000</v>
      </c>
      <c r="AL12" s="427">
        <f t="shared" si="32"/>
        <v>23600</v>
      </c>
      <c r="AM12" s="424">
        <f t="shared" si="33"/>
        <v>5310000</v>
      </c>
      <c r="AN12" s="428">
        <f t="shared" si="9"/>
        <v>-6.6898624070852439E-2</v>
      </c>
      <c r="AO12" s="428">
        <f t="shared" si="10"/>
        <v>1.271186440677966</v>
      </c>
      <c r="AP12" s="426" t="str">
        <f t="shared" si="11"/>
        <v>Alta</v>
      </c>
      <c r="AQ12" s="421" t="str">
        <f t="shared" si="12"/>
        <v>Revisión complementaria</v>
      </c>
      <c r="AR12" s="421" t="str">
        <f t="shared" si="13"/>
        <v>Aun sin extremos persiste dispersión relevante; validar alcance técnico.</v>
      </c>
      <c r="AS12" s="421" t="str">
        <f t="shared" si="14"/>
        <v>Promedio depurado sin extremos</v>
      </c>
      <c r="AT12" s="429">
        <f t="shared" si="15"/>
        <v>23600</v>
      </c>
      <c r="AU12" s="421" t="str">
        <f t="shared" si="16"/>
        <v>Definido con depuración</v>
      </c>
      <c r="AV12" s="421" t="str">
        <f t="shared" si="17"/>
        <v>Mantener valor final y dejar nota de dispersión residual</v>
      </c>
      <c r="AW12" s="421" t="str">
        <f t="shared" si="18"/>
        <v>Por alta dispersión se depura un mínimo y un máximo y se adopta el promedio interior.</v>
      </c>
    </row>
    <row r="13" spans="1:49" ht="15.75" customHeight="1" x14ac:dyDescent="0.35">
      <c r="A13" s="421" t="s">
        <v>489</v>
      </c>
      <c r="B13" s="422">
        <v>7</v>
      </c>
      <c r="C13" s="458" t="s">
        <v>247</v>
      </c>
      <c r="D13" s="458" t="s">
        <v>621</v>
      </c>
      <c r="E13" s="423">
        <v>9</v>
      </c>
      <c r="F13" s="424">
        <v>55000</v>
      </c>
      <c r="G13" s="424">
        <v>9300</v>
      </c>
      <c r="H13" s="424">
        <v>8000</v>
      </c>
      <c r="I13" s="424">
        <v>54300</v>
      </c>
      <c r="J13" s="424">
        <v>25000</v>
      </c>
      <c r="K13" s="424">
        <v>14945</v>
      </c>
      <c r="L13" s="424">
        <v>20422</v>
      </c>
      <c r="M13" s="424">
        <v>16000</v>
      </c>
      <c r="N13" s="424">
        <v>13200</v>
      </c>
      <c r="O13" s="424">
        <v>17920</v>
      </c>
      <c r="P13" s="425">
        <f t="shared" si="19"/>
        <v>10</v>
      </c>
      <c r="Q13" s="422">
        <f t="shared" si="20"/>
        <v>4</v>
      </c>
      <c r="R13" s="426" t="str">
        <f t="shared" si="21"/>
        <v>CIMA</v>
      </c>
      <c r="S13" s="424">
        <f t="shared" si="22"/>
        <v>8000</v>
      </c>
      <c r="T13" s="426" t="str">
        <f t="shared" si="23"/>
        <v>Lasertec</v>
      </c>
      <c r="U13" s="424">
        <f t="shared" si="24"/>
        <v>55000</v>
      </c>
      <c r="V13" s="427">
        <f t="shared" si="25"/>
        <v>16960</v>
      </c>
      <c r="W13" s="427">
        <f t="shared" si="26"/>
        <v>16960</v>
      </c>
      <c r="X13" s="424">
        <f t="shared" si="27"/>
        <v>152640</v>
      </c>
      <c r="Y13" s="428">
        <f t="shared" si="28"/>
        <v>0</v>
      </c>
      <c r="Z13" s="421" t="str">
        <f t="shared" si="0"/>
        <v>Revisión por dispersión</v>
      </c>
      <c r="AA13" s="421" t="str">
        <f t="shared" si="1"/>
        <v>Validación técnica y segunda ronda</v>
      </c>
      <c r="AB13" s="421" t="str">
        <f t="shared" si="2"/>
        <v>Diferencia entre máximo y mínimo superior al 30% de la mediana; no excluir atípicos sin justificación.</v>
      </c>
      <c r="AC13" s="428">
        <f t="shared" si="3"/>
        <v>2.7712264150943398</v>
      </c>
      <c r="AD13" s="428">
        <f t="shared" si="4"/>
        <v>0.74427369146746702</v>
      </c>
      <c r="AE13" s="426" t="str">
        <f t="shared" si="5"/>
        <v>Alta</v>
      </c>
      <c r="AF13" s="426" t="str">
        <f t="shared" si="6"/>
        <v>Sí</v>
      </c>
      <c r="AG13" s="426" t="str">
        <f t="shared" si="7"/>
        <v>Mediana referencial sujeta a validación</v>
      </c>
      <c r="AH13" s="426" t="str">
        <f t="shared" si="8"/>
        <v>Sí</v>
      </c>
      <c r="AI13" s="426">
        <f t="shared" si="29"/>
        <v>8</v>
      </c>
      <c r="AJ13" s="424">
        <f t="shared" si="30"/>
        <v>9300</v>
      </c>
      <c r="AK13" s="424">
        <f t="shared" si="31"/>
        <v>54300</v>
      </c>
      <c r="AL13" s="427">
        <f t="shared" si="32"/>
        <v>21386</v>
      </c>
      <c r="AM13" s="424">
        <f t="shared" si="33"/>
        <v>192474</v>
      </c>
      <c r="AN13" s="428">
        <f t="shared" si="9"/>
        <v>0.26096698113207545</v>
      </c>
      <c r="AO13" s="428">
        <f t="shared" si="10"/>
        <v>2.1041803048723464</v>
      </c>
      <c r="AP13" s="426" t="str">
        <f t="shared" si="11"/>
        <v>Alta</v>
      </c>
      <c r="AQ13" s="421" t="str">
        <f t="shared" si="12"/>
        <v>Revisión complementaria</v>
      </c>
      <c r="AR13" s="421" t="str">
        <f t="shared" si="13"/>
        <v>Aun sin extremos persiste dispersión relevante; validar alcance técnico.</v>
      </c>
      <c r="AS13" s="421" t="str">
        <f t="shared" si="14"/>
        <v>Promedio depurado sin extremos</v>
      </c>
      <c r="AT13" s="429">
        <f t="shared" si="15"/>
        <v>21386</v>
      </c>
      <c r="AU13" s="421" t="str">
        <f t="shared" si="16"/>
        <v>Definido con depuración</v>
      </c>
      <c r="AV13" s="421" t="str">
        <f t="shared" si="17"/>
        <v>Mantener valor final y dejar nota de dispersión residual</v>
      </c>
      <c r="AW13" s="421" t="str">
        <f t="shared" si="18"/>
        <v>Por alta dispersión se depura un mínimo y un máximo y se adopta el promedio interior.</v>
      </c>
    </row>
    <row r="14" spans="1:49" ht="15.75" customHeight="1" x14ac:dyDescent="0.35">
      <c r="A14" s="421" t="s">
        <v>489</v>
      </c>
      <c r="B14" s="422">
        <v>8</v>
      </c>
      <c r="C14" s="458" t="s">
        <v>435</v>
      </c>
      <c r="D14" s="458" t="s">
        <v>621</v>
      </c>
      <c r="E14" s="423">
        <v>9</v>
      </c>
      <c r="F14" s="424">
        <v>55000</v>
      </c>
      <c r="G14" s="424">
        <v>7000</v>
      </c>
      <c r="H14" s="424">
        <v>8000</v>
      </c>
      <c r="I14" s="424">
        <v>67300</v>
      </c>
      <c r="J14" s="424">
        <v>62000</v>
      </c>
      <c r="K14" s="424">
        <v>49433</v>
      </c>
      <c r="L14" s="424">
        <v>28277</v>
      </c>
      <c r="M14" s="424">
        <v>19000</v>
      </c>
      <c r="N14" s="424">
        <v>28300</v>
      </c>
      <c r="O14" s="424">
        <v>23510</v>
      </c>
      <c r="P14" s="425">
        <f t="shared" si="19"/>
        <v>10</v>
      </c>
      <c r="Q14" s="422">
        <f t="shared" si="20"/>
        <v>4</v>
      </c>
      <c r="R14" s="426" t="str">
        <f t="shared" si="21"/>
        <v>Chemilab</v>
      </c>
      <c r="S14" s="424">
        <f t="shared" si="22"/>
        <v>7000</v>
      </c>
      <c r="T14" s="426" t="str">
        <f t="shared" si="23"/>
        <v>SGI</v>
      </c>
      <c r="U14" s="424">
        <f t="shared" si="24"/>
        <v>67300</v>
      </c>
      <c r="V14" s="427">
        <f t="shared" si="25"/>
        <v>28289</v>
      </c>
      <c r="W14" s="427">
        <f t="shared" si="26"/>
        <v>28289</v>
      </c>
      <c r="X14" s="424">
        <f t="shared" si="27"/>
        <v>254601</v>
      </c>
      <c r="Y14" s="428">
        <f t="shared" si="28"/>
        <v>0</v>
      </c>
      <c r="Z14" s="421" t="str">
        <f t="shared" si="0"/>
        <v>Revisión por dispersión</v>
      </c>
      <c r="AA14" s="421" t="str">
        <f t="shared" si="1"/>
        <v>Validación técnica y segunda ronda</v>
      </c>
      <c r="AB14" s="421" t="str">
        <f t="shared" si="2"/>
        <v>Diferencia entre máximo y mínimo superior al 30% de la mediana; no excluir atípicos sin justificación.</v>
      </c>
      <c r="AC14" s="428">
        <f t="shared" si="3"/>
        <v>2.1315705751352114</v>
      </c>
      <c r="AD14" s="428">
        <f t="shared" si="4"/>
        <v>0.65906049645792997</v>
      </c>
      <c r="AE14" s="426" t="str">
        <f t="shared" si="5"/>
        <v>Alta</v>
      </c>
      <c r="AF14" s="426" t="str">
        <f t="shared" si="6"/>
        <v>Sí</v>
      </c>
      <c r="AG14" s="426" t="str">
        <f t="shared" si="7"/>
        <v>Mediana referencial sujeta a validación</v>
      </c>
      <c r="AH14" s="426" t="str">
        <f t="shared" si="8"/>
        <v>Sí</v>
      </c>
      <c r="AI14" s="426">
        <f t="shared" si="29"/>
        <v>8</v>
      </c>
      <c r="AJ14" s="424">
        <f t="shared" si="30"/>
        <v>8000</v>
      </c>
      <c r="AK14" s="424">
        <f t="shared" si="31"/>
        <v>62000</v>
      </c>
      <c r="AL14" s="427">
        <f t="shared" si="32"/>
        <v>34190</v>
      </c>
      <c r="AM14" s="424">
        <f t="shared" si="33"/>
        <v>307710</v>
      </c>
      <c r="AN14" s="428">
        <f t="shared" si="9"/>
        <v>0.20859698115875427</v>
      </c>
      <c r="AO14" s="428">
        <f t="shared" si="10"/>
        <v>1.5794091839719215</v>
      </c>
      <c r="AP14" s="426" t="str">
        <f t="shared" si="11"/>
        <v>Alta</v>
      </c>
      <c r="AQ14" s="421" t="str">
        <f t="shared" si="12"/>
        <v>Revisión complementaria</v>
      </c>
      <c r="AR14" s="421" t="str">
        <f t="shared" si="13"/>
        <v>Aun sin extremos persiste dispersión relevante; validar alcance técnico.</v>
      </c>
      <c r="AS14" s="421" t="str">
        <f t="shared" si="14"/>
        <v>Promedio depurado sin extremos</v>
      </c>
      <c r="AT14" s="429">
        <f t="shared" si="15"/>
        <v>34190</v>
      </c>
      <c r="AU14" s="421" t="str">
        <f t="shared" si="16"/>
        <v>Definido con depuración</v>
      </c>
      <c r="AV14" s="421" t="str">
        <f t="shared" si="17"/>
        <v>Mantener valor final y dejar nota de dispersión residual</v>
      </c>
      <c r="AW14" s="421" t="str">
        <f t="shared" si="18"/>
        <v>Por alta dispersión se depura un mínimo y un máximo y se adopta el promedio interior.</v>
      </c>
    </row>
    <row r="15" spans="1:49" ht="15.75" customHeight="1" x14ac:dyDescent="0.35">
      <c r="A15" s="421" t="s">
        <v>489</v>
      </c>
      <c r="B15" s="422">
        <v>9</v>
      </c>
      <c r="C15" s="458" t="s">
        <v>436</v>
      </c>
      <c r="D15" s="458" t="s">
        <v>617</v>
      </c>
      <c r="E15" s="423">
        <v>9</v>
      </c>
      <c r="F15" s="424">
        <v>109000</v>
      </c>
      <c r="G15" s="424">
        <v>37300</v>
      </c>
      <c r="H15" s="424">
        <v>32000</v>
      </c>
      <c r="I15" s="424">
        <v>127400</v>
      </c>
      <c r="J15" s="424">
        <v>110000</v>
      </c>
      <c r="K15" s="424">
        <v>54033</v>
      </c>
      <c r="L15" s="424">
        <v>89546</v>
      </c>
      <c r="M15" s="424">
        <v>45000</v>
      </c>
      <c r="N15" s="424">
        <v>33800</v>
      </c>
      <c r="O15" s="424">
        <v>58860</v>
      </c>
      <c r="P15" s="425">
        <f t="shared" si="19"/>
        <v>10</v>
      </c>
      <c r="Q15" s="422">
        <f t="shared" si="20"/>
        <v>4</v>
      </c>
      <c r="R15" s="426" t="str">
        <f t="shared" si="21"/>
        <v>CIMA</v>
      </c>
      <c r="S15" s="424">
        <f t="shared" si="22"/>
        <v>32000</v>
      </c>
      <c r="T15" s="426" t="str">
        <f t="shared" si="23"/>
        <v>SGI</v>
      </c>
      <c r="U15" s="424">
        <f t="shared" si="24"/>
        <v>127400</v>
      </c>
      <c r="V15" s="427">
        <f t="shared" si="25"/>
        <v>56447</v>
      </c>
      <c r="W15" s="427">
        <f t="shared" si="26"/>
        <v>56447</v>
      </c>
      <c r="X15" s="424">
        <f t="shared" si="27"/>
        <v>508023</v>
      </c>
      <c r="Y15" s="428">
        <f t="shared" si="28"/>
        <v>0</v>
      </c>
      <c r="Z15" s="421" t="str">
        <f t="shared" si="0"/>
        <v>Revisión por dispersión</v>
      </c>
      <c r="AA15" s="421" t="str">
        <f t="shared" si="1"/>
        <v>Validación técnica y segunda ronda</v>
      </c>
      <c r="AB15" s="421" t="str">
        <f t="shared" si="2"/>
        <v>Diferencia entre máximo y mínimo superior al 30% de la mediana; no excluir atípicos sin justificación.</v>
      </c>
      <c r="AC15" s="428">
        <f t="shared" si="3"/>
        <v>1.6900809609013765</v>
      </c>
      <c r="AD15" s="428">
        <f t="shared" si="4"/>
        <v>0.4990302511758532</v>
      </c>
      <c r="AE15" s="426" t="str">
        <f t="shared" si="5"/>
        <v>Alta</v>
      </c>
      <c r="AF15" s="426" t="str">
        <f t="shared" si="6"/>
        <v>Sí</v>
      </c>
      <c r="AG15" s="426" t="str">
        <f t="shared" si="7"/>
        <v>Mediana referencial sujeta a validación</v>
      </c>
      <c r="AH15" s="426" t="str">
        <f t="shared" si="8"/>
        <v>Sí</v>
      </c>
      <c r="AI15" s="426">
        <f t="shared" si="29"/>
        <v>8</v>
      </c>
      <c r="AJ15" s="424">
        <f t="shared" si="30"/>
        <v>33800</v>
      </c>
      <c r="AK15" s="424">
        <f t="shared" si="31"/>
        <v>110000</v>
      </c>
      <c r="AL15" s="427">
        <f t="shared" si="32"/>
        <v>67192</v>
      </c>
      <c r="AM15" s="424">
        <f t="shared" si="33"/>
        <v>604728</v>
      </c>
      <c r="AN15" s="428">
        <f t="shared" si="9"/>
        <v>0.19035555476818963</v>
      </c>
      <c r="AO15" s="428">
        <f t="shared" si="10"/>
        <v>1.1340635789974998</v>
      </c>
      <c r="AP15" s="426" t="str">
        <f t="shared" si="11"/>
        <v>Alta</v>
      </c>
      <c r="AQ15" s="421" t="str">
        <f t="shared" si="12"/>
        <v>Revisión complementaria</v>
      </c>
      <c r="AR15" s="421" t="str">
        <f t="shared" si="13"/>
        <v>Aun sin extremos persiste dispersión relevante; validar alcance técnico.</v>
      </c>
      <c r="AS15" s="421" t="str">
        <f t="shared" si="14"/>
        <v>Promedio depurado sin extremos</v>
      </c>
      <c r="AT15" s="429">
        <f t="shared" si="15"/>
        <v>67192</v>
      </c>
      <c r="AU15" s="421" t="str">
        <f t="shared" si="16"/>
        <v>Definido con depuración</v>
      </c>
      <c r="AV15" s="421" t="str">
        <f t="shared" si="17"/>
        <v>Mantener valor final y dejar nota de dispersión residual</v>
      </c>
      <c r="AW15" s="421" t="str">
        <f t="shared" si="18"/>
        <v>Por alta dispersión se depura un mínimo y un máximo y se adopta el promedio interior.</v>
      </c>
    </row>
    <row r="16" spans="1:49" ht="15.75" customHeight="1" x14ac:dyDescent="0.35">
      <c r="A16" s="421" t="s">
        <v>489</v>
      </c>
      <c r="B16" s="422">
        <v>10</v>
      </c>
      <c r="C16" s="458" t="s">
        <v>437</v>
      </c>
      <c r="D16" s="458" t="s">
        <v>617</v>
      </c>
      <c r="E16" s="423">
        <v>9</v>
      </c>
      <c r="F16" s="424">
        <v>109000</v>
      </c>
      <c r="G16" s="424"/>
      <c r="H16" s="424"/>
      <c r="I16" s="424">
        <v>127400</v>
      </c>
      <c r="J16" s="424"/>
      <c r="K16" s="424"/>
      <c r="L16" s="424"/>
      <c r="M16" s="424"/>
      <c r="N16" s="424"/>
      <c r="O16" s="424">
        <v>73640</v>
      </c>
      <c r="P16" s="425">
        <f t="shared" si="19"/>
        <v>3</v>
      </c>
      <c r="Q16" s="422">
        <f t="shared" si="20"/>
        <v>2</v>
      </c>
      <c r="R16" s="426" t="str">
        <f t="shared" si="21"/>
        <v>Proc_SECOP II - COT 2</v>
      </c>
      <c r="S16" s="424">
        <f t="shared" si="22"/>
        <v>73640</v>
      </c>
      <c r="T16" s="426" t="str">
        <f t="shared" si="23"/>
        <v>SGI</v>
      </c>
      <c r="U16" s="424">
        <f t="shared" si="24"/>
        <v>127400</v>
      </c>
      <c r="V16" s="427">
        <f t="shared" si="25"/>
        <v>109000</v>
      </c>
      <c r="W16" s="427">
        <f t="shared" si="26"/>
        <v>109000</v>
      </c>
      <c r="X16" s="424">
        <f t="shared" si="27"/>
        <v>981000</v>
      </c>
      <c r="Y16" s="428">
        <f t="shared" si="28"/>
        <v>0</v>
      </c>
      <c r="Z16" s="421" t="str">
        <f t="shared" si="0"/>
        <v>Revisión por dispersión</v>
      </c>
      <c r="AA16" s="421" t="str">
        <f t="shared" si="1"/>
        <v>Validación técnica y segunda ronda</v>
      </c>
      <c r="AB16" s="421" t="str">
        <f t="shared" si="2"/>
        <v>Diferencia entre máximo y mínimo superior al 30% de la mediana; no excluir atípicos sin justificación.</v>
      </c>
      <c r="AC16" s="428">
        <f t="shared" si="3"/>
        <v>0.49321100917431193</v>
      </c>
      <c r="AD16" s="428">
        <f t="shared" si="4"/>
        <v>0.11007415206288049</v>
      </c>
      <c r="AE16" s="426" t="str">
        <f t="shared" si="5"/>
        <v>Alta</v>
      </c>
      <c r="AF16" s="426" t="str">
        <f t="shared" si="6"/>
        <v>Sí</v>
      </c>
      <c r="AG16" s="426" t="str">
        <f t="shared" si="7"/>
        <v>Mediana referencial sujeta a validación</v>
      </c>
      <c r="AH16" s="426" t="str">
        <f t="shared" si="8"/>
        <v>Sí</v>
      </c>
      <c r="AI16" s="426">
        <f t="shared" si="29"/>
        <v>1</v>
      </c>
      <c r="AJ16" s="424">
        <f t="shared" si="30"/>
        <v>118200</v>
      </c>
      <c r="AK16" s="424">
        <f t="shared" si="31"/>
        <v>109000</v>
      </c>
      <c r="AL16" s="427">
        <f t="shared" si="32"/>
        <v>109000</v>
      </c>
      <c r="AM16" s="424">
        <f t="shared" si="33"/>
        <v>981000</v>
      </c>
      <c r="AN16" s="428">
        <f t="shared" si="9"/>
        <v>0</v>
      </c>
      <c r="AO16" s="428">
        <f t="shared" si="10"/>
        <v>-8.4403669724770647E-2</v>
      </c>
      <c r="AP16" s="426" t="str">
        <f t="shared" si="11"/>
        <v>Soporte único</v>
      </c>
      <c r="AQ16" s="421" t="str">
        <f t="shared" si="12"/>
        <v>Precio depurado útil</v>
      </c>
      <c r="AR16" s="421" t="str">
        <f t="shared" si="13"/>
        <v>Se retiró un mínimo y un máximo para prueba de sensibilidad del mercado.</v>
      </c>
      <c r="AS16" s="421" t="str">
        <f t="shared" si="14"/>
        <v>Mediana de mercado (sin depuración fuerte)</v>
      </c>
      <c r="AT16" s="429">
        <f t="shared" si="15"/>
        <v>109000</v>
      </c>
      <c r="AU16" s="421" t="str">
        <f t="shared" si="16"/>
        <v>Definido</v>
      </c>
      <c r="AV16" s="421" t="str">
        <f t="shared" si="17"/>
        <v>Usar valor final recomendado</v>
      </c>
      <c r="AW16" s="421" t="str">
        <f t="shared" si="18"/>
        <v>Se adopta la mediana del mercado por ser una medida robusta.</v>
      </c>
    </row>
    <row r="17" spans="1:49" ht="15.75" customHeight="1" x14ac:dyDescent="0.35">
      <c r="A17" s="421" t="s">
        <v>489</v>
      </c>
      <c r="B17" s="422">
        <v>11</v>
      </c>
      <c r="C17" s="458" t="s">
        <v>438</v>
      </c>
      <c r="D17" s="458" t="s">
        <v>617</v>
      </c>
      <c r="E17" s="423">
        <v>9</v>
      </c>
      <c r="F17" s="424">
        <v>109000</v>
      </c>
      <c r="G17" s="424"/>
      <c r="H17" s="424"/>
      <c r="I17" s="424">
        <v>127400</v>
      </c>
      <c r="J17" s="424"/>
      <c r="K17" s="424"/>
      <c r="L17" s="424">
        <v>113114</v>
      </c>
      <c r="M17" s="424"/>
      <c r="N17" s="424"/>
      <c r="O17" s="424"/>
      <c r="P17" s="425">
        <f t="shared" si="19"/>
        <v>3</v>
      </c>
      <c r="Q17" s="422">
        <f t="shared" si="20"/>
        <v>2</v>
      </c>
      <c r="R17" s="426" t="str">
        <f t="shared" si="21"/>
        <v>Lasertec</v>
      </c>
      <c r="S17" s="424">
        <f t="shared" si="22"/>
        <v>109000</v>
      </c>
      <c r="T17" s="426" t="str">
        <f t="shared" si="23"/>
        <v>SGI</v>
      </c>
      <c r="U17" s="424">
        <f t="shared" si="24"/>
        <v>127400</v>
      </c>
      <c r="V17" s="427">
        <f t="shared" si="25"/>
        <v>113114</v>
      </c>
      <c r="W17" s="427">
        <f t="shared" si="26"/>
        <v>113114</v>
      </c>
      <c r="X17" s="424">
        <f t="shared" si="27"/>
        <v>1018026</v>
      </c>
      <c r="Y17" s="428">
        <f t="shared" si="28"/>
        <v>0</v>
      </c>
      <c r="Z17" s="421" t="str">
        <f t="shared" si="0"/>
        <v>Aceptable</v>
      </c>
      <c r="AA17" s="421" t="str">
        <f t="shared" si="1"/>
        <v>No obligatoria</v>
      </c>
      <c r="AB17" s="421" t="str">
        <f t="shared" si="2"/>
        <v>Comparación con mercado suficiente para fijar precio de referencia.</v>
      </c>
      <c r="AC17" s="428">
        <f t="shared" si="3"/>
        <v>0.16266775111834078</v>
      </c>
      <c r="AD17" s="428">
        <f t="shared" si="4"/>
        <v>8.2891523946166029E-2</v>
      </c>
      <c r="AE17" s="426" t="str">
        <f t="shared" si="5"/>
        <v>Media</v>
      </c>
      <c r="AF17" s="426" t="str">
        <f t="shared" si="6"/>
        <v>No</v>
      </c>
      <c r="AG17" s="426" t="str">
        <f t="shared" si="7"/>
        <v>Mediana</v>
      </c>
      <c r="AH17" s="426" t="str">
        <f t="shared" si="8"/>
        <v>Sí</v>
      </c>
      <c r="AI17" s="426">
        <f t="shared" si="29"/>
        <v>1</v>
      </c>
      <c r="AJ17" s="424">
        <f t="shared" si="30"/>
        <v>113114</v>
      </c>
      <c r="AK17" s="424">
        <f t="shared" si="31"/>
        <v>113114</v>
      </c>
      <c r="AL17" s="427">
        <f t="shared" si="32"/>
        <v>113114</v>
      </c>
      <c r="AM17" s="424">
        <f t="shared" si="33"/>
        <v>1018026</v>
      </c>
      <c r="AN17" s="428">
        <f t="shared" si="9"/>
        <v>0</v>
      </c>
      <c r="AO17" s="428">
        <f t="shared" si="10"/>
        <v>0</v>
      </c>
      <c r="AP17" s="426" t="str">
        <f t="shared" si="11"/>
        <v>Soporte único</v>
      </c>
      <c r="AQ17" s="421" t="str">
        <f t="shared" si="12"/>
        <v>Precio depurado útil</v>
      </c>
      <c r="AR17" s="421" t="str">
        <f t="shared" si="13"/>
        <v>Se retiró un mínimo y un máximo para prueba de sensibilidad del mercado.</v>
      </c>
      <c r="AS17" s="421" t="str">
        <f t="shared" si="14"/>
        <v>Mediana de mercado</v>
      </c>
      <c r="AT17" s="429">
        <f t="shared" si="15"/>
        <v>113114</v>
      </c>
      <c r="AU17" s="421" t="str">
        <f t="shared" si="16"/>
        <v>Definido</v>
      </c>
      <c r="AV17" s="421" t="str">
        <f t="shared" si="17"/>
        <v>Usar valor final recomendado</v>
      </c>
      <c r="AW17" s="421" t="str">
        <f t="shared" si="18"/>
        <v>Se adopta la mediana del mercado por ser una medida robusta.</v>
      </c>
    </row>
    <row r="18" spans="1:49" ht="15.75" customHeight="1" x14ac:dyDescent="0.35">
      <c r="A18" s="421" t="s">
        <v>489</v>
      </c>
      <c r="B18" s="422">
        <v>12</v>
      </c>
      <c r="C18" s="458" t="s">
        <v>439</v>
      </c>
      <c r="D18" s="458" t="s">
        <v>617</v>
      </c>
      <c r="E18" s="423">
        <v>9</v>
      </c>
      <c r="F18" s="424">
        <v>109000</v>
      </c>
      <c r="G18" s="424">
        <v>37300</v>
      </c>
      <c r="H18" s="424">
        <v>28000</v>
      </c>
      <c r="I18" s="424">
        <v>121500</v>
      </c>
      <c r="J18" s="424">
        <v>101000</v>
      </c>
      <c r="K18" s="424">
        <v>63229</v>
      </c>
      <c r="L18" s="424">
        <v>84834</v>
      </c>
      <c r="M18" s="424">
        <v>60000</v>
      </c>
      <c r="N18" s="424">
        <v>32800</v>
      </c>
      <c r="O18" s="424">
        <v>56310</v>
      </c>
      <c r="P18" s="425">
        <f t="shared" si="19"/>
        <v>10</v>
      </c>
      <c r="Q18" s="422">
        <f t="shared" si="20"/>
        <v>4</v>
      </c>
      <c r="R18" s="426" t="str">
        <f t="shared" si="21"/>
        <v>CIMA</v>
      </c>
      <c r="S18" s="424">
        <f t="shared" si="22"/>
        <v>28000</v>
      </c>
      <c r="T18" s="426" t="str">
        <f t="shared" si="23"/>
        <v>SGI</v>
      </c>
      <c r="U18" s="424">
        <f t="shared" si="24"/>
        <v>121500</v>
      </c>
      <c r="V18" s="427">
        <f t="shared" si="25"/>
        <v>61615</v>
      </c>
      <c r="W18" s="427">
        <f t="shared" si="26"/>
        <v>61615</v>
      </c>
      <c r="X18" s="424">
        <f t="shared" si="27"/>
        <v>554535</v>
      </c>
      <c r="Y18" s="428">
        <f t="shared" si="28"/>
        <v>0</v>
      </c>
      <c r="Z18" s="421" t="str">
        <f t="shared" si="0"/>
        <v>Revisión por dispersión</v>
      </c>
      <c r="AA18" s="421" t="str">
        <f t="shared" si="1"/>
        <v>Validación técnica y segunda ronda</v>
      </c>
      <c r="AB18" s="421" t="str">
        <f t="shared" si="2"/>
        <v>Diferencia entre máximo y mínimo superior al 30% de la mediana; no excluir atípicos sin justificación.</v>
      </c>
      <c r="AC18" s="428">
        <f t="shared" si="3"/>
        <v>1.5174876247666964</v>
      </c>
      <c r="AD18" s="428">
        <f t="shared" si="4"/>
        <v>0.44940643242566769</v>
      </c>
      <c r="AE18" s="426" t="str">
        <f t="shared" si="5"/>
        <v>Alta</v>
      </c>
      <c r="AF18" s="426" t="str">
        <f t="shared" si="6"/>
        <v>Sí</v>
      </c>
      <c r="AG18" s="426" t="str">
        <f t="shared" si="7"/>
        <v>Mediana referencial sujeta a validación</v>
      </c>
      <c r="AH18" s="426" t="str">
        <f t="shared" si="8"/>
        <v>Sí</v>
      </c>
      <c r="AI18" s="426">
        <f t="shared" si="29"/>
        <v>8</v>
      </c>
      <c r="AJ18" s="424">
        <f t="shared" si="30"/>
        <v>32800</v>
      </c>
      <c r="AK18" s="424">
        <f t="shared" si="31"/>
        <v>109000</v>
      </c>
      <c r="AL18" s="427">
        <f t="shared" si="32"/>
        <v>68059</v>
      </c>
      <c r="AM18" s="424">
        <f t="shared" si="33"/>
        <v>612531</v>
      </c>
      <c r="AN18" s="428">
        <f t="shared" si="9"/>
        <v>0.10458492250263735</v>
      </c>
      <c r="AO18" s="428">
        <f t="shared" si="10"/>
        <v>1.1196168030679263</v>
      </c>
      <c r="AP18" s="426" t="str">
        <f t="shared" si="11"/>
        <v>Alta</v>
      </c>
      <c r="AQ18" s="421" t="str">
        <f t="shared" si="12"/>
        <v>Revisión complementaria</v>
      </c>
      <c r="AR18" s="421" t="str">
        <f t="shared" si="13"/>
        <v>Aun sin extremos persiste dispersión relevante; validar alcance técnico.</v>
      </c>
      <c r="AS18" s="421" t="str">
        <f t="shared" si="14"/>
        <v>Promedio depurado sin extremos</v>
      </c>
      <c r="AT18" s="429">
        <f t="shared" si="15"/>
        <v>68059</v>
      </c>
      <c r="AU18" s="421" t="str">
        <f t="shared" si="16"/>
        <v>Definido con depuración</v>
      </c>
      <c r="AV18" s="421" t="str">
        <f t="shared" si="17"/>
        <v>Mantener valor final y dejar nota de dispersión residual</v>
      </c>
      <c r="AW18" s="421" t="str">
        <f t="shared" si="18"/>
        <v>Por alta dispersión se depura un mínimo y un máximo y se adopta el promedio interior.</v>
      </c>
    </row>
    <row r="19" spans="1:49" ht="15.75" customHeight="1" x14ac:dyDescent="0.35">
      <c r="A19" s="421" t="s">
        <v>489</v>
      </c>
      <c r="B19" s="422">
        <v>14</v>
      </c>
      <c r="C19" s="458" t="s">
        <v>440</v>
      </c>
      <c r="D19" s="458" t="s">
        <v>622</v>
      </c>
      <c r="E19" s="423">
        <v>9</v>
      </c>
      <c r="F19" s="424">
        <v>68000</v>
      </c>
      <c r="G19" s="424">
        <v>21000</v>
      </c>
      <c r="H19" s="424">
        <v>14000</v>
      </c>
      <c r="I19" s="424"/>
      <c r="J19" s="424">
        <v>59000</v>
      </c>
      <c r="K19" s="424">
        <v>33339</v>
      </c>
      <c r="L19" s="424">
        <v>23564</v>
      </c>
      <c r="M19" s="424">
        <v>22000</v>
      </c>
      <c r="N19" s="424">
        <v>31200</v>
      </c>
      <c r="O19" s="424">
        <v>35370</v>
      </c>
      <c r="P19" s="425">
        <f t="shared" si="19"/>
        <v>9</v>
      </c>
      <c r="Q19" s="422">
        <f t="shared" si="20"/>
        <v>3</v>
      </c>
      <c r="R19" s="426" t="str">
        <f t="shared" si="21"/>
        <v>CIMA</v>
      </c>
      <c r="S19" s="424">
        <f t="shared" si="22"/>
        <v>14000</v>
      </c>
      <c r="T19" s="426" t="str">
        <f t="shared" si="23"/>
        <v>Lasertec</v>
      </c>
      <c r="U19" s="424">
        <f t="shared" si="24"/>
        <v>68000</v>
      </c>
      <c r="V19" s="427">
        <f t="shared" si="25"/>
        <v>31200</v>
      </c>
      <c r="W19" s="427">
        <f t="shared" si="26"/>
        <v>31200</v>
      </c>
      <c r="X19" s="424">
        <f t="shared" si="27"/>
        <v>280800</v>
      </c>
      <c r="Y19" s="428">
        <f t="shared" si="28"/>
        <v>0</v>
      </c>
      <c r="Z19" s="421" t="str">
        <f t="shared" si="0"/>
        <v>Revisión por dispersión</v>
      </c>
      <c r="AA19" s="421" t="str">
        <f t="shared" si="1"/>
        <v>Validación técnica y segunda ronda</v>
      </c>
      <c r="AB19" s="421" t="str">
        <f t="shared" si="2"/>
        <v>Diferencia entre máximo y mínimo superior al 30% de la mediana; no excluir atípicos sin justificación.</v>
      </c>
      <c r="AC19" s="428">
        <f t="shared" si="3"/>
        <v>1.7307692307692308</v>
      </c>
      <c r="AD19" s="428">
        <f t="shared" si="4"/>
        <v>0.60512597392113021</v>
      </c>
      <c r="AE19" s="426" t="str">
        <f t="shared" si="5"/>
        <v>Alta</v>
      </c>
      <c r="AF19" s="426" t="str">
        <f t="shared" si="6"/>
        <v>Sí</v>
      </c>
      <c r="AG19" s="426" t="str">
        <f t="shared" si="7"/>
        <v>Mediana referencial sujeta a validación</v>
      </c>
      <c r="AH19" s="426" t="str">
        <f t="shared" si="8"/>
        <v>Sí</v>
      </c>
      <c r="AI19" s="426">
        <f t="shared" si="29"/>
        <v>7</v>
      </c>
      <c r="AJ19" s="424">
        <f t="shared" si="30"/>
        <v>21000</v>
      </c>
      <c r="AK19" s="424">
        <f t="shared" si="31"/>
        <v>59000</v>
      </c>
      <c r="AL19" s="427">
        <f t="shared" si="32"/>
        <v>32210</v>
      </c>
      <c r="AM19" s="424">
        <f t="shared" si="33"/>
        <v>289890</v>
      </c>
      <c r="AN19" s="428">
        <f t="shared" si="9"/>
        <v>3.2371794871794875E-2</v>
      </c>
      <c r="AO19" s="428">
        <f t="shared" si="10"/>
        <v>1.1797578391803787</v>
      </c>
      <c r="AP19" s="426" t="str">
        <f t="shared" si="11"/>
        <v>Alta</v>
      </c>
      <c r="AQ19" s="421" t="str">
        <f t="shared" si="12"/>
        <v>Revisión complementaria</v>
      </c>
      <c r="AR19" s="421" t="str">
        <f t="shared" si="13"/>
        <v>Aun sin extremos persiste dispersión relevante; validar alcance técnico.</v>
      </c>
      <c r="AS19" s="421" t="str">
        <f t="shared" si="14"/>
        <v>Promedio depurado sin extremos</v>
      </c>
      <c r="AT19" s="429">
        <f t="shared" si="15"/>
        <v>32210</v>
      </c>
      <c r="AU19" s="421" t="str">
        <f t="shared" si="16"/>
        <v>Definido con depuración</v>
      </c>
      <c r="AV19" s="421" t="str">
        <f t="shared" si="17"/>
        <v>Mantener valor final y dejar nota de dispersión residual</v>
      </c>
      <c r="AW19" s="421" t="str">
        <f t="shared" si="18"/>
        <v>Por alta dispersión se depura un mínimo y un máximo y se adopta el promedio interior.</v>
      </c>
    </row>
    <row r="20" spans="1:49" ht="15.75" customHeight="1" x14ac:dyDescent="0.35">
      <c r="A20" s="421" t="s">
        <v>489</v>
      </c>
      <c r="B20" s="422">
        <v>15</v>
      </c>
      <c r="C20" s="458" t="s">
        <v>441</v>
      </c>
      <c r="D20" s="458" t="s">
        <v>623</v>
      </c>
      <c r="E20" s="423">
        <v>9</v>
      </c>
      <c r="F20" s="424">
        <v>68000</v>
      </c>
      <c r="G20" s="424">
        <v>25300</v>
      </c>
      <c r="H20" s="424">
        <v>18000</v>
      </c>
      <c r="I20" s="424"/>
      <c r="J20" s="424">
        <v>81000</v>
      </c>
      <c r="K20" s="424">
        <v>34489</v>
      </c>
      <c r="L20" s="424">
        <v>31420</v>
      </c>
      <c r="M20" s="424"/>
      <c r="N20" s="424">
        <v>35800</v>
      </c>
      <c r="O20" s="424">
        <v>58060</v>
      </c>
      <c r="P20" s="425">
        <f t="shared" si="19"/>
        <v>8</v>
      </c>
      <c r="Q20" s="422">
        <f t="shared" si="20"/>
        <v>3</v>
      </c>
      <c r="R20" s="426" t="str">
        <f t="shared" si="21"/>
        <v>CIMA</v>
      </c>
      <c r="S20" s="424">
        <f t="shared" si="22"/>
        <v>18000</v>
      </c>
      <c r="T20" s="426" t="str">
        <f t="shared" si="23"/>
        <v>Javeriana</v>
      </c>
      <c r="U20" s="424">
        <f t="shared" si="24"/>
        <v>81000</v>
      </c>
      <c r="V20" s="427">
        <f t="shared" si="25"/>
        <v>35145</v>
      </c>
      <c r="W20" s="427">
        <f t="shared" si="26"/>
        <v>35145</v>
      </c>
      <c r="X20" s="424">
        <f t="shared" si="27"/>
        <v>316305</v>
      </c>
      <c r="Y20" s="428">
        <f t="shared" si="28"/>
        <v>0</v>
      </c>
      <c r="Z20" s="421" t="str">
        <f t="shared" si="0"/>
        <v>Revisión por dispersión</v>
      </c>
      <c r="AA20" s="421" t="str">
        <f t="shared" si="1"/>
        <v>Validación técnica y segunda ronda</v>
      </c>
      <c r="AB20" s="421" t="str">
        <f t="shared" si="2"/>
        <v>Diferencia entre máximo y mínimo superior al 30% de la mediana; no excluir atípicos sin justificación.</v>
      </c>
      <c r="AC20" s="428">
        <f t="shared" si="3"/>
        <v>1.7925736235595391</v>
      </c>
      <c r="AD20" s="428">
        <f t="shared" si="4"/>
        <v>0.58912220594879816</v>
      </c>
      <c r="AE20" s="426" t="str">
        <f t="shared" si="5"/>
        <v>Alta</v>
      </c>
      <c r="AF20" s="426" t="str">
        <f t="shared" si="6"/>
        <v>Sí</v>
      </c>
      <c r="AG20" s="426" t="str">
        <f t="shared" si="7"/>
        <v>Mediana referencial sujeta a validación</v>
      </c>
      <c r="AH20" s="426" t="str">
        <f t="shared" si="8"/>
        <v>Sí</v>
      </c>
      <c r="AI20" s="426">
        <f t="shared" si="29"/>
        <v>6</v>
      </c>
      <c r="AJ20" s="424">
        <f t="shared" si="30"/>
        <v>25300</v>
      </c>
      <c r="AK20" s="424">
        <f t="shared" si="31"/>
        <v>68000</v>
      </c>
      <c r="AL20" s="427">
        <f t="shared" si="32"/>
        <v>42178</v>
      </c>
      <c r="AM20" s="424">
        <f t="shared" si="33"/>
        <v>379602</v>
      </c>
      <c r="AN20" s="428">
        <f t="shared" si="9"/>
        <v>0.20011381419832125</v>
      </c>
      <c r="AO20" s="428">
        <f t="shared" si="10"/>
        <v>1.0123761202522643</v>
      </c>
      <c r="AP20" s="426" t="str">
        <f t="shared" si="11"/>
        <v>Alta</v>
      </c>
      <c r="AQ20" s="421" t="str">
        <f t="shared" si="12"/>
        <v>Revisión complementaria</v>
      </c>
      <c r="AR20" s="421" t="str">
        <f t="shared" si="13"/>
        <v>Aun sin extremos persiste dispersión relevante; validar alcance técnico.</v>
      </c>
      <c r="AS20" s="421" t="str">
        <f t="shared" si="14"/>
        <v>Promedio depurado sin extremos</v>
      </c>
      <c r="AT20" s="429">
        <f t="shared" si="15"/>
        <v>42178</v>
      </c>
      <c r="AU20" s="421" t="str">
        <f t="shared" si="16"/>
        <v>Definido con depuración</v>
      </c>
      <c r="AV20" s="421" t="str">
        <f t="shared" si="17"/>
        <v>Mantener valor final y dejar nota de dispersión residual</v>
      </c>
      <c r="AW20" s="421" t="str">
        <f t="shared" si="18"/>
        <v>Por alta dispersión se depura un mínimo y un máximo y se adopta el promedio interior.</v>
      </c>
    </row>
    <row r="21" spans="1:49" ht="15.75" customHeight="1" x14ac:dyDescent="0.35">
      <c r="A21" s="421" t="s">
        <v>489</v>
      </c>
      <c r="B21" s="422">
        <v>16</v>
      </c>
      <c r="C21" s="458" t="s">
        <v>442</v>
      </c>
      <c r="D21" s="458" t="s">
        <v>624</v>
      </c>
      <c r="E21" s="423">
        <v>9</v>
      </c>
      <c r="F21" s="424">
        <v>68000</v>
      </c>
      <c r="G21" s="424">
        <v>21000</v>
      </c>
      <c r="H21" s="424">
        <v>8000</v>
      </c>
      <c r="I21" s="424">
        <v>67300</v>
      </c>
      <c r="J21" s="424">
        <v>55000</v>
      </c>
      <c r="K21" s="424">
        <v>36788</v>
      </c>
      <c r="L21" s="424">
        <v>23564</v>
      </c>
      <c r="M21" s="424">
        <v>21100</v>
      </c>
      <c r="N21" s="424"/>
      <c r="O21" s="424">
        <v>58060</v>
      </c>
      <c r="P21" s="425">
        <f t="shared" si="19"/>
        <v>9</v>
      </c>
      <c r="Q21" s="422">
        <f t="shared" si="20"/>
        <v>4</v>
      </c>
      <c r="R21" s="426" t="str">
        <f t="shared" si="21"/>
        <v>CIMA</v>
      </c>
      <c r="S21" s="424">
        <f t="shared" si="22"/>
        <v>8000</v>
      </c>
      <c r="T21" s="426" t="str">
        <f t="shared" si="23"/>
        <v>Lasertec</v>
      </c>
      <c r="U21" s="424">
        <f t="shared" si="24"/>
        <v>68000</v>
      </c>
      <c r="V21" s="427">
        <f t="shared" si="25"/>
        <v>36788</v>
      </c>
      <c r="W21" s="427">
        <f t="shared" si="26"/>
        <v>36788</v>
      </c>
      <c r="X21" s="424">
        <f t="shared" si="27"/>
        <v>331092</v>
      </c>
      <c r="Y21" s="428">
        <f t="shared" si="28"/>
        <v>0</v>
      </c>
      <c r="Z21" s="421" t="str">
        <f t="shared" si="0"/>
        <v>Revisión por dispersión</v>
      </c>
      <c r="AA21" s="421" t="str">
        <f t="shared" si="1"/>
        <v>Validación técnica y segunda ronda</v>
      </c>
      <c r="AB21" s="421" t="str">
        <f t="shared" si="2"/>
        <v>Diferencia entre máximo y mínimo superior al 30% de la mediana; no excluir atípicos sin justificación.</v>
      </c>
      <c r="AC21" s="428">
        <f t="shared" si="3"/>
        <v>1.6309666195498531</v>
      </c>
      <c r="AD21" s="428">
        <f t="shared" si="4"/>
        <v>0.61407950116022658</v>
      </c>
      <c r="AE21" s="426" t="str">
        <f t="shared" si="5"/>
        <v>Alta</v>
      </c>
      <c r="AF21" s="426" t="str">
        <f t="shared" si="6"/>
        <v>Sí</v>
      </c>
      <c r="AG21" s="426" t="str">
        <f t="shared" si="7"/>
        <v>Mediana referencial sujeta a validación</v>
      </c>
      <c r="AH21" s="426" t="str">
        <f t="shared" si="8"/>
        <v>Sí</v>
      </c>
      <c r="AI21" s="426">
        <f t="shared" si="29"/>
        <v>7</v>
      </c>
      <c r="AJ21" s="424">
        <f t="shared" si="30"/>
        <v>21000</v>
      </c>
      <c r="AK21" s="424">
        <f t="shared" si="31"/>
        <v>67300</v>
      </c>
      <c r="AL21" s="427">
        <f t="shared" si="32"/>
        <v>40402</v>
      </c>
      <c r="AM21" s="424">
        <f t="shared" si="33"/>
        <v>363618</v>
      </c>
      <c r="AN21" s="428">
        <f t="shared" si="9"/>
        <v>9.8238556050886161E-2</v>
      </c>
      <c r="AO21" s="428">
        <f t="shared" si="10"/>
        <v>1.1459828721350429</v>
      </c>
      <c r="AP21" s="426" t="str">
        <f t="shared" si="11"/>
        <v>Alta</v>
      </c>
      <c r="AQ21" s="421" t="str">
        <f t="shared" si="12"/>
        <v>Revisión complementaria</v>
      </c>
      <c r="AR21" s="421" t="str">
        <f t="shared" si="13"/>
        <v>Aun sin extremos persiste dispersión relevante; validar alcance técnico.</v>
      </c>
      <c r="AS21" s="421" t="str">
        <f t="shared" si="14"/>
        <v>Promedio depurado sin extremos</v>
      </c>
      <c r="AT21" s="429">
        <f t="shared" si="15"/>
        <v>40402</v>
      </c>
      <c r="AU21" s="421" t="str">
        <f t="shared" si="16"/>
        <v>Definido con depuración</v>
      </c>
      <c r="AV21" s="421" t="str">
        <f t="shared" si="17"/>
        <v>Mantener valor final y dejar nota de dispersión residual</v>
      </c>
      <c r="AW21" s="421" t="str">
        <f t="shared" si="18"/>
        <v>Por alta dispersión se depura un mínimo y un máximo y se adopta el promedio interior.</v>
      </c>
    </row>
    <row r="22" spans="1:49" ht="15.75" customHeight="1" x14ac:dyDescent="0.35">
      <c r="A22" s="421" t="s">
        <v>489</v>
      </c>
      <c r="B22" s="422">
        <v>17</v>
      </c>
      <c r="C22" s="458" t="s">
        <v>248</v>
      </c>
      <c r="D22" s="458" t="s">
        <v>625</v>
      </c>
      <c r="E22" s="423">
        <v>9</v>
      </c>
      <c r="F22" s="424">
        <v>38000</v>
      </c>
      <c r="G22" s="424">
        <v>7000</v>
      </c>
      <c r="H22" s="424">
        <v>7000</v>
      </c>
      <c r="I22" s="424">
        <v>40100</v>
      </c>
      <c r="J22" s="424">
        <v>22000</v>
      </c>
      <c r="K22" s="424">
        <v>11496</v>
      </c>
      <c r="L22" s="424">
        <v>15710</v>
      </c>
      <c r="M22" s="424">
        <v>11000</v>
      </c>
      <c r="N22" s="424">
        <v>9400</v>
      </c>
      <c r="O22" s="424">
        <v>12340</v>
      </c>
      <c r="P22" s="425">
        <f t="shared" si="19"/>
        <v>10</v>
      </c>
      <c r="Q22" s="422">
        <f t="shared" si="20"/>
        <v>4</v>
      </c>
      <c r="R22" s="426" t="str">
        <f t="shared" si="21"/>
        <v>Chemilab</v>
      </c>
      <c r="S22" s="424">
        <f t="shared" si="22"/>
        <v>7000</v>
      </c>
      <c r="T22" s="426" t="str">
        <f t="shared" si="23"/>
        <v>SGI</v>
      </c>
      <c r="U22" s="424">
        <f t="shared" si="24"/>
        <v>40100</v>
      </c>
      <c r="V22" s="427">
        <f t="shared" si="25"/>
        <v>11918</v>
      </c>
      <c r="W22" s="427">
        <f t="shared" si="26"/>
        <v>11918</v>
      </c>
      <c r="X22" s="424">
        <f t="shared" si="27"/>
        <v>107262</v>
      </c>
      <c r="Y22" s="430">
        <f t="shared" si="28"/>
        <v>0</v>
      </c>
      <c r="Z22" s="421" t="str">
        <f t="shared" si="0"/>
        <v>Revisión por dispersión</v>
      </c>
      <c r="AA22" s="421" t="str">
        <f t="shared" si="1"/>
        <v>Validación técnica y segunda ronda</v>
      </c>
      <c r="AB22" s="421" t="str">
        <f t="shared" si="2"/>
        <v>Diferencia entre máximo y mínimo superior al 30% de la mediana; no excluir atípicos sin justificación.</v>
      </c>
      <c r="AC22" s="428">
        <f t="shared" si="3"/>
        <v>2.7773116294680316</v>
      </c>
      <c r="AD22" s="428">
        <f t="shared" si="4"/>
        <v>0.69749326922286969</v>
      </c>
      <c r="AE22" s="426" t="str">
        <f t="shared" si="5"/>
        <v>Alta</v>
      </c>
      <c r="AF22" s="426" t="str">
        <f t="shared" si="6"/>
        <v>Sí</v>
      </c>
      <c r="AG22" s="426" t="str">
        <f t="shared" si="7"/>
        <v>Mediana referencial sujeta a validación</v>
      </c>
      <c r="AH22" s="426" t="str">
        <f t="shared" si="8"/>
        <v>Sí</v>
      </c>
      <c r="AI22" s="426">
        <f t="shared" si="29"/>
        <v>8</v>
      </c>
      <c r="AJ22" s="424">
        <f t="shared" si="30"/>
        <v>7000</v>
      </c>
      <c r="AK22" s="424">
        <f t="shared" si="31"/>
        <v>38000</v>
      </c>
      <c r="AL22" s="427">
        <f t="shared" si="32"/>
        <v>15868</v>
      </c>
      <c r="AM22" s="424">
        <f t="shared" si="33"/>
        <v>142812</v>
      </c>
      <c r="AN22" s="428">
        <f t="shared" si="9"/>
        <v>0.33143144822956871</v>
      </c>
      <c r="AO22" s="428">
        <f t="shared" si="10"/>
        <v>1.9536173430804133</v>
      </c>
      <c r="AP22" s="426" t="str">
        <f t="shared" si="11"/>
        <v>Alta</v>
      </c>
      <c r="AQ22" s="421" t="str">
        <f t="shared" si="12"/>
        <v>Revisión complementaria</v>
      </c>
      <c r="AR22" s="421" t="str">
        <f t="shared" si="13"/>
        <v>Aun sin extremos persiste dispersión relevante; validar alcance técnico.</v>
      </c>
      <c r="AS22" s="421" t="str">
        <f t="shared" si="14"/>
        <v>Promedio depurado sin extremos</v>
      </c>
      <c r="AT22" s="429">
        <f t="shared" si="15"/>
        <v>15868</v>
      </c>
      <c r="AU22" s="421" t="str">
        <f t="shared" si="16"/>
        <v>Definido con depuración</v>
      </c>
      <c r="AV22" s="421" t="str">
        <f t="shared" si="17"/>
        <v>Mantener valor final y dejar nota de dispersión residual</v>
      </c>
      <c r="AW22" s="421" t="str">
        <f t="shared" si="18"/>
        <v>Por alta dispersión se depura un mínimo y un máximo y se adopta el promedio interior.</v>
      </c>
    </row>
    <row r="23" spans="1:49" ht="15.75" customHeight="1" x14ac:dyDescent="0.35">
      <c r="A23" s="421" t="s">
        <v>489</v>
      </c>
      <c r="B23" s="422">
        <v>18</v>
      </c>
      <c r="C23" s="458" t="s">
        <v>443</v>
      </c>
      <c r="D23" s="458" t="s">
        <v>626</v>
      </c>
      <c r="E23" s="423">
        <v>9</v>
      </c>
      <c r="F23" s="424">
        <v>109000</v>
      </c>
      <c r="G23" s="424"/>
      <c r="H23" s="424"/>
      <c r="I23" s="424">
        <v>129800</v>
      </c>
      <c r="J23" s="424">
        <v>106000</v>
      </c>
      <c r="K23" s="424">
        <v>51733</v>
      </c>
      <c r="L23" s="424">
        <v>160240</v>
      </c>
      <c r="M23" s="424"/>
      <c r="N23" s="424">
        <v>65500</v>
      </c>
      <c r="O23" s="424">
        <v>10000</v>
      </c>
      <c r="P23" s="425">
        <f t="shared" si="19"/>
        <v>7</v>
      </c>
      <c r="Q23" s="422">
        <f t="shared" si="20"/>
        <v>2</v>
      </c>
      <c r="R23" s="426" t="str">
        <f t="shared" si="21"/>
        <v>Proc_SECOP II - COT 2</v>
      </c>
      <c r="S23" s="424">
        <f t="shared" si="22"/>
        <v>10000</v>
      </c>
      <c r="T23" s="426" t="str">
        <f t="shared" si="23"/>
        <v>CARDIQUE</v>
      </c>
      <c r="U23" s="424">
        <f t="shared" si="24"/>
        <v>160240</v>
      </c>
      <c r="V23" s="427">
        <f t="shared" si="25"/>
        <v>106000</v>
      </c>
      <c r="W23" s="427">
        <f t="shared" si="26"/>
        <v>106000</v>
      </c>
      <c r="X23" s="424">
        <f t="shared" si="27"/>
        <v>954000</v>
      </c>
      <c r="Y23" s="430">
        <f t="shared" si="28"/>
        <v>0</v>
      </c>
      <c r="Z23" s="421" t="str">
        <f t="shared" si="0"/>
        <v>Revisión por dispersión</v>
      </c>
      <c r="AA23" s="421" t="str">
        <f t="shared" si="1"/>
        <v>Validación técnica y segunda ronda</v>
      </c>
      <c r="AB23" s="421" t="str">
        <f t="shared" si="2"/>
        <v>Diferencia entre máximo y mínimo superior al 30% de la mediana; no excluir atípicos sin justificación.</v>
      </c>
      <c r="AC23" s="428">
        <f t="shared" si="3"/>
        <v>1.4173584905660377</v>
      </c>
      <c r="AD23" s="428">
        <f t="shared" si="4"/>
        <v>0.35693148406277031</v>
      </c>
      <c r="AE23" s="426" t="str">
        <f t="shared" si="5"/>
        <v>Alta</v>
      </c>
      <c r="AF23" s="426" t="str">
        <f t="shared" si="6"/>
        <v>Sí</v>
      </c>
      <c r="AG23" s="426" t="str">
        <f t="shared" si="7"/>
        <v>Mediana referencial sujeta a validación</v>
      </c>
      <c r="AH23" s="426" t="str">
        <f t="shared" si="8"/>
        <v>Sí</v>
      </c>
      <c r="AI23" s="426">
        <f t="shared" si="29"/>
        <v>5</v>
      </c>
      <c r="AJ23" s="424">
        <f t="shared" si="30"/>
        <v>51733</v>
      </c>
      <c r="AK23" s="424">
        <f t="shared" si="31"/>
        <v>129800</v>
      </c>
      <c r="AL23" s="427">
        <f t="shared" si="32"/>
        <v>92407</v>
      </c>
      <c r="AM23" s="424">
        <f t="shared" si="33"/>
        <v>831663</v>
      </c>
      <c r="AN23" s="428">
        <f t="shared" si="9"/>
        <v>-0.12823584905660376</v>
      </c>
      <c r="AO23" s="428">
        <f t="shared" si="10"/>
        <v>0.84481695109677835</v>
      </c>
      <c r="AP23" s="426" t="str">
        <f t="shared" si="11"/>
        <v>Alta</v>
      </c>
      <c r="AQ23" s="421" t="str">
        <f t="shared" si="12"/>
        <v>Revisión complementaria</v>
      </c>
      <c r="AR23" s="421" t="str">
        <f t="shared" si="13"/>
        <v>Aun sin extremos persiste dispersión relevante; validar alcance técnico.</v>
      </c>
      <c r="AS23" s="421" t="str">
        <f t="shared" si="14"/>
        <v>Promedio depurado sin extremos</v>
      </c>
      <c r="AT23" s="429">
        <f t="shared" si="15"/>
        <v>92407</v>
      </c>
      <c r="AU23" s="421" t="str">
        <f t="shared" si="16"/>
        <v>Definido con depuración</v>
      </c>
      <c r="AV23" s="421" t="str">
        <f t="shared" si="17"/>
        <v>Mantener valor final y dejar nota de dispersión residual</v>
      </c>
      <c r="AW23" s="421" t="str">
        <f t="shared" si="18"/>
        <v>Por alta dispersión se depura un mínimo y un máximo y se adopta el promedio interior.</v>
      </c>
    </row>
    <row r="24" spans="1:49" ht="15.75" customHeight="1" x14ac:dyDescent="0.35">
      <c r="A24" s="421" t="s">
        <v>489</v>
      </c>
      <c r="B24" s="422">
        <v>19</v>
      </c>
      <c r="C24" s="458" t="s">
        <v>444</v>
      </c>
      <c r="D24" s="458" t="s">
        <v>627</v>
      </c>
      <c r="E24" s="423">
        <v>9</v>
      </c>
      <c r="F24" s="424">
        <v>76000</v>
      </c>
      <c r="G24" s="424">
        <v>21000</v>
      </c>
      <c r="H24" s="424">
        <v>18000</v>
      </c>
      <c r="I24" s="424">
        <v>94400</v>
      </c>
      <c r="J24" s="424">
        <v>76000</v>
      </c>
      <c r="K24" s="424">
        <v>36788</v>
      </c>
      <c r="L24" s="424">
        <v>39274</v>
      </c>
      <c r="M24" s="424">
        <v>35000</v>
      </c>
      <c r="N24" s="424">
        <v>31600</v>
      </c>
      <c r="O24" s="424">
        <v>33750</v>
      </c>
      <c r="P24" s="425">
        <f t="shared" si="19"/>
        <v>10</v>
      </c>
      <c r="Q24" s="422">
        <f t="shared" si="20"/>
        <v>4</v>
      </c>
      <c r="R24" s="426" t="str">
        <f t="shared" si="21"/>
        <v>CIMA</v>
      </c>
      <c r="S24" s="424">
        <f t="shared" si="22"/>
        <v>18000</v>
      </c>
      <c r="T24" s="426" t="str">
        <f t="shared" si="23"/>
        <v>SGI</v>
      </c>
      <c r="U24" s="424">
        <f t="shared" si="24"/>
        <v>94400</v>
      </c>
      <c r="V24" s="427">
        <f t="shared" si="25"/>
        <v>35894</v>
      </c>
      <c r="W24" s="427">
        <f t="shared" si="26"/>
        <v>35894</v>
      </c>
      <c r="X24" s="424">
        <f t="shared" si="27"/>
        <v>323046</v>
      </c>
      <c r="Y24" s="430">
        <f t="shared" si="28"/>
        <v>0</v>
      </c>
      <c r="Z24" s="421" t="str">
        <f t="shared" si="0"/>
        <v>Revisión por dispersión</v>
      </c>
      <c r="AA24" s="421" t="str">
        <f t="shared" si="1"/>
        <v>Validación técnica y segunda ronda</v>
      </c>
      <c r="AB24" s="421" t="str">
        <f t="shared" si="2"/>
        <v>Diferencia entre máximo y mínimo superior al 30% de la mediana; no excluir atípicos sin justificación.</v>
      </c>
      <c r="AC24" s="428">
        <f t="shared" si="3"/>
        <v>2.1284894411322228</v>
      </c>
      <c r="AD24" s="428">
        <f t="shared" si="4"/>
        <v>0.57587752574098938</v>
      </c>
      <c r="AE24" s="426" t="str">
        <f t="shared" si="5"/>
        <v>Alta</v>
      </c>
      <c r="AF24" s="426" t="str">
        <f t="shared" si="6"/>
        <v>Sí</v>
      </c>
      <c r="AG24" s="426" t="str">
        <f t="shared" si="7"/>
        <v>Mediana referencial sujeta a validación</v>
      </c>
      <c r="AH24" s="426" t="str">
        <f t="shared" si="8"/>
        <v>Sí</v>
      </c>
      <c r="AI24" s="426">
        <f t="shared" si="29"/>
        <v>8</v>
      </c>
      <c r="AJ24" s="424">
        <f t="shared" si="30"/>
        <v>21000</v>
      </c>
      <c r="AK24" s="424">
        <f t="shared" si="31"/>
        <v>76000</v>
      </c>
      <c r="AL24" s="427">
        <f t="shared" si="32"/>
        <v>43677</v>
      </c>
      <c r="AM24" s="424">
        <f t="shared" si="33"/>
        <v>393093</v>
      </c>
      <c r="AN24" s="428">
        <f t="shared" si="9"/>
        <v>0.21683289686298546</v>
      </c>
      <c r="AO24" s="428">
        <f t="shared" si="10"/>
        <v>1.2592439956956751</v>
      </c>
      <c r="AP24" s="426" t="str">
        <f t="shared" si="11"/>
        <v>Alta</v>
      </c>
      <c r="AQ24" s="421" t="str">
        <f t="shared" si="12"/>
        <v>Revisión complementaria</v>
      </c>
      <c r="AR24" s="421" t="str">
        <f t="shared" si="13"/>
        <v>Aun sin extremos persiste dispersión relevante; validar alcance técnico.</v>
      </c>
      <c r="AS24" s="421" t="str">
        <f t="shared" si="14"/>
        <v>Promedio depurado sin extremos</v>
      </c>
      <c r="AT24" s="429">
        <f t="shared" si="15"/>
        <v>43677</v>
      </c>
      <c r="AU24" s="421" t="str">
        <f t="shared" si="16"/>
        <v>Definido con depuración</v>
      </c>
      <c r="AV24" s="421" t="str">
        <f t="shared" si="17"/>
        <v>Mantener valor final y dejar nota de dispersión residual</v>
      </c>
      <c r="AW24" s="421" t="str">
        <f t="shared" si="18"/>
        <v>Por alta dispersión se depura un mínimo y un máximo y se adopta el promedio interior.</v>
      </c>
    </row>
    <row r="25" spans="1:49" ht="15.75" customHeight="1" x14ac:dyDescent="0.35">
      <c r="A25" s="421" t="s">
        <v>489</v>
      </c>
      <c r="B25" s="422">
        <v>20</v>
      </c>
      <c r="C25" s="458" t="s">
        <v>250</v>
      </c>
      <c r="D25" s="458" t="s">
        <v>628</v>
      </c>
      <c r="E25" s="423">
        <v>9</v>
      </c>
      <c r="F25" s="424">
        <v>61000</v>
      </c>
      <c r="G25" s="424">
        <v>17500</v>
      </c>
      <c r="H25" s="424">
        <v>15000</v>
      </c>
      <c r="I25" s="424">
        <v>94400</v>
      </c>
      <c r="J25" s="424">
        <v>68000</v>
      </c>
      <c r="K25" s="424">
        <v>74726</v>
      </c>
      <c r="L25" s="424">
        <v>37704</v>
      </c>
      <c r="M25" s="424">
        <v>30000</v>
      </c>
      <c r="N25" s="424">
        <v>29600</v>
      </c>
      <c r="O25" s="424">
        <v>34910</v>
      </c>
      <c r="P25" s="425">
        <f t="shared" si="19"/>
        <v>10</v>
      </c>
      <c r="Q25" s="422">
        <f t="shared" si="20"/>
        <v>4</v>
      </c>
      <c r="R25" s="426" t="str">
        <f t="shared" si="21"/>
        <v>CIMA</v>
      </c>
      <c r="S25" s="424">
        <f t="shared" si="22"/>
        <v>15000</v>
      </c>
      <c r="T25" s="426" t="str">
        <f t="shared" si="23"/>
        <v>SGI</v>
      </c>
      <c r="U25" s="424">
        <f t="shared" si="24"/>
        <v>94400</v>
      </c>
      <c r="V25" s="427">
        <f t="shared" si="25"/>
        <v>36307</v>
      </c>
      <c r="W25" s="427">
        <f t="shared" si="26"/>
        <v>36307</v>
      </c>
      <c r="X25" s="424">
        <f t="shared" si="27"/>
        <v>326763</v>
      </c>
      <c r="Y25" s="430">
        <f t="shared" si="28"/>
        <v>0</v>
      </c>
      <c r="Z25" s="421" t="str">
        <f t="shared" si="0"/>
        <v>Revisión por dispersión</v>
      </c>
      <c r="AA25" s="421" t="str">
        <f t="shared" si="1"/>
        <v>Validación técnica y segunda ronda</v>
      </c>
      <c r="AB25" s="421" t="str">
        <f t="shared" si="2"/>
        <v>Diferencia entre máximo y mínimo superior al 30% de la mediana; no excluir atípicos sin justificación.</v>
      </c>
      <c r="AC25" s="428">
        <f t="shared" si="3"/>
        <v>2.1869061062605009</v>
      </c>
      <c r="AD25" s="428">
        <f t="shared" si="4"/>
        <v>0.58108596757911501</v>
      </c>
      <c r="AE25" s="426" t="str">
        <f t="shared" si="5"/>
        <v>Alta</v>
      </c>
      <c r="AF25" s="426" t="str">
        <f t="shared" si="6"/>
        <v>Sí</v>
      </c>
      <c r="AG25" s="426" t="str">
        <f t="shared" si="7"/>
        <v>Mediana referencial sujeta a validación</v>
      </c>
      <c r="AH25" s="426" t="str">
        <f t="shared" si="8"/>
        <v>Sí</v>
      </c>
      <c r="AI25" s="426">
        <f t="shared" si="29"/>
        <v>8</v>
      </c>
      <c r="AJ25" s="424">
        <f t="shared" si="30"/>
        <v>17500</v>
      </c>
      <c r="AK25" s="424">
        <f t="shared" si="31"/>
        <v>74726</v>
      </c>
      <c r="AL25" s="427">
        <f t="shared" si="32"/>
        <v>44180</v>
      </c>
      <c r="AM25" s="424">
        <f t="shared" si="33"/>
        <v>397620</v>
      </c>
      <c r="AN25" s="428">
        <f t="shared" si="9"/>
        <v>0.21684523645577988</v>
      </c>
      <c r="AO25" s="428">
        <f t="shared" si="10"/>
        <v>1.2952919873245812</v>
      </c>
      <c r="AP25" s="426" t="str">
        <f t="shared" si="11"/>
        <v>Alta</v>
      </c>
      <c r="AQ25" s="421" t="str">
        <f t="shared" si="12"/>
        <v>Revisión complementaria</v>
      </c>
      <c r="AR25" s="421" t="str">
        <f t="shared" si="13"/>
        <v>Aun sin extremos persiste dispersión relevante; validar alcance técnico.</v>
      </c>
      <c r="AS25" s="421" t="str">
        <f t="shared" si="14"/>
        <v>Promedio depurado sin extremos</v>
      </c>
      <c r="AT25" s="429">
        <f t="shared" si="15"/>
        <v>44180</v>
      </c>
      <c r="AU25" s="421" t="str">
        <f t="shared" si="16"/>
        <v>Definido con depuración</v>
      </c>
      <c r="AV25" s="421" t="str">
        <f t="shared" si="17"/>
        <v>Mantener valor final y dejar nota de dispersión residual</v>
      </c>
      <c r="AW25" s="421" t="str">
        <f t="shared" si="18"/>
        <v>Por alta dispersión se depura un mínimo y un máximo y se adopta el promedio interior.</v>
      </c>
    </row>
    <row r="26" spans="1:49" ht="15.75" customHeight="1" x14ac:dyDescent="0.35">
      <c r="A26" s="421" t="s">
        <v>489</v>
      </c>
      <c r="B26" s="422">
        <v>21</v>
      </c>
      <c r="C26" s="458" t="s">
        <v>249</v>
      </c>
      <c r="D26" s="458" t="s">
        <v>629</v>
      </c>
      <c r="E26" s="423">
        <v>9</v>
      </c>
      <c r="F26" s="424">
        <v>61000</v>
      </c>
      <c r="G26" s="424">
        <v>17500</v>
      </c>
      <c r="H26" s="424">
        <v>15000</v>
      </c>
      <c r="I26" s="424">
        <v>94400</v>
      </c>
      <c r="J26" s="424">
        <v>56000</v>
      </c>
      <c r="K26" s="424">
        <v>66678</v>
      </c>
      <c r="L26" s="424">
        <v>48700</v>
      </c>
      <c r="M26" s="424">
        <v>36000</v>
      </c>
      <c r="N26" s="424">
        <v>29600</v>
      </c>
      <c r="O26" s="424">
        <v>29670</v>
      </c>
      <c r="P26" s="425">
        <f t="shared" si="19"/>
        <v>10</v>
      </c>
      <c r="Q26" s="422">
        <f t="shared" si="20"/>
        <v>4</v>
      </c>
      <c r="R26" s="426" t="str">
        <f t="shared" si="21"/>
        <v>CIMA</v>
      </c>
      <c r="S26" s="424">
        <f t="shared" si="22"/>
        <v>15000</v>
      </c>
      <c r="T26" s="426" t="str">
        <f t="shared" si="23"/>
        <v>SGI</v>
      </c>
      <c r="U26" s="424">
        <f t="shared" si="24"/>
        <v>94400</v>
      </c>
      <c r="V26" s="427">
        <f t="shared" si="25"/>
        <v>42350</v>
      </c>
      <c r="W26" s="427">
        <f t="shared" si="26"/>
        <v>42350</v>
      </c>
      <c r="X26" s="424">
        <f t="shared" si="27"/>
        <v>381150</v>
      </c>
      <c r="Y26" s="430">
        <f t="shared" si="28"/>
        <v>0</v>
      </c>
      <c r="Z26" s="421" t="str">
        <f t="shared" si="0"/>
        <v>Revisión por dispersión</v>
      </c>
      <c r="AA26" s="421" t="str">
        <f t="shared" si="1"/>
        <v>Validación técnica y segunda ronda</v>
      </c>
      <c r="AB26" s="421" t="str">
        <f t="shared" si="2"/>
        <v>Diferencia entre máximo y mínimo superior al 30% de la mediana; no excluir atípicos sin justificación.</v>
      </c>
      <c r="AC26" s="428">
        <f t="shared" si="3"/>
        <v>1.8748524203069659</v>
      </c>
      <c r="AD26" s="428">
        <f t="shared" si="4"/>
        <v>0.53452367344240237</v>
      </c>
      <c r="AE26" s="426" t="str">
        <f t="shared" si="5"/>
        <v>Alta</v>
      </c>
      <c r="AF26" s="426" t="str">
        <f t="shared" si="6"/>
        <v>Sí</v>
      </c>
      <c r="AG26" s="426" t="str">
        <f t="shared" si="7"/>
        <v>Mediana referencial sujeta a validación</v>
      </c>
      <c r="AH26" s="426" t="str">
        <f t="shared" si="8"/>
        <v>Sí</v>
      </c>
      <c r="AI26" s="426">
        <f t="shared" si="29"/>
        <v>8</v>
      </c>
      <c r="AJ26" s="424">
        <f t="shared" si="30"/>
        <v>17500</v>
      </c>
      <c r="AK26" s="424">
        <f t="shared" si="31"/>
        <v>66678</v>
      </c>
      <c r="AL26" s="427">
        <f t="shared" si="32"/>
        <v>43144</v>
      </c>
      <c r="AM26" s="424">
        <f t="shared" si="33"/>
        <v>388296</v>
      </c>
      <c r="AN26" s="428">
        <f t="shared" si="9"/>
        <v>1.8748524203069657E-2</v>
      </c>
      <c r="AO26" s="428">
        <f t="shared" si="10"/>
        <v>1.1398572223252363</v>
      </c>
      <c r="AP26" s="426" t="str">
        <f t="shared" si="11"/>
        <v>Alta</v>
      </c>
      <c r="AQ26" s="421" t="str">
        <f t="shared" si="12"/>
        <v>Revisión complementaria</v>
      </c>
      <c r="AR26" s="421" t="str">
        <f t="shared" si="13"/>
        <v>Aun sin extremos persiste dispersión relevante; validar alcance técnico.</v>
      </c>
      <c r="AS26" s="421" t="str">
        <f t="shared" si="14"/>
        <v>Promedio depurado sin extremos</v>
      </c>
      <c r="AT26" s="429">
        <f t="shared" si="15"/>
        <v>43144</v>
      </c>
      <c r="AU26" s="421" t="str">
        <f t="shared" si="16"/>
        <v>Definido con depuración</v>
      </c>
      <c r="AV26" s="421" t="str">
        <f t="shared" si="17"/>
        <v>Mantener valor final y dejar nota de dispersión residual</v>
      </c>
      <c r="AW26" s="421" t="str">
        <f t="shared" si="18"/>
        <v>Por alta dispersión se depura un mínimo y un máximo y se adopta el promedio interior.</v>
      </c>
    </row>
    <row r="27" spans="1:49" ht="15.75" customHeight="1" x14ac:dyDescent="0.35">
      <c r="A27" s="421" t="s">
        <v>489</v>
      </c>
      <c r="B27" s="422">
        <v>22</v>
      </c>
      <c r="C27" s="458" t="s">
        <v>445</v>
      </c>
      <c r="D27" s="458" t="s">
        <v>630</v>
      </c>
      <c r="E27" s="423">
        <v>9</v>
      </c>
      <c r="F27" s="424">
        <v>65000</v>
      </c>
      <c r="G27" s="424">
        <v>23300</v>
      </c>
      <c r="H27" s="424">
        <v>24000</v>
      </c>
      <c r="I27" s="424">
        <v>81400</v>
      </c>
      <c r="J27" s="424">
        <v>74000</v>
      </c>
      <c r="K27" s="424">
        <v>52883</v>
      </c>
      <c r="L27" s="424">
        <v>47130</v>
      </c>
      <c r="M27" s="424">
        <v>33400</v>
      </c>
      <c r="N27" s="424">
        <v>29800</v>
      </c>
      <c r="O27" s="424">
        <v>44090</v>
      </c>
      <c r="P27" s="425">
        <f t="shared" si="19"/>
        <v>10</v>
      </c>
      <c r="Q27" s="422">
        <f t="shared" si="20"/>
        <v>4</v>
      </c>
      <c r="R27" s="426" t="str">
        <f t="shared" si="21"/>
        <v>Chemilab</v>
      </c>
      <c r="S27" s="424">
        <f t="shared" si="22"/>
        <v>23300</v>
      </c>
      <c r="T27" s="426" t="str">
        <f t="shared" si="23"/>
        <v>SGI</v>
      </c>
      <c r="U27" s="424">
        <f t="shared" si="24"/>
        <v>81400</v>
      </c>
      <c r="V27" s="427">
        <f t="shared" si="25"/>
        <v>45610</v>
      </c>
      <c r="W27" s="427">
        <f t="shared" si="26"/>
        <v>45610</v>
      </c>
      <c r="X27" s="424">
        <f t="shared" si="27"/>
        <v>410490</v>
      </c>
      <c r="Y27" s="430">
        <f t="shared" si="28"/>
        <v>0</v>
      </c>
      <c r="Z27" s="421" t="str">
        <f t="shared" si="0"/>
        <v>Revisión por dispersión</v>
      </c>
      <c r="AA27" s="421" t="str">
        <f t="shared" si="1"/>
        <v>Validación técnica y segunda ronda</v>
      </c>
      <c r="AB27" s="421" t="str">
        <f t="shared" si="2"/>
        <v>Diferencia entre máximo y mínimo superior al 30% de la mediana; no excluir atípicos sin justificación.</v>
      </c>
      <c r="AC27" s="428">
        <f t="shared" si="3"/>
        <v>1.2738434553825915</v>
      </c>
      <c r="AD27" s="428">
        <f t="shared" si="4"/>
        <v>0.44391670155884283</v>
      </c>
      <c r="AE27" s="426" t="str">
        <f t="shared" si="5"/>
        <v>Alta</v>
      </c>
      <c r="AF27" s="426" t="str">
        <f t="shared" si="6"/>
        <v>Sí</v>
      </c>
      <c r="AG27" s="426" t="str">
        <f t="shared" si="7"/>
        <v>Mediana referencial sujeta a validación</v>
      </c>
      <c r="AH27" s="426" t="str">
        <f t="shared" si="8"/>
        <v>Sí</v>
      </c>
      <c r="AI27" s="426">
        <f t="shared" si="29"/>
        <v>8</v>
      </c>
      <c r="AJ27" s="424">
        <f t="shared" si="30"/>
        <v>24000</v>
      </c>
      <c r="AK27" s="424">
        <f t="shared" si="31"/>
        <v>74000</v>
      </c>
      <c r="AL27" s="427">
        <f t="shared" si="32"/>
        <v>46288</v>
      </c>
      <c r="AM27" s="424">
        <f t="shared" si="33"/>
        <v>416592</v>
      </c>
      <c r="AN27" s="428">
        <f t="shared" si="9"/>
        <v>1.4865161148870862E-2</v>
      </c>
      <c r="AO27" s="428">
        <f t="shared" si="10"/>
        <v>1.0801935706878674</v>
      </c>
      <c r="AP27" s="426" t="str">
        <f t="shared" si="11"/>
        <v>Alta</v>
      </c>
      <c r="AQ27" s="421" t="str">
        <f t="shared" si="12"/>
        <v>Revisión complementaria</v>
      </c>
      <c r="AR27" s="421" t="str">
        <f t="shared" si="13"/>
        <v>Aun sin extremos persiste dispersión relevante; validar alcance técnico.</v>
      </c>
      <c r="AS27" s="421" t="str">
        <f t="shared" si="14"/>
        <v>Promedio depurado sin extremos</v>
      </c>
      <c r="AT27" s="429">
        <f t="shared" si="15"/>
        <v>46288</v>
      </c>
      <c r="AU27" s="421" t="str">
        <f t="shared" si="16"/>
        <v>Definido con depuración</v>
      </c>
      <c r="AV27" s="421" t="str">
        <f t="shared" si="17"/>
        <v>Mantener valor final y dejar nota de dispersión residual</v>
      </c>
      <c r="AW27" s="421" t="str">
        <f t="shared" si="18"/>
        <v>Por alta dispersión se depura un mínimo y un máximo y se adopta el promedio interior.</v>
      </c>
    </row>
    <row r="28" spans="1:49" ht="15.75" customHeight="1" x14ac:dyDescent="0.35">
      <c r="A28" s="421" t="s">
        <v>489</v>
      </c>
      <c r="B28" s="422">
        <v>23</v>
      </c>
      <c r="C28" s="458" t="s">
        <v>446</v>
      </c>
      <c r="D28" s="458" t="s">
        <v>631</v>
      </c>
      <c r="E28" s="423">
        <v>9</v>
      </c>
      <c r="F28" s="424">
        <v>65000</v>
      </c>
      <c r="G28" s="424">
        <v>17500</v>
      </c>
      <c r="H28" s="424">
        <v>16000</v>
      </c>
      <c r="I28" s="424">
        <v>81400</v>
      </c>
      <c r="J28" s="424"/>
      <c r="K28" s="424"/>
      <c r="L28" s="424">
        <v>51842</v>
      </c>
      <c r="M28" s="424">
        <v>27200</v>
      </c>
      <c r="N28" s="424">
        <v>24400</v>
      </c>
      <c r="O28" s="424">
        <v>31070</v>
      </c>
      <c r="P28" s="425">
        <f t="shared" si="19"/>
        <v>8</v>
      </c>
      <c r="Q28" s="422">
        <f t="shared" si="20"/>
        <v>4</v>
      </c>
      <c r="R28" s="426" t="str">
        <f t="shared" si="21"/>
        <v>CIMA</v>
      </c>
      <c r="S28" s="424">
        <f t="shared" si="22"/>
        <v>16000</v>
      </c>
      <c r="T28" s="426" t="str">
        <f t="shared" si="23"/>
        <v>SGI</v>
      </c>
      <c r="U28" s="424">
        <f t="shared" si="24"/>
        <v>81400</v>
      </c>
      <c r="V28" s="427">
        <f t="shared" si="25"/>
        <v>29135</v>
      </c>
      <c r="W28" s="427">
        <f t="shared" si="26"/>
        <v>29135</v>
      </c>
      <c r="X28" s="424">
        <f t="shared" si="27"/>
        <v>262215</v>
      </c>
      <c r="Y28" s="430">
        <f t="shared" si="28"/>
        <v>0</v>
      </c>
      <c r="Z28" s="421" t="str">
        <f t="shared" si="0"/>
        <v>Revisión por dispersión</v>
      </c>
      <c r="AA28" s="421" t="str">
        <f t="shared" si="1"/>
        <v>Validación técnica y segunda ronda</v>
      </c>
      <c r="AB28" s="421" t="str">
        <f t="shared" si="2"/>
        <v>Diferencia entre máximo y mínimo superior al 30% de la mediana; no excluir atípicos sin justificación.</v>
      </c>
      <c r="AC28" s="428">
        <f t="shared" si="3"/>
        <v>2.2447228419426808</v>
      </c>
      <c r="AD28" s="428">
        <f t="shared" si="4"/>
        <v>0.62737810650248116</v>
      </c>
      <c r="AE28" s="426" t="str">
        <f t="shared" si="5"/>
        <v>Alta</v>
      </c>
      <c r="AF28" s="426" t="str">
        <f t="shared" si="6"/>
        <v>Sí</v>
      </c>
      <c r="AG28" s="426" t="str">
        <f t="shared" si="7"/>
        <v>Mediana referencial sujeta a validación</v>
      </c>
      <c r="AH28" s="426" t="str">
        <f t="shared" si="8"/>
        <v>Sí</v>
      </c>
      <c r="AI28" s="426">
        <f t="shared" si="29"/>
        <v>6</v>
      </c>
      <c r="AJ28" s="424">
        <f t="shared" si="30"/>
        <v>17500</v>
      </c>
      <c r="AK28" s="424">
        <f t="shared" si="31"/>
        <v>65000</v>
      </c>
      <c r="AL28" s="427">
        <f t="shared" si="32"/>
        <v>36169</v>
      </c>
      <c r="AM28" s="424">
        <f t="shared" si="33"/>
        <v>325521</v>
      </c>
      <c r="AN28" s="428">
        <f t="shared" si="9"/>
        <v>0.24142783593615927</v>
      </c>
      <c r="AO28" s="428">
        <f t="shared" si="10"/>
        <v>1.3132793276009842</v>
      </c>
      <c r="AP28" s="426" t="str">
        <f t="shared" si="11"/>
        <v>Alta</v>
      </c>
      <c r="AQ28" s="421" t="str">
        <f t="shared" si="12"/>
        <v>Revisión complementaria</v>
      </c>
      <c r="AR28" s="421" t="str">
        <f t="shared" si="13"/>
        <v>Aun sin extremos persiste dispersión relevante; validar alcance técnico.</v>
      </c>
      <c r="AS28" s="421" t="str">
        <f t="shared" si="14"/>
        <v>Promedio depurado sin extremos</v>
      </c>
      <c r="AT28" s="429">
        <f t="shared" si="15"/>
        <v>36169</v>
      </c>
      <c r="AU28" s="421" t="str">
        <f t="shared" si="16"/>
        <v>Definido con depuración</v>
      </c>
      <c r="AV28" s="421" t="str">
        <f t="shared" si="17"/>
        <v>Mantener valor final y dejar nota de dispersión residual</v>
      </c>
      <c r="AW28" s="421" t="str">
        <f t="shared" si="18"/>
        <v>Por alta dispersión se depura un mínimo y un máximo y se adopta el promedio interior.</v>
      </c>
    </row>
    <row r="29" spans="1:49" ht="15.75" customHeight="1" x14ac:dyDescent="0.35">
      <c r="A29" s="421" t="s">
        <v>489</v>
      </c>
      <c r="B29" s="422">
        <v>24</v>
      </c>
      <c r="C29" s="458" t="s">
        <v>447</v>
      </c>
      <c r="D29" s="458" t="s">
        <v>632</v>
      </c>
      <c r="E29" s="423">
        <v>9</v>
      </c>
      <c r="F29" s="424">
        <v>122000</v>
      </c>
      <c r="G29" s="424">
        <v>70000</v>
      </c>
      <c r="H29" s="424">
        <v>44000</v>
      </c>
      <c r="I29" s="424">
        <v>135700</v>
      </c>
      <c r="J29" s="424">
        <v>137000</v>
      </c>
      <c r="K29" s="424">
        <v>42537</v>
      </c>
      <c r="L29" s="424">
        <v>94261</v>
      </c>
      <c r="M29" s="424">
        <v>55000</v>
      </c>
      <c r="N29" s="424">
        <v>50000</v>
      </c>
      <c r="O29" s="424">
        <v>85200</v>
      </c>
      <c r="P29" s="425">
        <f t="shared" si="19"/>
        <v>10</v>
      </c>
      <c r="Q29" s="422">
        <f t="shared" si="20"/>
        <v>4</v>
      </c>
      <c r="R29" s="426" t="str">
        <f t="shared" si="21"/>
        <v>Acueducto Bogotá</v>
      </c>
      <c r="S29" s="424">
        <f t="shared" si="22"/>
        <v>42537</v>
      </c>
      <c r="T29" s="426" t="str">
        <f t="shared" si="23"/>
        <v>Javeriana</v>
      </c>
      <c r="U29" s="424">
        <f t="shared" si="24"/>
        <v>137000</v>
      </c>
      <c r="V29" s="427">
        <f t="shared" si="25"/>
        <v>77600</v>
      </c>
      <c r="W29" s="427">
        <f t="shared" si="26"/>
        <v>77600</v>
      </c>
      <c r="X29" s="424">
        <f t="shared" si="27"/>
        <v>698400</v>
      </c>
      <c r="Y29" s="430">
        <f t="shared" si="28"/>
        <v>0</v>
      </c>
      <c r="Z29" s="421" t="str">
        <f t="shared" si="0"/>
        <v>Revisión por dispersión</v>
      </c>
      <c r="AA29" s="421" t="str">
        <f t="shared" si="1"/>
        <v>Validación técnica y segunda ronda</v>
      </c>
      <c r="AB29" s="421" t="str">
        <f t="shared" si="2"/>
        <v>Diferencia entre máximo y mínimo superior al 30% de la mediana; no excluir atípicos sin justificación.</v>
      </c>
      <c r="AC29" s="428">
        <f t="shared" si="3"/>
        <v>1.2173067010309278</v>
      </c>
      <c r="AD29" s="428">
        <f t="shared" si="4"/>
        <v>0.45856514397193998</v>
      </c>
      <c r="AE29" s="426" t="str">
        <f t="shared" si="5"/>
        <v>Alta</v>
      </c>
      <c r="AF29" s="426" t="str">
        <f t="shared" si="6"/>
        <v>Sí</v>
      </c>
      <c r="AG29" s="426" t="str">
        <f t="shared" si="7"/>
        <v>Mediana referencial sujeta a validación</v>
      </c>
      <c r="AH29" s="426" t="str">
        <f t="shared" si="8"/>
        <v>Sí</v>
      </c>
      <c r="AI29" s="426">
        <f t="shared" si="29"/>
        <v>8</v>
      </c>
      <c r="AJ29" s="424">
        <f t="shared" si="30"/>
        <v>44000</v>
      </c>
      <c r="AK29" s="424">
        <f t="shared" si="31"/>
        <v>135700</v>
      </c>
      <c r="AL29" s="427">
        <f t="shared" si="32"/>
        <v>82020</v>
      </c>
      <c r="AM29" s="424">
        <f t="shared" si="33"/>
        <v>738180</v>
      </c>
      <c r="AN29" s="428">
        <f t="shared" si="9"/>
        <v>5.6958762886597937E-2</v>
      </c>
      <c r="AO29" s="428">
        <f t="shared" si="10"/>
        <v>1.1180199951231407</v>
      </c>
      <c r="AP29" s="426" t="str">
        <f t="shared" si="11"/>
        <v>Alta</v>
      </c>
      <c r="AQ29" s="421" t="str">
        <f t="shared" si="12"/>
        <v>Revisión complementaria</v>
      </c>
      <c r="AR29" s="421" t="str">
        <f t="shared" si="13"/>
        <v>Aun sin extremos persiste dispersión relevante; validar alcance técnico.</v>
      </c>
      <c r="AS29" s="421" t="str">
        <f t="shared" si="14"/>
        <v>Promedio depurado sin extremos</v>
      </c>
      <c r="AT29" s="429">
        <f t="shared" si="15"/>
        <v>82020</v>
      </c>
      <c r="AU29" s="421" t="str">
        <f t="shared" si="16"/>
        <v>Definido con depuración</v>
      </c>
      <c r="AV29" s="421" t="str">
        <f t="shared" si="17"/>
        <v>Mantener valor final y dejar nota de dispersión residual</v>
      </c>
      <c r="AW29" s="421" t="str">
        <f t="shared" si="18"/>
        <v>Por alta dispersión se depura un mínimo y un máximo y se adopta el promedio interior.</v>
      </c>
    </row>
    <row r="30" spans="1:49" ht="15.75" customHeight="1" x14ac:dyDescent="0.35">
      <c r="A30" s="421" t="s">
        <v>489</v>
      </c>
      <c r="B30" s="422">
        <v>25</v>
      </c>
      <c r="C30" s="458" t="s">
        <v>448</v>
      </c>
      <c r="D30" s="458" t="s">
        <v>632</v>
      </c>
      <c r="E30" s="423">
        <v>9</v>
      </c>
      <c r="F30" s="424">
        <v>103000</v>
      </c>
      <c r="G30" s="424">
        <v>40800</v>
      </c>
      <c r="H30" s="424">
        <v>30000</v>
      </c>
      <c r="I30" s="424">
        <v>127400</v>
      </c>
      <c r="J30" s="424"/>
      <c r="K30" s="424">
        <v>80474</v>
      </c>
      <c r="L30" s="424">
        <v>90619</v>
      </c>
      <c r="M30" s="424">
        <v>50000</v>
      </c>
      <c r="N30" s="424"/>
      <c r="O30" s="424"/>
      <c r="P30" s="425">
        <f t="shared" si="19"/>
        <v>7</v>
      </c>
      <c r="Q30" s="422">
        <f t="shared" si="20"/>
        <v>4</v>
      </c>
      <c r="R30" s="426" t="str">
        <f t="shared" si="21"/>
        <v>CIMA</v>
      </c>
      <c r="S30" s="424">
        <f t="shared" si="22"/>
        <v>30000</v>
      </c>
      <c r="T30" s="426" t="str">
        <f t="shared" si="23"/>
        <v>SGI</v>
      </c>
      <c r="U30" s="424">
        <f t="shared" si="24"/>
        <v>127400</v>
      </c>
      <c r="V30" s="427">
        <f t="shared" si="25"/>
        <v>80474</v>
      </c>
      <c r="W30" s="427">
        <f t="shared" si="26"/>
        <v>80474</v>
      </c>
      <c r="X30" s="424">
        <f t="shared" si="27"/>
        <v>724266</v>
      </c>
      <c r="Y30" s="430">
        <f t="shared" si="28"/>
        <v>0</v>
      </c>
      <c r="Z30" s="421" t="str">
        <f t="shared" si="0"/>
        <v>Revisión por dispersión</v>
      </c>
      <c r="AA30" s="421" t="str">
        <f t="shared" si="1"/>
        <v>Validación técnica y segunda ronda</v>
      </c>
      <c r="AB30" s="421" t="str">
        <f t="shared" si="2"/>
        <v>Diferencia entre máximo y mínimo superior al 30% de la mediana; no excluir atípicos sin justificación.</v>
      </c>
      <c r="AC30" s="428">
        <f t="shared" si="3"/>
        <v>1.2103288018490443</v>
      </c>
      <c r="AD30" s="428">
        <f t="shared" si="4"/>
        <v>0.47769467745569949</v>
      </c>
      <c r="AE30" s="426" t="str">
        <f t="shared" si="5"/>
        <v>Alta</v>
      </c>
      <c r="AF30" s="426" t="str">
        <f t="shared" si="6"/>
        <v>Sí</v>
      </c>
      <c r="AG30" s="426" t="str">
        <f t="shared" si="7"/>
        <v>Mediana referencial sujeta a validación</v>
      </c>
      <c r="AH30" s="426" t="str">
        <f t="shared" si="8"/>
        <v>Sí</v>
      </c>
      <c r="AI30" s="426">
        <f t="shared" si="29"/>
        <v>5</v>
      </c>
      <c r="AJ30" s="424">
        <f t="shared" si="30"/>
        <v>40800</v>
      </c>
      <c r="AK30" s="424">
        <f t="shared" si="31"/>
        <v>103000</v>
      </c>
      <c r="AL30" s="427">
        <f t="shared" si="32"/>
        <v>72979</v>
      </c>
      <c r="AM30" s="424">
        <f t="shared" si="33"/>
        <v>656811</v>
      </c>
      <c r="AN30" s="428">
        <f t="shared" si="9"/>
        <v>-9.3135671148445467E-2</v>
      </c>
      <c r="AO30" s="428">
        <f t="shared" si="10"/>
        <v>0.85229997670562763</v>
      </c>
      <c r="AP30" s="426" t="str">
        <f t="shared" si="11"/>
        <v>Alta</v>
      </c>
      <c r="AQ30" s="421" t="str">
        <f t="shared" si="12"/>
        <v>Revisión complementaria</v>
      </c>
      <c r="AR30" s="421" t="str">
        <f t="shared" si="13"/>
        <v>Aun sin extremos persiste dispersión relevante; validar alcance técnico.</v>
      </c>
      <c r="AS30" s="421" t="str">
        <f t="shared" si="14"/>
        <v>Promedio depurado sin extremos</v>
      </c>
      <c r="AT30" s="429">
        <f t="shared" si="15"/>
        <v>72979</v>
      </c>
      <c r="AU30" s="421" t="str">
        <f t="shared" si="16"/>
        <v>Definido con depuración</v>
      </c>
      <c r="AV30" s="421" t="str">
        <f t="shared" si="17"/>
        <v>Mantener valor final y dejar nota de dispersión residual</v>
      </c>
      <c r="AW30" s="421" t="str">
        <f t="shared" si="18"/>
        <v>Por alta dispersión se depura un mínimo y un máximo y se adopta el promedio interior.</v>
      </c>
    </row>
    <row r="31" spans="1:49" ht="15.75" customHeight="1" x14ac:dyDescent="0.35">
      <c r="A31" s="421" t="s">
        <v>489</v>
      </c>
      <c r="B31" s="422">
        <v>26</v>
      </c>
      <c r="C31" s="458" t="s">
        <v>251</v>
      </c>
      <c r="D31" s="458" t="s">
        <v>632</v>
      </c>
      <c r="E31" s="423">
        <v>9</v>
      </c>
      <c r="F31" s="424">
        <v>110000</v>
      </c>
      <c r="G31" s="424">
        <v>38500</v>
      </c>
      <c r="H31" s="424">
        <v>30000</v>
      </c>
      <c r="I31" s="424">
        <v>135700</v>
      </c>
      <c r="J31" s="424"/>
      <c r="K31" s="424">
        <v>54033</v>
      </c>
      <c r="L31" s="424">
        <v>94261</v>
      </c>
      <c r="M31" s="424"/>
      <c r="N31" s="424">
        <v>36300</v>
      </c>
      <c r="O31" s="424">
        <v>73540</v>
      </c>
      <c r="P31" s="425">
        <f t="shared" si="19"/>
        <v>8</v>
      </c>
      <c r="Q31" s="422">
        <f t="shared" si="20"/>
        <v>4</v>
      </c>
      <c r="R31" s="426" t="str">
        <f t="shared" si="21"/>
        <v>CIMA</v>
      </c>
      <c r="S31" s="424">
        <f t="shared" si="22"/>
        <v>30000</v>
      </c>
      <c r="T31" s="426" t="str">
        <f t="shared" si="23"/>
        <v>SGI</v>
      </c>
      <c r="U31" s="424">
        <f t="shared" si="24"/>
        <v>135700</v>
      </c>
      <c r="V31" s="427">
        <f t="shared" si="25"/>
        <v>63787</v>
      </c>
      <c r="W31" s="427">
        <f t="shared" si="26"/>
        <v>63787</v>
      </c>
      <c r="X31" s="424">
        <f t="shared" si="27"/>
        <v>574083</v>
      </c>
      <c r="Y31" s="430">
        <f t="shared" si="28"/>
        <v>0</v>
      </c>
      <c r="Z31" s="421" t="str">
        <f t="shared" si="0"/>
        <v>Revisión por dispersión</v>
      </c>
      <c r="AA31" s="421" t="str">
        <f t="shared" si="1"/>
        <v>Validación técnica y segunda ronda</v>
      </c>
      <c r="AB31" s="421" t="str">
        <f t="shared" si="2"/>
        <v>Diferencia entre máximo y mínimo superior al 30% de la mediana; no excluir atípicos sin justificación.</v>
      </c>
      <c r="AC31" s="428">
        <f t="shared" si="3"/>
        <v>1.6570774609246399</v>
      </c>
      <c r="AD31" s="428">
        <f t="shared" si="4"/>
        <v>0.55197093999148694</v>
      </c>
      <c r="AE31" s="426" t="str">
        <f t="shared" si="5"/>
        <v>Alta</v>
      </c>
      <c r="AF31" s="426" t="str">
        <f t="shared" si="6"/>
        <v>Sí</v>
      </c>
      <c r="AG31" s="426" t="str">
        <f t="shared" si="7"/>
        <v>Mediana referencial sujeta a validación</v>
      </c>
      <c r="AH31" s="426" t="str">
        <f t="shared" si="8"/>
        <v>Sí</v>
      </c>
      <c r="AI31" s="426">
        <f t="shared" si="29"/>
        <v>6</v>
      </c>
      <c r="AJ31" s="424">
        <f t="shared" si="30"/>
        <v>36300</v>
      </c>
      <c r="AK31" s="424">
        <f t="shared" si="31"/>
        <v>110000</v>
      </c>
      <c r="AL31" s="427">
        <f t="shared" si="32"/>
        <v>67772</v>
      </c>
      <c r="AM31" s="424">
        <f t="shared" si="33"/>
        <v>609948</v>
      </c>
      <c r="AN31" s="428">
        <f t="shared" si="9"/>
        <v>6.2473544766174928E-2</v>
      </c>
      <c r="AO31" s="428">
        <f t="shared" si="10"/>
        <v>1.0874697515198017</v>
      </c>
      <c r="AP31" s="426" t="str">
        <f t="shared" si="11"/>
        <v>Alta</v>
      </c>
      <c r="AQ31" s="421" t="str">
        <f t="shared" si="12"/>
        <v>Revisión complementaria</v>
      </c>
      <c r="AR31" s="421" t="str">
        <f t="shared" si="13"/>
        <v>Aun sin extremos persiste dispersión relevante; validar alcance técnico.</v>
      </c>
      <c r="AS31" s="421" t="str">
        <f t="shared" si="14"/>
        <v>Promedio depurado sin extremos</v>
      </c>
      <c r="AT31" s="429">
        <f t="shared" si="15"/>
        <v>67772</v>
      </c>
      <c r="AU31" s="421" t="str">
        <f t="shared" si="16"/>
        <v>Definido con depuración</v>
      </c>
      <c r="AV31" s="421" t="str">
        <f t="shared" si="17"/>
        <v>Mantener valor final y dejar nota de dispersión residual</v>
      </c>
      <c r="AW31" s="421" t="str">
        <f t="shared" si="18"/>
        <v>Por alta dispersión se depura un mínimo y un máximo y se adopta el promedio interior.</v>
      </c>
    </row>
    <row r="32" spans="1:49" ht="15.75" customHeight="1" x14ac:dyDescent="0.35">
      <c r="A32" s="421" t="s">
        <v>489</v>
      </c>
      <c r="B32" s="422">
        <v>27</v>
      </c>
      <c r="C32" s="458" t="s">
        <v>252</v>
      </c>
      <c r="D32" s="458" t="s">
        <v>632</v>
      </c>
      <c r="E32" s="423">
        <v>9</v>
      </c>
      <c r="F32" s="424">
        <v>163000</v>
      </c>
      <c r="G32" s="424">
        <v>244300</v>
      </c>
      <c r="H32" s="424">
        <v>57000</v>
      </c>
      <c r="I32" s="424">
        <v>244300</v>
      </c>
      <c r="J32" s="424">
        <v>144000</v>
      </c>
      <c r="K32" s="424">
        <v>457551</v>
      </c>
      <c r="L32" s="424">
        <v>109969</v>
      </c>
      <c r="M32" s="424"/>
      <c r="N32" s="424"/>
      <c r="O32" s="424">
        <v>123440</v>
      </c>
      <c r="P32" s="425">
        <f t="shared" si="19"/>
        <v>8</v>
      </c>
      <c r="Q32" s="422">
        <f t="shared" si="20"/>
        <v>4</v>
      </c>
      <c r="R32" s="426" t="str">
        <f t="shared" si="21"/>
        <v>CIMA</v>
      </c>
      <c r="S32" s="424">
        <f t="shared" si="22"/>
        <v>57000</v>
      </c>
      <c r="T32" s="426" t="str">
        <f t="shared" si="23"/>
        <v>Acueducto Bogotá</v>
      </c>
      <c r="U32" s="424">
        <f t="shared" si="24"/>
        <v>457551</v>
      </c>
      <c r="V32" s="427">
        <f t="shared" si="25"/>
        <v>153500</v>
      </c>
      <c r="W32" s="427">
        <f t="shared" si="26"/>
        <v>153500</v>
      </c>
      <c r="X32" s="424">
        <f t="shared" si="27"/>
        <v>1381500</v>
      </c>
      <c r="Y32" s="430">
        <f t="shared" si="28"/>
        <v>0</v>
      </c>
      <c r="Z32" s="421" t="str">
        <f t="shared" si="0"/>
        <v>Revisión por dispersión</v>
      </c>
      <c r="AA32" s="421" t="str">
        <f t="shared" si="1"/>
        <v>Validación técnica y segunda ronda</v>
      </c>
      <c r="AB32" s="421" t="str">
        <f t="shared" si="2"/>
        <v>Diferencia entre máximo y mínimo superior al 30% de la mediana; no excluir atípicos sin justificación.</v>
      </c>
      <c r="AC32" s="428">
        <f t="shared" si="3"/>
        <v>2.6094527687296418</v>
      </c>
      <c r="AD32" s="428">
        <f t="shared" si="4"/>
        <v>0.64663893402659567</v>
      </c>
      <c r="AE32" s="426" t="str">
        <f t="shared" si="5"/>
        <v>Alta</v>
      </c>
      <c r="AF32" s="426" t="str">
        <f t="shared" si="6"/>
        <v>Sí</v>
      </c>
      <c r="AG32" s="426" t="str">
        <f t="shared" si="7"/>
        <v>Mediana referencial sujeta a validación</v>
      </c>
      <c r="AH32" s="426" t="str">
        <f t="shared" si="8"/>
        <v>Sí</v>
      </c>
      <c r="AI32" s="426">
        <f t="shared" si="29"/>
        <v>6</v>
      </c>
      <c r="AJ32" s="424">
        <f t="shared" si="30"/>
        <v>109969</v>
      </c>
      <c r="AK32" s="424">
        <f t="shared" si="31"/>
        <v>244300</v>
      </c>
      <c r="AL32" s="427">
        <f t="shared" si="32"/>
        <v>171502</v>
      </c>
      <c r="AM32" s="424">
        <f t="shared" si="33"/>
        <v>1543518</v>
      </c>
      <c r="AN32" s="428">
        <f t="shared" si="9"/>
        <v>0.11727687296416939</v>
      </c>
      <c r="AO32" s="428">
        <f t="shared" si="10"/>
        <v>0.78326200277547786</v>
      </c>
      <c r="AP32" s="426" t="str">
        <f t="shared" si="11"/>
        <v>Alta</v>
      </c>
      <c r="AQ32" s="421" t="str">
        <f t="shared" si="12"/>
        <v>Revisión complementaria</v>
      </c>
      <c r="AR32" s="421" t="str">
        <f t="shared" si="13"/>
        <v>Aun sin extremos persiste dispersión relevante; validar alcance técnico.</v>
      </c>
      <c r="AS32" s="421" t="str">
        <f t="shared" si="14"/>
        <v>Promedio depurado sin extremos</v>
      </c>
      <c r="AT32" s="429">
        <f t="shared" si="15"/>
        <v>171502</v>
      </c>
      <c r="AU32" s="421" t="str">
        <f t="shared" si="16"/>
        <v>Definido con depuración</v>
      </c>
      <c r="AV32" s="421" t="str">
        <f t="shared" si="17"/>
        <v>Mantener valor final y dejar nota de dispersión residual</v>
      </c>
      <c r="AW32" s="421" t="str">
        <f t="shared" si="18"/>
        <v>Por alta dispersión se depura un mínimo y un máximo y se adopta el promedio interior.</v>
      </c>
    </row>
    <row r="33" spans="1:49" ht="15.75" customHeight="1" x14ac:dyDescent="0.35">
      <c r="A33" s="421" t="s">
        <v>489</v>
      </c>
      <c r="B33" s="422">
        <v>28</v>
      </c>
      <c r="C33" s="460" t="s">
        <v>449</v>
      </c>
      <c r="D33" s="460" t="s">
        <v>633</v>
      </c>
      <c r="E33" s="423">
        <v>9</v>
      </c>
      <c r="F33" s="424">
        <v>109000</v>
      </c>
      <c r="G33" s="424">
        <v>42000</v>
      </c>
      <c r="H33" s="424">
        <v>24000</v>
      </c>
      <c r="I33" s="424">
        <v>114500</v>
      </c>
      <c r="J33" s="424"/>
      <c r="K33" s="424">
        <v>65529</v>
      </c>
      <c r="L33" s="424"/>
      <c r="M33" s="424"/>
      <c r="N33" s="424">
        <v>30900</v>
      </c>
      <c r="O33" s="424">
        <v>39980</v>
      </c>
      <c r="P33" s="425">
        <f t="shared" si="19"/>
        <v>7</v>
      </c>
      <c r="Q33" s="422">
        <f t="shared" si="20"/>
        <v>4</v>
      </c>
      <c r="R33" s="426" t="str">
        <f t="shared" si="21"/>
        <v>CIMA</v>
      </c>
      <c r="S33" s="424">
        <f t="shared" si="22"/>
        <v>24000</v>
      </c>
      <c r="T33" s="426" t="str">
        <f t="shared" si="23"/>
        <v>SGI</v>
      </c>
      <c r="U33" s="424">
        <f t="shared" si="24"/>
        <v>114500</v>
      </c>
      <c r="V33" s="427">
        <f t="shared" si="25"/>
        <v>42000</v>
      </c>
      <c r="W33" s="427">
        <f t="shared" si="26"/>
        <v>42000</v>
      </c>
      <c r="X33" s="424">
        <f t="shared" si="27"/>
        <v>378000</v>
      </c>
      <c r="Y33" s="430">
        <f t="shared" si="28"/>
        <v>0</v>
      </c>
      <c r="Z33" s="421" t="str">
        <f t="shared" si="0"/>
        <v>Revisión por dispersión</v>
      </c>
      <c r="AA33" s="421" t="str">
        <f t="shared" si="1"/>
        <v>Validación técnica y segunda ronda</v>
      </c>
      <c r="AB33" s="421" t="str">
        <f t="shared" si="2"/>
        <v>Diferencia entre máximo y mínimo superior al 30% de la mediana; no excluir atípicos sin justificación.</v>
      </c>
      <c r="AC33" s="428">
        <f t="shared" si="3"/>
        <v>2.1547619047619047</v>
      </c>
      <c r="AD33" s="428">
        <f t="shared" si="4"/>
        <v>0.56404597658439493</v>
      </c>
      <c r="AE33" s="426" t="str">
        <f t="shared" si="5"/>
        <v>Alta</v>
      </c>
      <c r="AF33" s="426" t="str">
        <f t="shared" si="6"/>
        <v>Sí</v>
      </c>
      <c r="AG33" s="426" t="str">
        <f t="shared" si="7"/>
        <v>Mediana referencial sujeta a validación</v>
      </c>
      <c r="AH33" s="426" t="str">
        <f t="shared" si="8"/>
        <v>Sí</v>
      </c>
      <c r="AI33" s="426">
        <f t="shared" si="29"/>
        <v>5</v>
      </c>
      <c r="AJ33" s="424">
        <f t="shared" si="30"/>
        <v>30900</v>
      </c>
      <c r="AK33" s="424">
        <f t="shared" si="31"/>
        <v>109000</v>
      </c>
      <c r="AL33" s="427">
        <f t="shared" si="32"/>
        <v>57482</v>
      </c>
      <c r="AM33" s="424">
        <f t="shared" si="33"/>
        <v>517338</v>
      </c>
      <c r="AN33" s="428">
        <f t="shared" si="9"/>
        <v>0.36861904761904762</v>
      </c>
      <c r="AO33" s="428">
        <f t="shared" si="10"/>
        <v>1.3586861974183222</v>
      </c>
      <c r="AP33" s="426" t="str">
        <f t="shared" si="11"/>
        <v>Alta</v>
      </c>
      <c r="AQ33" s="421" t="str">
        <f t="shared" si="12"/>
        <v>Revisión complementaria</v>
      </c>
      <c r="AR33" s="421" t="str">
        <f t="shared" si="13"/>
        <v>Aun sin extremos persiste dispersión relevante; validar alcance técnico.</v>
      </c>
      <c r="AS33" s="421" t="str">
        <f t="shared" si="14"/>
        <v>Promedio depurado sin extremos</v>
      </c>
      <c r="AT33" s="429">
        <f t="shared" si="15"/>
        <v>57482</v>
      </c>
      <c r="AU33" s="421" t="str">
        <f t="shared" si="16"/>
        <v>Definido con depuración</v>
      </c>
      <c r="AV33" s="421" t="str">
        <f t="shared" si="17"/>
        <v>Mantener valor final y dejar nota de dispersión residual</v>
      </c>
      <c r="AW33" s="421" t="str">
        <f t="shared" si="18"/>
        <v>Por alta dispersión se depura un mínimo y un máximo y se adopta el promedio interior.</v>
      </c>
    </row>
    <row r="34" spans="1:49" ht="15.75" customHeight="1" x14ac:dyDescent="0.35">
      <c r="A34" s="421" t="s">
        <v>489</v>
      </c>
      <c r="B34" s="422">
        <v>29</v>
      </c>
      <c r="C34" s="460" t="s">
        <v>450</v>
      </c>
      <c r="D34" s="460" t="s">
        <v>632</v>
      </c>
      <c r="E34" s="423">
        <v>9</v>
      </c>
      <c r="F34" s="424">
        <v>109000</v>
      </c>
      <c r="G34" s="424">
        <v>31500</v>
      </c>
      <c r="H34" s="424">
        <v>24000</v>
      </c>
      <c r="I34" s="424">
        <v>87300</v>
      </c>
      <c r="J34" s="424">
        <v>155000</v>
      </c>
      <c r="K34" s="424">
        <v>65529</v>
      </c>
      <c r="L34" s="424"/>
      <c r="M34" s="424"/>
      <c r="N34" s="424">
        <v>35600</v>
      </c>
      <c r="O34" s="424">
        <v>39980</v>
      </c>
      <c r="P34" s="425">
        <f t="shared" si="19"/>
        <v>8</v>
      </c>
      <c r="Q34" s="422">
        <f t="shared" si="20"/>
        <v>4</v>
      </c>
      <c r="R34" s="426" t="str">
        <f t="shared" si="21"/>
        <v>CIMA</v>
      </c>
      <c r="S34" s="424">
        <f t="shared" si="22"/>
        <v>24000</v>
      </c>
      <c r="T34" s="426" t="str">
        <f t="shared" si="23"/>
        <v>Javeriana</v>
      </c>
      <c r="U34" s="424">
        <f t="shared" si="24"/>
        <v>155000</v>
      </c>
      <c r="V34" s="427">
        <f t="shared" si="25"/>
        <v>52755</v>
      </c>
      <c r="W34" s="427">
        <f t="shared" si="26"/>
        <v>52755</v>
      </c>
      <c r="X34" s="424">
        <f t="shared" si="27"/>
        <v>474795</v>
      </c>
      <c r="Y34" s="430">
        <f t="shared" si="28"/>
        <v>0</v>
      </c>
      <c r="Z34" s="421" t="str">
        <f t="shared" si="0"/>
        <v>Revisión por dispersión</v>
      </c>
      <c r="AA34" s="421" t="str">
        <f t="shared" si="1"/>
        <v>Validación técnica y segunda ronda</v>
      </c>
      <c r="AB34" s="421" t="str">
        <f t="shared" si="2"/>
        <v>Diferencia entre máximo y mínimo superior al 30% de la mediana; no excluir atípicos sin justificación.</v>
      </c>
      <c r="AC34" s="428">
        <f t="shared" si="3"/>
        <v>2.4831769500521279</v>
      </c>
      <c r="AD34" s="428">
        <f t="shared" si="4"/>
        <v>0.62766605727802782</v>
      </c>
      <c r="AE34" s="426" t="str">
        <f t="shared" si="5"/>
        <v>Alta</v>
      </c>
      <c r="AF34" s="426" t="str">
        <f t="shared" si="6"/>
        <v>Sí</v>
      </c>
      <c r="AG34" s="426" t="str">
        <f t="shared" si="7"/>
        <v>Mediana referencial sujeta a validación</v>
      </c>
      <c r="AH34" s="426" t="str">
        <f t="shared" si="8"/>
        <v>Sí</v>
      </c>
      <c r="AI34" s="426">
        <f t="shared" si="29"/>
        <v>6</v>
      </c>
      <c r="AJ34" s="424">
        <f t="shared" si="30"/>
        <v>31500</v>
      </c>
      <c r="AK34" s="424">
        <f t="shared" si="31"/>
        <v>109000</v>
      </c>
      <c r="AL34" s="427">
        <f t="shared" si="32"/>
        <v>61485</v>
      </c>
      <c r="AM34" s="424">
        <f t="shared" si="33"/>
        <v>553365</v>
      </c>
      <c r="AN34" s="428">
        <f t="shared" si="9"/>
        <v>0.16548194483935172</v>
      </c>
      <c r="AO34" s="428">
        <f t="shared" si="10"/>
        <v>1.2604700333414653</v>
      </c>
      <c r="AP34" s="426" t="str">
        <f t="shared" si="11"/>
        <v>Alta</v>
      </c>
      <c r="AQ34" s="421" t="str">
        <f t="shared" si="12"/>
        <v>Revisión complementaria</v>
      </c>
      <c r="AR34" s="421" t="str">
        <f t="shared" si="13"/>
        <v>Aun sin extremos persiste dispersión relevante; validar alcance técnico.</v>
      </c>
      <c r="AS34" s="421" t="str">
        <f t="shared" si="14"/>
        <v>Promedio depurado sin extremos</v>
      </c>
      <c r="AT34" s="429">
        <f t="shared" si="15"/>
        <v>61485</v>
      </c>
      <c r="AU34" s="421" t="str">
        <f t="shared" si="16"/>
        <v>Definido con depuración</v>
      </c>
      <c r="AV34" s="421" t="str">
        <f t="shared" si="17"/>
        <v>Mantener valor final y dejar nota de dispersión residual</v>
      </c>
      <c r="AW34" s="421" t="str">
        <f t="shared" si="18"/>
        <v>Por alta dispersión se depura un mínimo y un máximo y se adopta el promedio interior.</v>
      </c>
    </row>
    <row r="35" spans="1:49" ht="15.75" customHeight="1" x14ac:dyDescent="0.35">
      <c r="A35" s="421" t="s">
        <v>489</v>
      </c>
      <c r="B35" s="422">
        <v>30</v>
      </c>
      <c r="C35" s="460" t="s">
        <v>451</v>
      </c>
      <c r="D35" s="460" t="s">
        <v>632</v>
      </c>
      <c r="E35" s="423">
        <v>9</v>
      </c>
      <c r="F35" s="424">
        <v>82000</v>
      </c>
      <c r="G35" s="424">
        <v>44300</v>
      </c>
      <c r="H35" s="424">
        <v>24000</v>
      </c>
      <c r="I35" s="424">
        <v>94400</v>
      </c>
      <c r="J35" s="424">
        <v>101000</v>
      </c>
      <c r="K35" s="424">
        <v>65529</v>
      </c>
      <c r="L35" s="424">
        <v>71560</v>
      </c>
      <c r="M35" s="424"/>
      <c r="N35" s="424">
        <v>28900</v>
      </c>
      <c r="O35" s="424">
        <v>39980</v>
      </c>
      <c r="P35" s="425">
        <f t="shared" si="19"/>
        <v>9</v>
      </c>
      <c r="Q35" s="422">
        <f t="shared" si="20"/>
        <v>4</v>
      </c>
      <c r="R35" s="426" t="str">
        <f t="shared" si="21"/>
        <v>CIMA</v>
      </c>
      <c r="S35" s="424">
        <f t="shared" si="22"/>
        <v>24000</v>
      </c>
      <c r="T35" s="426" t="str">
        <f t="shared" si="23"/>
        <v>Javeriana</v>
      </c>
      <c r="U35" s="424">
        <f t="shared" si="24"/>
        <v>101000</v>
      </c>
      <c r="V35" s="427">
        <f t="shared" si="25"/>
        <v>65529</v>
      </c>
      <c r="W35" s="427">
        <f t="shared" si="26"/>
        <v>65529</v>
      </c>
      <c r="X35" s="424">
        <f t="shared" si="27"/>
        <v>589761</v>
      </c>
      <c r="Y35" s="430">
        <f t="shared" si="28"/>
        <v>0</v>
      </c>
      <c r="Z35" s="421" t="str">
        <f t="shared" si="0"/>
        <v>Revisión por dispersión</v>
      </c>
      <c r="AA35" s="421" t="str">
        <f t="shared" si="1"/>
        <v>Validación técnica y segunda ronda</v>
      </c>
      <c r="AB35" s="421" t="str">
        <f t="shared" si="2"/>
        <v>Diferencia entre máximo y mínimo superior al 30% de la mediana; no excluir atípicos sin justificación.</v>
      </c>
      <c r="AC35" s="428">
        <f t="shared" si="3"/>
        <v>1.1750522669352501</v>
      </c>
      <c r="AD35" s="428">
        <f t="shared" si="4"/>
        <v>0.39671391427381258</v>
      </c>
      <c r="AE35" s="426" t="str">
        <f t="shared" si="5"/>
        <v>Alta</v>
      </c>
      <c r="AF35" s="426" t="str">
        <f t="shared" si="6"/>
        <v>Sí</v>
      </c>
      <c r="AG35" s="426" t="str">
        <f t="shared" si="7"/>
        <v>Mediana referencial sujeta a validación</v>
      </c>
      <c r="AH35" s="426" t="str">
        <f t="shared" si="8"/>
        <v>Sí</v>
      </c>
      <c r="AI35" s="426">
        <f t="shared" si="29"/>
        <v>7</v>
      </c>
      <c r="AJ35" s="424">
        <f t="shared" si="30"/>
        <v>28900</v>
      </c>
      <c r="AK35" s="424">
        <f t="shared" si="31"/>
        <v>94400</v>
      </c>
      <c r="AL35" s="427">
        <f t="shared" si="32"/>
        <v>60953</v>
      </c>
      <c r="AM35" s="424">
        <f t="shared" si="33"/>
        <v>548577</v>
      </c>
      <c r="AN35" s="428">
        <f t="shared" si="9"/>
        <v>-6.9831677577866291E-2</v>
      </c>
      <c r="AO35" s="428">
        <f t="shared" si="10"/>
        <v>1.0745984611093793</v>
      </c>
      <c r="AP35" s="426" t="str">
        <f t="shared" si="11"/>
        <v>Alta</v>
      </c>
      <c r="AQ35" s="421" t="str">
        <f t="shared" si="12"/>
        <v>Revisión complementaria</v>
      </c>
      <c r="AR35" s="421" t="str">
        <f t="shared" si="13"/>
        <v>Aun sin extremos persiste dispersión relevante; validar alcance técnico.</v>
      </c>
      <c r="AS35" s="421" t="str">
        <f t="shared" si="14"/>
        <v>Promedio depurado sin extremos</v>
      </c>
      <c r="AT35" s="429">
        <f t="shared" si="15"/>
        <v>60953</v>
      </c>
      <c r="AU35" s="421" t="str">
        <f t="shared" si="16"/>
        <v>Definido con depuración</v>
      </c>
      <c r="AV35" s="421" t="str">
        <f t="shared" si="17"/>
        <v>Mantener valor final y dejar nota de dispersión residual</v>
      </c>
      <c r="AW35" s="421" t="str">
        <f t="shared" si="18"/>
        <v>Por alta dispersión se depura un mínimo y un máximo y se adopta el promedio interior.</v>
      </c>
    </row>
    <row r="36" spans="1:49" ht="15.75" customHeight="1" x14ac:dyDescent="0.35">
      <c r="A36" s="421" t="s">
        <v>489</v>
      </c>
      <c r="B36" s="422">
        <v>31</v>
      </c>
      <c r="C36" s="460" t="s">
        <v>452</v>
      </c>
      <c r="D36" s="460" t="s">
        <v>632</v>
      </c>
      <c r="E36" s="423">
        <v>9</v>
      </c>
      <c r="F36" s="424">
        <v>82000</v>
      </c>
      <c r="G36" s="424">
        <v>31500</v>
      </c>
      <c r="H36" s="424">
        <v>24000</v>
      </c>
      <c r="I36" s="424">
        <v>129800</v>
      </c>
      <c r="J36" s="424">
        <v>101000</v>
      </c>
      <c r="K36" s="424">
        <v>65529</v>
      </c>
      <c r="L36" s="424">
        <v>71560</v>
      </c>
      <c r="M36" s="424"/>
      <c r="N36" s="424">
        <v>37100</v>
      </c>
      <c r="O36" s="424">
        <v>39980</v>
      </c>
      <c r="P36" s="425">
        <f t="shared" si="19"/>
        <v>9</v>
      </c>
      <c r="Q36" s="422">
        <f t="shared" si="20"/>
        <v>4</v>
      </c>
      <c r="R36" s="426" t="str">
        <f t="shared" si="21"/>
        <v>CIMA</v>
      </c>
      <c r="S36" s="424">
        <f t="shared" si="22"/>
        <v>24000</v>
      </c>
      <c r="T36" s="426" t="str">
        <f t="shared" si="23"/>
        <v>SGI</v>
      </c>
      <c r="U36" s="424">
        <f t="shared" si="24"/>
        <v>129800</v>
      </c>
      <c r="V36" s="427">
        <f t="shared" si="25"/>
        <v>65529</v>
      </c>
      <c r="W36" s="427">
        <f t="shared" si="26"/>
        <v>65529</v>
      </c>
      <c r="X36" s="424">
        <f t="shared" si="27"/>
        <v>589761</v>
      </c>
      <c r="Y36" s="430">
        <f t="shared" si="28"/>
        <v>0</v>
      </c>
      <c r="Z36" s="421" t="str">
        <f t="shared" si="0"/>
        <v>Revisión por dispersión</v>
      </c>
      <c r="AA36" s="421" t="str">
        <f t="shared" si="1"/>
        <v>Validación técnica y segunda ronda</v>
      </c>
      <c r="AB36" s="421" t="str">
        <f t="shared" si="2"/>
        <v>Diferencia entre máximo y mínimo superior al 30% de la mediana; no excluir atípicos sin justificación.</v>
      </c>
      <c r="AC36" s="428">
        <f t="shared" si="3"/>
        <v>1.6145523356071358</v>
      </c>
      <c r="AD36" s="428">
        <f t="shared" si="4"/>
        <v>0.51415464059121363</v>
      </c>
      <c r="AE36" s="426" t="str">
        <f t="shared" si="5"/>
        <v>Alta</v>
      </c>
      <c r="AF36" s="426" t="str">
        <f t="shared" si="6"/>
        <v>Sí</v>
      </c>
      <c r="AG36" s="426" t="str">
        <f t="shared" si="7"/>
        <v>Mediana referencial sujeta a validación</v>
      </c>
      <c r="AH36" s="426" t="str">
        <f t="shared" si="8"/>
        <v>Sí</v>
      </c>
      <c r="AI36" s="426">
        <f t="shared" si="29"/>
        <v>7</v>
      </c>
      <c r="AJ36" s="424">
        <f t="shared" si="30"/>
        <v>31500</v>
      </c>
      <c r="AK36" s="424">
        <f t="shared" si="31"/>
        <v>101000</v>
      </c>
      <c r="AL36" s="427">
        <f t="shared" si="32"/>
        <v>61238</v>
      </c>
      <c r="AM36" s="424">
        <f t="shared" si="33"/>
        <v>551142</v>
      </c>
      <c r="AN36" s="428">
        <f t="shared" si="9"/>
        <v>-6.5482458148300754E-2</v>
      </c>
      <c r="AO36" s="428">
        <f t="shared" si="10"/>
        <v>1.1349162284855809</v>
      </c>
      <c r="AP36" s="426" t="str">
        <f t="shared" si="11"/>
        <v>Alta</v>
      </c>
      <c r="AQ36" s="421" t="str">
        <f t="shared" si="12"/>
        <v>Revisión complementaria</v>
      </c>
      <c r="AR36" s="421" t="str">
        <f t="shared" si="13"/>
        <v>Aun sin extremos persiste dispersión relevante; validar alcance técnico.</v>
      </c>
      <c r="AS36" s="421" t="str">
        <f t="shared" si="14"/>
        <v>Promedio depurado sin extremos</v>
      </c>
      <c r="AT36" s="429">
        <f t="shared" si="15"/>
        <v>61238</v>
      </c>
      <c r="AU36" s="421" t="str">
        <f t="shared" si="16"/>
        <v>Definido con depuración</v>
      </c>
      <c r="AV36" s="421" t="str">
        <f t="shared" si="17"/>
        <v>Mantener valor final y dejar nota de dispersión residual</v>
      </c>
      <c r="AW36" s="421" t="str">
        <f t="shared" si="18"/>
        <v>Por alta dispersión se depura un mínimo y un máximo y se adopta el promedio interior.</v>
      </c>
    </row>
    <row r="37" spans="1:49" ht="15.75" customHeight="1" x14ac:dyDescent="0.35">
      <c r="A37" s="421" t="s">
        <v>489</v>
      </c>
      <c r="B37" s="422">
        <v>32</v>
      </c>
      <c r="C37" s="460" t="s">
        <v>453</v>
      </c>
      <c r="D37" s="460" t="s">
        <v>632</v>
      </c>
      <c r="E37" s="423">
        <v>9</v>
      </c>
      <c r="F37" s="424">
        <v>82000</v>
      </c>
      <c r="G37" s="424">
        <v>44300</v>
      </c>
      <c r="H37" s="424">
        <v>24000</v>
      </c>
      <c r="I37" s="424">
        <v>94400</v>
      </c>
      <c r="J37" s="424">
        <v>101000</v>
      </c>
      <c r="K37" s="424"/>
      <c r="L37" s="424">
        <v>71560</v>
      </c>
      <c r="M37" s="424"/>
      <c r="N37" s="424">
        <v>35600</v>
      </c>
      <c r="O37" s="424">
        <v>39980</v>
      </c>
      <c r="P37" s="425">
        <f t="shared" si="19"/>
        <v>8</v>
      </c>
      <c r="Q37" s="422">
        <f t="shared" si="20"/>
        <v>4</v>
      </c>
      <c r="R37" s="426" t="str">
        <f t="shared" si="21"/>
        <v>CIMA</v>
      </c>
      <c r="S37" s="424">
        <f t="shared" si="22"/>
        <v>24000</v>
      </c>
      <c r="T37" s="426" t="str">
        <f t="shared" si="23"/>
        <v>Javeriana</v>
      </c>
      <c r="U37" s="424">
        <f t="shared" si="24"/>
        <v>101000</v>
      </c>
      <c r="V37" s="427">
        <f t="shared" si="25"/>
        <v>57930</v>
      </c>
      <c r="W37" s="427">
        <f t="shared" si="26"/>
        <v>57930</v>
      </c>
      <c r="X37" s="424">
        <f t="shared" si="27"/>
        <v>521370</v>
      </c>
      <c r="Y37" s="430">
        <f t="shared" si="28"/>
        <v>0</v>
      </c>
      <c r="Z37" s="421" t="str">
        <f t="shared" si="0"/>
        <v>Revisión por dispersión</v>
      </c>
      <c r="AA37" s="421" t="str">
        <f t="shared" si="1"/>
        <v>Validación técnica y segunda ronda</v>
      </c>
      <c r="AB37" s="421" t="str">
        <f t="shared" si="2"/>
        <v>Diferencia entre máximo y mínimo superior al 30% de la mediana; no excluir atípicos sin justificación.</v>
      </c>
      <c r="AC37" s="428">
        <f t="shared" si="3"/>
        <v>1.3291904022095633</v>
      </c>
      <c r="AD37" s="428">
        <f t="shared" si="4"/>
        <v>0.43033146996041022</v>
      </c>
      <c r="AE37" s="426" t="str">
        <f t="shared" si="5"/>
        <v>Alta</v>
      </c>
      <c r="AF37" s="426" t="str">
        <f t="shared" si="6"/>
        <v>Sí</v>
      </c>
      <c r="AG37" s="426" t="str">
        <f t="shared" si="7"/>
        <v>Mediana referencial sujeta a validación</v>
      </c>
      <c r="AH37" s="426" t="str">
        <f t="shared" si="8"/>
        <v>Sí</v>
      </c>
      <c r="AI37" s="426">
        <f t="shared" si="29"/>
        <v>6</v>
      </c>
      <c r="AJ37" s="424">
        <f t="shared" si="30"/>
        <v>35600</v>
      </c>
      <c r="AK37" s="424">
        <f t="shared" si="31"/>
        <v>94400</v>
      </c>
      <c r="AL37" s="427">
        <f t="shared" si="32"/>
        <v>61307</v>
      </c>
      <c r="AM37" s="424">
        <f t="shared" si="33"/>
        <v>551763</v>
      </c>
      <c r="AN37" s="428">
        <f t="shared" si="9"/>
        <v>5.8294493354047988E-2</v>
      </c>
      <c r="AO37" s="428">
        <f t="shared" si="10"/>
        <v>0.9591074428694929</v>
      </c>
      <c r="AP37" s="426" t="str">
        <f t="shared" si="11"/>
        <v>Alta</v>
      </c>
      <c r="AQ37" s="421" t="str">
        <f t="shared" si="12"/>
        <v>Revisión complementaria</v>
      </c>
      <c r="AR37" s="421" t="str">
        <f t="shared" si="13"/>
        <v>Aun sin extremos persiste dispersión relevante; validar alcance técnico.</v>
      </c>
      <c r="AS37" s="421" t="str">
        <f t="shared" si="14"/>
        <v>Promedio depurado sin extremos</v>
      </c>
      <c r="AT37" s="429">
        <f t="shared" si="15"/>
        <v>61307</v>
      </c>
      <c r="AU37" s="421" t="str">
        <f t="shared" si="16"/>
        <v>Definido con depuración</v>
      </c>
      <c r="AV37" s="421" t="str">
        <f t="shared" si="17"/>
        <v>Mantener valor final y dejar nota de dispersión residual</v>
      </c>
      <c r="AW37" s="421" t="str">
        <f t="shared" si="18"/>
        <v>Por alta dispersión se depura un mínimo y un máximo y se adopta el promedio interior.</v>
      </c>
    </row>
    <row r="38" spans="1:49" ht="15.75" customHeight="1" x14ac:dyDescent="0.35">
      <c r="A38" s="421" t="s">
        <v>489</v>
      </c>
      <c r="B38" s="422">
        <v>33</v>
      </c>
      <c r="C38" s="460" t="s">
        <v>454</v>
      </c>
      <c r="D38" s="460" t="s">
        <v>632</v>
      </c>
      <c r="E38" s="423">
        <v>9</v>
      </c>
      <c r="F38" s="424">
        <v>82000</v>
      </c>
      <c r="G38" s="424">
        <v>31500</v>
      </c>
      <c r="H38" s="424">
        <v>24000</v>
      </c>
      <c r="I38" s="424">
        <v>101500</v>
      </c>
      <c r="J38" s="424">
        <v>155000</v>
      </c>
      <c r="K38" s="424">
        <v>65529</v>
      </c>
      <c r="L38" s="424">
        <v>71560</v>
      </c>
      <c r="M38" s="424"/>
      <c r="N38" s="424"/>
      <c r="O38" s="424">
        <v>39980</v>
      </c>
      <c r="P38" s="425">
        <f t="shared" si="19"/>
        <v>8</v>
      </c>
      <c r="Q38" s="422">
        <f t="shared" si="20"/>
        <v>4</v>
      </c>
      <c r="R38" s="426" t="str">
        <f t="shared" si="21"/>
        <v>CIMA</v>
      </c>
      <c r="S38" s="424">
        <f t="shared" si="22"/>
        <v>24000</v>
      </c>
      <c r="T38" s="426" t="str">
        <f t="shared" si="23"/>
        <v>Javeriana</v>
      </c>
      <c r="U38" s="424">
        <f t="shared" si="24"/>
        <v>155000</v>
      </c>
      <c r="V38" s="427">
        <f t="shared" si="25"/>
        <v>68545</v>
      </c>
      <c r="W38" s="427">
        <f t="shared" si="26"/>
        <v>68545</v>
      </c>
      <c r="X38" s="424">
        <f t="shared" si="27"/>
        <v>616905</v>
      </c>
      <c r="Y38" s="430">
        <f t="shared" si="28"/>
        <v>0</v>
      </c>
      <c r="Z38" s="421" t="str">
        <f t="shared" si="0"/>
        <v>Revisión por dispersión</v>
      </c>
      <c r="AA38" s="421" t="str">
        <f t="shared" si="1"/>
        <v>Validación técnica y segunda ronda</v>
      </c>
      <c r="AB38" s="421" t="str">
        <f t="shared" si="2"/>
        <v>Diferencia entre máximo y mínimo superior al 30% de la mediana; no excluir atípicos sin justificación.</v>
      </c>
      <c r="AC38" s="428">
        <f t="shared" si="3"/>
        <v>1.9111532569844627</v>
      </c>
      <c r="AD38" s="428">
        <f t="shared" si="4"/>
        <v>0.58304595424245065</v>
      </c>
      <c r="AE38" s="426" t="str">
        <f t="shared" si="5"/>
        <v>Alta</v>
      </c>
      <c r="AF38" s="426" t="str">
        <f t="shared" si="6"/>
        <v>Sí</v>
      </c>
      <c r="AG38" s="426" t="str">
        <f t="shared" si="7"/>
        <v>Mediana referencial sujeta a validación</v>
      </c>
      <c r="AH38" s="426" t="str">
        <f t="shared" si="8"/>
        <v>Sí</v>
      </c>
      <c r="AI38" s="426">
        <f t="shared" si="29"/>
        <v>6</v>
      </c>
      <c r="AJ38" s="424">
        <f t="shared" si="30"/>
        <v>31500</v>
      </c>
      <c r="AK38" s="424">
        <f t="shared" si="31"/>
        <v>101500</v>
      </c>
      <c r="AL38" s="427">
        <f t="shared" si="32"/>
        <v>65345</v>
      </c>
      <c r="AM38" s="424">
        <f t="shared" si="33"/>
        <v>588105</v>
      </c>
      <c r="AN38" s="428">
        <f t="shared" si="9"/>
        <v>-4.6684659712597561E-2</v>
      </c>
      <c r="AO38" s="428">
        <f t="shared" si="10"/>
        <v>1.0712372790573113</v>
      </c>
      <c r="AP38" s="426" t="str">
        <f t="shared" si="11"/>
        <v>Alta</v>
      </c>
      <c r="AQ38" s="421" t="str">
        <f t="shared" si="12"/>
        <v>Revisión complementaria</v>
      </c>
      <c r="AR38" s="421" t="str">
        <f t="shared" si="13"/>
        <v>Aun sin extremos persiste dispersión relevante; validar alcance técnico.</v>
      </c>
      <c r="AS38" s="421" t="str">
        <f t="shared" si="14"/>
        <v>Promedio depurado sin extremos</v>
      </c>
      <c r="AT38" s="429">
        <f t="shared" si="15"/>
        <v>65345</v>
      </c>
      <c r="AU38" s="421" t="str">
        <f t="shared" si="16"/>
        <v>Definido con depuración</v>
      </c>
      <c r="AV38" s="421" t="str">
        <f t="shared" si="17"/>
        <v>Mantener valor final y dejar nota de dispersión residual</v>
      </c>
      <c r="AW38" s="421" t="str">
        <f t="shared" si="18"/>
        <v>Por alta dispersión se depura un mínimo y un máximo y se adopta el promedio interior.</v>
      </c>
    </row>
    <row r="39" spans="1:49" ht="15.75" customHeight="1" x14ac:dyDescent="0.35">
      <c r="A39" s="421" t="s">
        <v>489</v>
      </c>
      <c r="B39" s="422">
        <v>34</v>
      </c>
      <c r="C39" s="460" t="s">
        <v>455</v>
      </c>
      <c r="D39" s="460" t="s">
        <v>632</v>
      </c>
      <c r="E39" s="423">
        <v>9</v>
      </c>
      <c r="F39" s="424">
        <v>82000</v>
      </c>
      <c r="G39" s="424">
        <v>31500</v>
      </c>
      <c r="H39" s="424">
        <v>24000</v>
      </c>
      <c r="I39" s="424">
        <v>101500</v>
      </c>
      <c r="J39" s="424">
        <v>101000</v>
      </c>
      <c r="K39" s="424">
        <v>65529</v>
      </c>
      <c r="L39" s="424">
        <v>71560</v>
      </c>
      <c r="M39" s="424">
        <v>32000</v>
      </c>
      <c r="N39" s="424">
        <v>35500</v>
      </c>
      <c r="O39" s="424">
        <v>39980</v>
      </c>
      <c r="P39" s="425">
        <f t="shared" si="19"/>
        <v>10</v>
      </c>
      <c r="Q39" s="422">
        <f t="shared" si="20"/>
        <v>4</v>
      </c>
      <c r="R39" s="426" t="str">
        <f t="shared" si="21"/>
        <v>CIMA</v>
      </c>
      <c r="S39" s="424">
        <f t="shared" si="22"/>
        <v>24000</v>
      </c>
      <c r="T39" s="426" t="str">
        <f t="shared" si="23"/>
        <v>SGI</v>
      </c>
      <c r="U39" s="424">
        <f t="shared" si="24"/>
        <v>101500</v>
      </c>
      <c r="V39" s="427">
        <f t="shared" si="25"/>
        <v>52755</v>
      </c>
      <c r="W39" s="427">
        <f t="shared" si="26"/>
        <v>52755</v>
      </c>
      <c r="X39" s="424">
        <f t="shared" si="27"/>
        <v>474795</v>
      </c>
      <c r="Y39" s="430">
        <f t="shared" si="28"/>
        <v>0</v>
      </c>
      <c r="Z39" s="421" t="str">
        <f t="shared" si="0"/>
        <v>Revisión por dispersión</v>
      </c>
      <c r="AA39" s="421" t="str">
        <f t="shared" si="1"/>
        <v>Validación técnica y segunda ronda</v>
      </c>
      <c r="AB39" s="421" t="str">
        <f t="shared" si="2"/>
        <v>Diferencia entre máximo y mínimo superior al 30% de la mediana; no excluir atípicos sin justificación.</v>
      </c>
      <c r="AC39" s="428">
        <f t="shared" si="3"/>
        <v>1.4690550658705337</v>
      </c>
      <c r="AD39" s="428">
        <f t="shared" si="4"/>
        <v>0.49114491153784728</v>
      </c>
      <c r="AE39" s="426" t="str">
        <f t="shared" si="5"/>
        <v>Alta</v>
      </c>
      <c r="AF39" s="426" t="str">
        <f t="shared" si="6"/>
        <v>Sí</v>
      </c>
      <c r="AG39" s="426" t="str">
        <f t="shared" si="7"/>
        <v>Mediana referencial sujeta a validación</v>
      </c>
      <c r="AH39" s="426" t="str">
        <f t="shared" si="8"/>
        <v>Sí</v>
      </c>
      <c r="AI39" s="426">
        <f t="shared" si="29"/>
        <v>8</v>
      </c>
      <c r="AJ39" s="424">
        <f t="shared" si="30"/>
        <v>31500</v>
      </c>
      <c r="AK39" s="424">
        <f t="shared" si="31"/>
        <v>101000</v>
      </c>
      <c r="AL39" s="427">
        <f t="shared" si="32"/>
        <v>57384</v>
      </c>
      <c r="AM39" s="424">
        <f t="shared" si="33"/>
        <v>516456</v>
      </c>
      <c r="AN39" s="428">
        <f t="shared" si="9"/>
        <v>8.7745237418254199E-2</v>
      </c>
      <c r="AO39" s="428">
        <f t="shared" si="10"/>
        <v>1.2111389934476509</v>
      </c>
      <c r="AP39" s="426" t="str">
        <f t="shared" si="11"/>
        <v>Alta</v>
      </c>
      <c r="AQ39" s="421" t="str">
        <f t="shared" si="12"/>
        <v>Revisión complementaria</v>
      </c>
      <c r="AR39" s="421" t="str">
        <f t="shared" si="13"/>
        <v>Aun sin extremos persiste dispersión relevante; validar alcance técnico.</v>
      </c>
      <c r="AS39" s="421" t="str">
        <f t="shared" si="14"/>
        <v>Promedio depurado sin extremos</v>
      </c>
      <c r="AT39" s="429">
        <f t="shared" si="15"/>
        <v>57384</v>
      </c>
      <c r="AU39" s="421" t="str">
        <f t="shared" si="16"/>
        <v>Definido con depuración</v>
      </c>
      <c r="AV39" s="421" t="str">
        <f t="shared" si="17"/>
        <v>Mantener valor final y dejar nota de dispersión residual</v>
      </c>
      <c r="AW39" s="421" t="str">
        <f t="shared" si="18"/>
        <v>Por alta dispersión se depura un mínimo y un máximo y se adopta el promedio interior.</v>
      </c>
    </row>
    <row r="40" spans="1:49" ht="15.75" customHeight="1" x14ac:dyDescent="0.35">
      <c r="A40" s="421" t="s">
        <v>489</v>
      </c>
      <c r="B40" s="422">
        <v>36</v>
      </c>
      <c r="C40" s="460" t="s">
        <v>457</v>
      </c>
      <c r="D40" s="460" t="s">
        <v>633</v>
      </c>
      <c r="E40" s="423">
        <v>9</v>
      </c>
      <c r="F40" s="424">
        <v>109000</v>
      </c>
      <c r="G40" s="424">
        <v>42000</v>
      </c>
      <c r="H40" s="424">
        <v>41000</v>
      </c>
      <c r="I40" s="424">
        <v>129800</v>
      </c>
      <c r="J40" s="424">
        <v>118000</v>
      </c>
      <c r="K40" s="424">
        <v>88522</v>
      </c>
      <c r="L40" s="424">
        <v>100489</v>
      </c>
      <c r="M40" s="424"/>
      <c r="N40" s="424">
        <v>27500</v>
      </c>
      <c r="O40" s="424">
        <v>39980</v>
      </c>
      <c r="P40" s="425">
        <f t="shared" si="19"/>
        <v>9</v>
      </c>
      <c r="Q40" s="422">
        <f t="shared" si="20"/>
        <v>4</v>
      </c>
      <c r="R40" s="426" t="str">
        <f t="shared" si="21"/>
        <v>Proc_SECOP II - COT 1</v>
      </c>
      <c r="S40" s="424">
        <f t="shared" si="22"/>
        <v>27500</v>
      </c>
      <c r="T40" s="426" t="str">
        <f t="shared" si="23"/>
        <v>SGI</v>
      </c>
      <c r="U40" s="424">
        <f t="shared" si="24"/>
        <v>129800</v>
      </c>
      <c r="V40" s="427">
        <f t="shared" si="25"/>
        <v>88522</v>
      </c>
      <c r="W40" s="427">
        <f t="shared" si="26"/>
        <v>88522</v>
      </c>
      <c r="X40" s="424">
        <f t="shared" si="27"/>
        <v>796698</v>
      </c>
      <c r="Y40" s="430">
        <f t="shared" si="28"/>
        <v>0</v>
      </c>
      <c r="Z40" s="421" t="str">
        <f t="shared" si="0"/>
        <v>Revisión por dispersión</v>
      </c>
      <c r="AA40" s="421" t="str">
        <f t="shared" si="1"/>
        <v>Validación técnica y segunda ronda</v>
      </c>
      <c r="AB40" s="421" t="str">
        <f t="shared" si="2"/>
        <v>Diferencia entre máximo y mínimo superior al 30% de la mediana; no excluir atípicos sin justificación.</v>
      </c>
      <c r="AC40" s="428">
        <f t="shared" si="3"/>
        <v>1.1556449244255664</v>
      </c>
      <c r="AD40" s="428">
        <f t="shared" si="4"/>
        <v>0.39478612733394336</v>
      </c>
      <c r="AE40" s="426" t="str">
        <f t="shared" si="5"/>
        <v>Alta</v>
      </c>
      <c r="AF40" s="426" t="str">
        <f t="shared" si="6"/>
        <v>Sí</v>
      </c>
      <c r="AG40" s="426" t="str">
        <f t="shared" si="7"/>
        <v>Mediana referencial sujeta a validación</v>
      </c>
      <c r="AH40" s="426" t="str">
        <f t="shared" si="8"/>
        <v>Sí</v>
      </c>
      <c r="AI40" s="426">
        <f t="shared" si="29"/>
        <v>7</v>
      </c>
      <c r="AJ40" s="424">
        <f t="shared" si="30"/>
        <v>39980</v>
      </c>
      <c r="AK40" s="424">
        <f t="shared" si="31"/>
        <v>118000</v>
      </c>
      <c r="AL40" s="427">
        <f t="shared" si="32"/>
        <v>76999</v>
      </c>
      <c r="AM40" s="424">
        <f t="shared" si="33"/>
        <v>692991</v>
      </c>
      <c r="AN40" s="428">
        <f t="shared" si="9"/>
        <v>-0.13017103093016424</v>
      </c>
      <c r="AO40" s="428">
        <f t="shared" si="10"/>
        <v>1.0132599124663957</v>
      </c>
      <c r="AP40" s="426" t="str">
        <f t="shared" si="11"/>
        <v>Alta</v>
      </c>
      <c r="AQ40" s="421" t="str">
        <f t="shared" si="12"/>
        <v>Revisión complementaria</v>
      </c>
      <c r="AR40" s="421" t="str">
        <f t="shared" si="13"/>
        <v>Aun sin extremos persiste dispersión relevante; validar alcance técnico.</v>
      </c>
      <c r="AS40" s="421" t="str">
        <f t="shared" si="14"/>
        <v>Promedio depurado sin extremos</v>
      </c>
      <c r="AT40" s="429">
        <f t="shared" si="15"/>
        <v>76999</v>
      </c>
      <c r="AU40" s="421" t="str">
        <f t="shared" si="16"/>
        <v>Definido con depuración</v>
      </c>
      <c r="AV40" s="421" t="str">
        <f t="shared" si="17"/>
        <v>Mantener valor final y dejar nota de dispersión residual</v>
      </c>
      <c r="AW40" s="421" t="str">
        <f t="shared" si="18"/>
        <v>Por alta dispersión se depura un mínimo y un máximo y se adopta el promedio interior.</v>
      </c>
    </row>
    <row r="41" spans="1:49" ht="15.75" customHeight="1" x14ac:dyDescent="0.35">
      <c r="A41" s="421" t="s">
        <v>489</v>
      </c>
      <c r="B41" s="422">
        <v>37</v>
      </c>
      <c r="C41" s="460" t="s">
        <v>458</v>
      </c>
      <c r="D41" s="460" t="s">
        <v>632</v>
      </c>
      <c r="E41" s="423">
        <v>9</v>
      </c>
      <c r="F41" s="424">
        <v>82000</v>
      </c>
      <c r="G41" s="424">
        <v>44300</v>
      </c>
      <c r="H41" s="424">
        <v>24000</v>
      </c>
      <c r="I41" s="424">
        <v>94400</v>
      </c>
      <c r="J41" s="424">
        <v>101000</v>
      </c>
      <c r="K41" s="424">
        <v>65529</v>
      </c>
      <c r="L41" s="424">
        <v>71560</v>
      </c>
      <c r="M41" s="424"/>
      <c r="N41" s="424">
        <v>38000</v>
      </c>
      <c r="O41" s="424">
        <v>39980</v>
      </c>
      <c r="P41" s="425">
        <f t="shared" si="19"/>
        <v>9</v>
      </c>
      <c r="Q41" s="422">
        <f t="shared" si="20"/>
        <v>4</v>
      </c>
      <c r="R41" s="426" t="str">
        <f t="shared" si="21"/>
        <v>CIMA</v>
      </c>
      <c r="S41" s="424">
        <f t="shared" si="22"/>
        <v>24000</v>
      </c>
      <c r="T41" s="426" t="str">
        <f t="shared" si="23"/>
        <v>Javeriana</v>
      </c>
      <c r="U41" s="424">
        <f t="shared" si="24"/>
        <v>101000</v>
      </c>
      <c r="V41" s="427">
        <f t="shared" si="25"/>
        <v>65529</v>
      </c>
      <c r="W41" s="427">
        <f t="shared" si="26"/>
        <v>65529</v>
      </c>
      <c r="X41" s="424">
        <f t="shared" si="27"/>
        <v>589761</v>
      </c>
      <c r="Y41" s="430">
        <f t="shared" si="28"/>
        <v>0</v>
      </c>
      <c r="Z41" s="421" t="str">
        <f t="shared" si="0"/>
        <v>Revisión por dispersión</v>
      </c>
      <c r="AA41" s="421" t="str">
        <f t="shared" si="1"/>
        <v>Validación técnica y segunda ronda</v>
      </c>
      <c r="AB41" s="421" t="str">
        <f t="shared" si="2"/>
        <v>Diferencia entre máximo y mínimo superior al 30% de la mediana; no excluir atípicos sin justificación.</v>
      </c>
      <c r="AC41" s="428">
        <f t="shared" si="3"/>
        <v>1.1750522669352501</v>
      </c>
      <c r="AD41" s="428">
        <f t="shared" si="4"/>
        <v>0.39671391427381258</v>
      </c>
      <c r="AE41" s="426" t="str">
        <f t="shared" si="5"/>
        <v>Alta</v>
      </c>
      <c r="AF41" s="426" t="str">
        <f t="shared" si="6"/>
        <v>Sí</v>
      </c>
      <c r="AG41" s="426" t="str">
        <f t="shared" si="7"/>
        <v>Mediana referencial sujeta a validación</v>
      </c>
      <c r="AH41" s="426" t="str">
        <f t="shared" si="8"/>
        <v>Sí</v>
      </c>
      <c r="AI41" s="426">
        <f t="shared" si="29"/>
        <v>7</v>
      </c>
      <c r="AJ41" s="424">
        <f t="shared" si="30"/>
        <v>38000</v>
      </c>
      <c r="AK41" s="424">
        <f t="shared" si="31"/>
        <v>94400</v>
      </c>
      <c r="AL41" s="427">
        <f t="shared" si="32"/>
        <v>62253</v>
      </c>
      <c r="AM41" s="424">
        <f t="shared" si="33"/>
        <v>560277</v>
      </c>
      <c r="AN41" s="428">
        <f t="shared" si="9"/>
        <v>-4.9993132811427005E-2</v>
      </c>
      <c r="AO41" s="428">
        <f t="shared" si="10"/>
        <v>0.90598043467784684</v>
      </c>
      <c r="AP41" s="426" t="str">
        <f t="shared" si="11"/>
        <v>Alta</v>
      </c>
      <c r="AQ41" s="421" t="str">
        <f t="shared" si="12"/>
        <v>Revisión complementaria</v>
      </c>
      <c r="AR41" s="421" t="str">
        <f t="shared" si="13"/>
        <v>Aun sin extremos persiste dispersión relevante; validar alcance técnico.</v>
      </c>
      <c r="AS41" s="421" t="str">
        <f t="shared" si="14"/>
        <v>Promedio depurado sin extremos</v>
      </c>
      <c r="AT41" s="429">
        <f t="shared" si="15"/>
        <v>62253</v>
      </c>
      <c r="AU41" s="421" t="str">
        <f t="shared" si="16"/>
        <v>Definido con depuración</v>
      </c>
      <c r="AV41" s="421" t="str">
        <f t="shared" si="17"/>
        <v>Mantener valor final y dejar nota de dispersión residual</v>
      </c>
      <c r="AW41" s="421" t="str">
        <f t="shared" si="18"/>
        <v>Por alta dispersión se depura un mínimo y un máximo y se adopta el promedio interior.</v>
      </c>
    </row>
    <row r="42" spans="1:49" ht="15.75" customHeight="1" x14ac:dyDescent="0.35">
      <c r="A42" s="421" t="s">
        <v>489</v>
      </c>
      <c r="B42" s="422">
        <v>38</v>
      </c>
      <c r="C42" s="460" t="s">
        <v>459</v>
      </c>
      <c r="D42" s="460" t="s">
        <v>632</v>
      </c>
      <c r="E42" s="423">
        <v>9</v>
      </c>
      <c r="F42" s="424">
        <v>82000</v>
      </c>
      <c r="G42" s="424">
        <v>44300</v>
      </c>
      <c r="H42" s="424">
        <v>24000</v>
      </c>
      <c r="I42" s="424">
        <v>94400</v>
      </c>
      <c r="J42" s="424">
        <v>101000</v>
      </c>
      <c r="K42" s="424">
        <v>65529</v>
      </c>
      <c r="L42" s="424">
        <v>71560</v>
      </c>
      <c r="M42" s="424"/>
      <c r="N42" s="424">
        <v>35600</v>
      </c>
      <c r="O42" s="424">
        <v>39980</v>
      </c>
      <c r="P42" s="425">
        <f t="shared" si="19"/>
        <v>9</v>
      </c>
      <c r="Q42" s="422">
        <f t="shared" si="20"/>
        <v>4</v>
      </c>
      <c r="R42" s="426" t="str">
        <f t="shared" si="21"/>
        <v>CIMA</v>
      </c>
      <c r="S42" s="424">
        <f t="shared" si="22"/>
        <v>24000</v>
      </c>
      <c r="T42" s="426" t="str">
        <f t="shared" si="23"/>
        <v>Javeriana</v>
      </c>
      <c r="U42" s="424">
        <f t="shared" si="24"/>
        <v>101000</v>
      </c>
      <c r="V42" s="427">
        <f t="shared" si="25"/>
        <v>65529</v>
      </c>
      <c r="W42" s="427">
        <f t="shared" si="26"/>
        <v>65529</v>
      </c>
      <c r="X42" s="424">
        <f t="shared" si="27"/>
        <v>589761</v>
      </c>
      <c r="Y42" s="430">
        <f t="shared" si="28"/>
        <v>0</v>
      </c>
      <c r="Z42" s="421" t="str">
        <f t="shared" si="0"/>
        <v>Revisión por dispersión</v>
      </c>
      <c r="AA42" s="421" t="str">
        <f t="shared" si="1"/>
        <v>Validación técnica y segunda ronda</v>
      </c>
      <c r="AB42" s="421" t="str">
        <f t="shared" si="2"/>
        <v>Diferencia entre máximo y mínimo superior al 30% de la mediana; no excluir atípicos sin justificación.</v>
      </c>
      <c r="AC42" s="428">
        <f t="shared" si="3"/>
        <v>1.1750522669352501</v>
      </c>
      <c r="AD42" s="428">
        <f t="shared" si="4"/>
        <v>0.39671391427381258</v>
      </c>
      <c r="AE42" s="426" t="str">
        <f t="shared" si="5"/>
        <v>Alta</v>
      </c>
      <c r="AF42" s="426" t="str">
        <f t="shared" si="6"/>
        <v>Sí</v>
      </c>
      <c r="AG42" s="426" t="str">
        <f t="shared" si="7"/>
        <v>Mediana referencial sujeta a validación</v>
      </c>
      <c r="AH42" s="426" t="str">
        <f t="shared" si="8"/>
        <v>Sí</v>
      </c>
      <c r="AI42" s="426">
        <f t="shared" si="29"/>
        <v>7</v>
      </c>
      <c r="AJ42" s="424">
        <f t="shared" si="30"/>
        <v>35600</v>
      </c>
      <c r="AK42" s="424">
        <f t="shared" si="31"/>
        <v>94400</v>
      </c>
      <c r="AL42" s="427">
        <f t="shared" si="32"/>
        <v>61910</v>
      </c>
      <c r="AM42" s="424">
        <f t="shared" si="33"/>
        <v>557190</v>
      </c>
      <c r="AN42" s="428">
        <f t="shared" si="9"/>
        <v>-5.5227456545956753E-2</v>
      </c>
      <c r="AO42" s="428">
        <f t="shared" si="10"/>
        <v>0.94976578904861897</v>
      </c>
      <c r="AP42" s="426" t="str">
        <f t="shared" si="11"/>
        <v>Alta</v>
      </c>
      <c r="AQ42" s="421" t="str">
        <f t="shared" si="12"/>
        <v>Revisión complementaria</v>
      </c>
      <c r="AR42" s="421" t="str">
        <f t="shared" si="13"/>
        <v>Aun sin extremos persiste dispersión relevante; validar alcance técnico.</v>
      </c>
      <c r="AS42" s="421" t="str">
        <f t="shared" si="14"/>
        <v>Promedio depurado sin extremos</v>
      </c>
      <c r="AT42" s="429">
        <f t="shared" si="15"/>
        <v>61910</v>
      </c>
      <c r="AU42" s="421" t="str">
        <f t="shared" si="16"/>
        <v>Definido con depuración</v>
      </c>
      <c r="AV42" s="421" t="str">
        <f t="shared" si="17"/>
        <v>Mantener valor final y dejar nota de dispersión residual</v>
      </c>
      <c r="AW42" s="421" t="str">
        <f t="shared" si="18"/>
        <v>Por alta dispersión se depura un mínimo y un máximo y se adopta el promedio interior.</v>
      </c>
    </row>
    <row r="43" spans="1:49" ht="15.75" customHeight="1" x14ac:dyDescent="0.35">
      <c r="A43" s="421" t="s">
        <v>489</v>
      </c>
      <c r="B43" s="422">
        <v>39</v>
      </c>
      <c r="C43" s="460" t="s">
        <v>460</v>
      </c>
      <c r="D43" s="460" t="s">
        <v>633</v>
      </c>
      <c r="E43" s="423">
        <v>9</v>
      </c>
      <c r="F43" s="424">
        <v>82000</v>
      </c>
      <c r="G43" s="424">
        <v>42000</v>
      </c>
      <c r="H43" s="424">
        <v>41000</v>
      </c>
      <c r="I43" s="424">
        <v>129800</v>
      </c>
      <c r="J43" s="424"/>
      <c r="K43" s="424">
        <v>65529</v>
      </c>
      <c r="L43" s="424"/>
      <c r="M43" s="424"/>
      <c r="N43" s="424">
        <v>31100</v>
      </c>
      <c r="O43" s="424">
        <v>39980</v>
      </c>
      <c r="P43" s="425">
        <f t="shared" si="19"/>
        <v>7</v>
      </c>
      <c r="Q43" s="422">
        <f t="shared" si="20"/>
        <v>4</v>
      </c>
      <c r="R43" s="426" t="str">
        <f t="shared" si="21"/>
        <v>Proc_SECOP II - COT 1</v>
      </c>
      <c r="S43" s="424">
        <f t="shared" si="22"/>
        <v>31100</v>
      </c>
      <c r="T43" s="426" t="str">
        <f t="shared" si="23"/>
        <v>SGI</v>
      </c>
      <c r="U43" s="424">
        <f t="shared" si="24"/>
        <v>129800</v>
      </c>
      <c r="V43" s="427">
        <f t="shared" si="25"/>
        <v>42000</v>
      </c>
      <c r="W43" s="427">
        <f t="shared" si="26"/>
        <v>42000</v>
      </c>
      <c r="X43" s="424">
        <f t="shared" si="27"/>
        <v>378000</v>
      </c>
      <c r="Y43" s="430">
        <f t="shared" si="28"/>
        <v>0</v>
      </c>
      <c r="Z43" s="421" t="str">
        <f t="shared" si="0"/>
        <v>Revisión por dispersión</v>
      </c>
      <c r="AA43" s="421" t="str">
        <f t="shared" si="1"/>
        <v>Validación técnica y segunda ronda</v>
      </c>
      <c r="AB43" s="421" t="str">
        <f t="shared" si="2"/>
        <v>Diferencia entre máximo y mínimo superior al 30% de la mediana; no excluir atípicos sin justificación.</v>
      </c>
      <c r="AC43" s="428">
        <f t="shared" si="3"/>
        <v>2.35</v>
      </c>
      <c r="AD43" s="428">
        <f t="shared" si="4"/>
        <v>0.50717928748513585</v>
      </c>
      <c r="AE43" s="426" t="str">
        <f t="shared" si="5"/>
        <v>Alta</v>
      </c>
      <c r="AF43" s="426" t="str">
        <f t="shared" si="6"/>
        <v>Sí</v>
      </c>
      <c r="AG43" s="426" t="str">
        <f t="shared" si="7"/>
        <v>Mediana referencial sujeta a validación</v>
      </c>
      <c r="AH43" s="426" t="str">
        <f t="shared" si="8"/>
        <v>Sí</v>
      </c>
      <c r="AI43" s="426">
        <f t="shared" si="29"/>
        <v>5</v>
      </c>
      <c r="AJ43" s="424">
        <f t="shared" si="30"/>
        <v>39980</v>
      </c>
      <c r="AK43" s="424">
        <f t="shared" si="31"/>
        <v>82000</v>
      </c>
      <c r="AL43" s="427">
        <f t="shared" si="32"/>
        <v>54102</v>
      </c>
      <c r="AM43" s="424">
        <f t="shared" si="33"/>
        <v>486918</v>
      </c>
      <c r="AN43" s="428">
        <f t="shared" si="9"/>
        <v>0.28814285714285715</v>
      </c>
      <c r="AO43" s="428">
        <f t="shared" si="10"/>
        <v>0.77668108387859969</v>
      </c>
      <c r="AP43" s="426" t="str">
        <f t="shared" si="11"/>
        <v>Alta</v>
      </c>
      <c r="AQ43" s="421" t="str">
        <f t="shared" si="12"/>
        <v>Revisión complementaria</v>
      </c>
      <c r="AR43" s="421" t="str">
        <f t="shared" si="13"/>
        <v>Aun sin extremos persiste dispersión relevante; validar alcance técnico.</v>
      </c>
      <c r="AS43" s="421" t="str">
        <f t="shared" si="14"/>
        <v>Promedio depurado sin extremos</v>
      </c>
      <c r="AT43" s="429">
        <f t="shared" si="15"/>
        <v>54102</v>
      </c>
      <c r="AU43" s="421" t="str">
        <f t="shared" si="16"/>
        <v>Definido con depuración</v>
      </c>
      <c r="AV43" s="421" t="str">
        <f t="shared" si="17"/>
        <v>Mantener valor final y dejar nota de dispersión residual</v>
      </c>
      <c r="AW43" s="421" t="str">
        <f t="shared" si="18"/>
        <v>Por alta dispersión se depura un mínimo y un máximo y se adopta el promedio interior.</v>
      </c>
    </row>
    <row r="44" spans="1:49" ht="15.75" customHeight="1" x14ac:dyDescent="0.35">
      <c r="A44" s="421" t="s">
        <v>489</v>
      </c>
      <c r="B44" s="422">
        <v>47</v>
      </c>
      <c r="C44" s="459" t="s">
        <v>461</v>
      </c>
      <c r="D44" s="459" t="s">
        <v>634</v>
      </c>
      <c r="E44" s="423">
        <v>9</v>
      </c>
      <c r="F44" s="424">
        <v>109000</v>
      </c>
      <c r="G44" s="424">
        <v>52500</v>
      </c>
      <c r="H44" s="424">
        <v>41000</v>
      </c>
      <c r="I44" s="424">
        <v>116800</v>
      </c>
      <c r="J44" s="424"/>
      <c r="K44" s="424">
        <v>100018</v>
      </c>
      <c r="L44" s="424">
        <v>58127</v>
      </c>
      <c r="M44" s="424"/>
      <c r="N44" s="424">
        <v>38900</v>
      </c>
      <c r="O44" s="424">
        <v>54440</v>
      </c>
      <c r="P44" s="425">
        <f t="shared" si="19"/>
        <v>8</v>
      </c>
      <c r="Q44" s="422">
        <f t="shared" si="20"/>
        <v>4</v>
      </c>
      <c r="R44" s="426" t="str">
        <f t="shared" si="21"/>
        <v>Proc_SECOP II - COT 1</v>
      </c>
      <c r="S44" s="424">
        <f t="shared" si="22"/>
        <v>38900</v>
      </c>
      <c r="T44" s="426" t="str">
        <f t="shared" si="23"/>
        <v>SGI</v>
      </c>
      <c r="U44" s="424">
        <f t="shared" si="24"/>
        <v>116800</v>
      </c>
      <c r="V44" s="427">
        <f t="shared" si="25"/>
        <v>56284</v>
      </c>
      <c r="W44" s="427">
        <f t="shared" si="26"/>
        <v>56284</v>
      </c>
      <c r="X44" s="424">
        <f t="shared" si="27"/>
        <v>506556</v>
      </c>
      <c r="Y44" s="430">
        <f t="shared" si="28"/>
        <v>0</v>
      </c>
      <c r="Z44" s="421" t="str">
        <f t="shared" si="0"/>
        <v>Revisión por dispersión</v>
      </c>
      <c r="AA44" s="421" t="str">
        <f t="shared" si="1"/>
        <v>Validación técnica y segunda ronda</v>
      </c>
      <c r="AB44" s="421" t="str">
        <f t="shared" si="2"/>
        <v>Diferencia entre máximo y mínimo superior al 30% de la mediana; no excluir atípicos sin justificación.</v>
      </c>
      <c r="AC44" s="428">
        <f t="shared" si="3"/>
        <v>1.384052306161609</v>
      </c>
      <c r="AD44" s="428">
        <f t="shared" si="4"/>
        <v>0.41109493904632394</v>
      </c>
      <c r="AE44" s="426" t="str">
        <f t="shared" si="5"/>
        <v>Alta</v>
      </c>
      <c r="AF44" s="426" t="str">
        <f t="shared" si="6"/>
        <v>Sí</v>
      </c>
      <c r="AG44" s="426" t="str">
        <f t="shared" si="7"/>
        <v>Mediana referencial sujeta a validación</v>
      </c>
      <c r="AH44" s="426" t="str">
        <f t="shared" si="8"/>
        <v>Sí</v>
      </c>
      <c r="AI44" s="426">
        <f t="shared" si="29"/>
        <v>6</v>
      </c>
      <c r="AJ44" s="424">
        <f t="shared" si="30"/>
        <v>41000</v>
      </c>
      <c r="AK44" s="424">
        <f t="shared" si="31"/>
        <v>109000</v>
      </c>
      <c r="AL44" s="427">
        <f t="shared" si="32"/>
        <v>69181</v>
      </c>
      <c r="AM44" s="424">
        <f t="shared" si="33"/>
        <v>622629</v>
      </c>
      <c r="AN44" s="428">
        <f t="shared" si="9"/>
        <v>0.22914149669533082</v>
      </c>
      <c r="AO44" s="428">
        <f t="shared" si="10"/>
        <v>0.98292883884303495</v>
      </c>
      <c r="AP44" s="426" t="str">
        <f t="shared" si="11"/>
        <v>Alta</v>
      </c>
      <c r="AQ44" s="421" t="str">
        <f t="shared" si="12"/>
        <v>Revisión complementaria</v>
      </c>
      <c r="AR44" s="421" t="str">
        <f t="shared" si="13"/>
        <v>Aun sin extremos persiste dispersión relevante; validar alcance técnico.</v>
      </c>
      <c r="AS44" s="421" t="str">
        <f t="shared" si="14"/>
        <v>Promedio depurado sin extremos</v>
      </c>
      <c r="AT44" s="429">
        <f t="shared" si="15"/>
        <v>69181</v>
      </c>
      <c r="AU44" s="421" t="str">
        <f t="shared" si="16"/>
        <v>Definido con depuración</v>
      </c>
      <c r="AV44" s="421" t="str">
        <f t="shared" si="17"/>
        <v>Mantener valor final y dejar nota de dispersión residual</v>
      </c>
      <c r="AW44" s="421" t="str">
        <f t="shared" si="18"/>
        <v>Por alta dispersión se depura un mínimo y un máximo y se adopta el promedio interior.</v>
      </c>
    </row>
    <row r="45" spans="1:49" ht="15.75" customHeight="1" x14ac:dyDescent="0.35">
      <c r="A45" s="421" t="s">
        <v>489</v>
      </c>
      <c r="B45" s="422">
        <v>48</v>
      </c>
      <c r="C45" s="459" t="s">
        <v>462</v>
      </c>
      <c r="D45" s="459" t="s">
        <v>634</v>
      </c>
      <c r="E45" s="423">
        <v>9</v>
      </c>
      <c r="F45" s="424">
        <v>109000</v>
      </c>
      <c r="G45" s="424">
        <v>52500</v>
      </c>
      <c r="H45" s="424">
        <v>41000</v>
      </c>
      <c r="I45" s="424">
        <v>116800</v>
      </c>
      <c r="J45" s="424"/>
      <c r="K45" s="424">
        <v>100018</v>
      </c>
      <c r="L45" s="424">
        <v>58127</v>
      </c>
      <c r="M45" s="424"/>
      <c r="N45" s="424">
        <v>35600</v>
      </c>
      <c r="O45" s="424">
        <v>54440</v>
      </c>
      <c r="P45" s="425">
        <f t="shared" si="19"/>
        <v>8</v>
      </c>
      <c r="Q45" s="422">
        <f t="shared" si="20"/>
        <v>4</v>
      </c>
      <c r="R45" s="426" t="str">
        <f t="shared" si="21"/>
        <v>Proc_SECOP II - COT 1</v>
      </c>
      <c r="S45" s="424">
        <f t="shared" si="22"/>
        <v>35600</v>
      </c>
      <c r="T45" s="426" t="str">
        <f t="shared" si="23"/>
        <v>SGI</v>
      </c>
      <c r="U45" s="424">
        <f t="shared" si="24"/>
        <v>116800</v>
      </c>
      <c r="V45" s="427">
        <f t="shared" si="25"/>
        <v>56284</v>
      </c>
      <c r="W45" s="427">
        <f t="shared" si="26"/>
        <v>56284</v>
      </c>
      <c r="X45" s="424">
        <f t="shared" si="27"/>
        <v>506556</v>
      </c>
      <c r="Y45" s="430">
        <f t="shared" si="28"/>
        <v>0</v>
      </c>
      <c r="Z45" s="421" t="str">
        <f t="shared" si="0"/>
        <v>Revisión por dispersión</v>
      </c>
      <c r="AA45" s="421" t="str">
        <f t="shared" si="1"/>
        <v>Validación técnica y segunda ronda</v>
      </c>
      <c r="AB45" s="421" t="str">
        <f t="shared" si="2"/>
        <v>Diferencia entre máximo y mínimo superior al 30% de la mediana; no excluir atípicos sin justificación.</v>
      </c>
      <c r="AC45" s="428">
        <f t="shared" si="3"/>
        <v>1.4426835335086348</v>
      </c>
      <c r="AD45" s="428">
        <f t="shared" si="4"/>
        <v>0.41109493904632394</v>
      </c>
      <c r="AE45" s="426" t="str">
        <f t="shared" si="5"/>
        <v>Alta</v>
      </c>
      <c r="AF45" s="426" t="str">
        <f t="shared" si="6"/>
        <v>Sí</v>
      </c>
      <c r="AG45" s="426" t="str">
        <f t="shared" si="7"/>
        <v>Mediana referencial sujeta a validación</v>
      </c>
      <c r="AH45" s="426" t="str">
        <f t="shared" si="8"/>
        <v>Sí</v>
      </c>
      <c r="AI45" s="426">
        <f t="shared" si="29"/>
        <v>6</v>
      </c>
      <c r="AJ45" s="424">
        <f t="shared" si="30"/>
        <v>41000</v>
      </c>
      <c r="AK45" s="424">
        <f t="shared" si="31"/>
        <v>109000</v>
      </c>
      <c r="AL45" s="427">
        <f t="shared" si="32"/>
        <v>69181</v>
      </c>
      <c r="AM45" s="424">
        <f t="shared" si="33"/>
        <v>622629</v>
      </c>
      <c r="AN45" s="428">
        <f t="shared" si="9"/>
        <v>0.22914149669533082</v>
      </c>
      <c r="AO45" s="428">
        <f t="shared" si="10"/>
        <v>0.98292883884303495</v>
      </c>
      <c r="AP45" s="426" t="str">
        <f t="shared" si="11"/>
        <v>Alta</v>
      </c>
      <c r="AQ45" s="421" t="str">
        <f t="shared" si="12"/>
        <v>Revisión complementaria</v>
      </c>
      <c r="AR45" s="421" t="str">
        <f t="shared" si="13"/>
        <v>Aun sin extremos persiste dispersión relevante; validar alcance técnico.</v>
      </c>
      <c r="AS45" s="421" t="str">
        <f t="shared" si="14"/>
        <v>Promedio depurado sin extremos</v>
      </c>
      <c r="AT45" s="429">
        <f t="shared" si="15"/>
        <v>69181</v>
      </c>
      <c r="AU45" s="421" t="str">
        <f t="shared" si="16"/>
        <v>Definido con depuración</v>
      </c>
      <c r="AV45" s="421" t="str">
        <f t="shared" si="17"/>
        <v>Mantener valor final y dejar nota de dispersión residual</v>
      </c>
      <c r="AW45" s="421" t="str">
        <f t="shared" si="18"/>
        <v>Por alta dispersión se depura un mínimo y un máximo y se adopta el promedio interior.</v>
      </c>
    </row>
    <row r="46" spans="1:49" ht="15.75" customHeight="1" x14ac:dyDescent="0.35">
      <c r="A46" s="421" t="s">
        <v>489</v>
      </c>
      <c r="B46" s="422">
        <v>49</v>
      </c>
      <c r="C46" s="459" t="s">
        <v>150</v>
      </c>
      <c r="D46" s="459" t="s">
        <v>634</v>
      </c>
      <c r="E46" s="423">
        <v>9</v>
      </c>
      <c r="F46" s="424">
        <v>109000</v>
      </c>
      <c r="G46" s="424">
        <v>52500</v>
      </c>
      <c r="H46" s="424">
        <v>41000</v>
      </c>
      <c r="I46" s="424">
        <v>116800</v>
      </c>
      <c r="J46" s="424"/>
      <c r="K46" s="424">
        <v>100018</v>
      </c>
      <c r="L46" s="424">
        <v>58127</v>
      </c>
      <c r="M46" s="424"/>
      <c r="N46" s="424">
        <v>60700</v>
      </c>
      <c r="O46" s="424">
        <v>54440</v>
      </c>
      <c r="P46" s="425">
        <f t="shared" si="19"/>
        <v>8</v>
      </c>
      <c r="Q46" s="422">
        <f t="shared" si="20"/>
        <v>4</v>
      </c>
      <c r="R46" s="426" t="str">
        <f t="shared" si="21"/>
        <v>CIMA</v>
      </c>
      <c r="S46" s="424">
        <f t="shared" si="22"/>
        <v>41000</v>
      </c>
      <c r="T46" s="426" t="str">
        <f t="shared" si="23"/>
        <v>SGI</v>
      </c>
      <c r="U46" s="424">
        <f t="shared" si="24"/>
        <v>116800</v>
      </c>
      <c r="V46" s="427">
        <f t="shared" si="25"/>
        <v>59414</v>
      </c>
      <c r="W46" s="427">
        <f t="shared" si="26"/>
        <v>59414</v>
      </c>
      <c r="X46" s="424">
        <f t="shared" si="27"/>
        <v>534726</v>
      </c>
      <c r="Y46" s="430">
        <f t="shared" si="28"/>
        <v>0</v>
      </c>
      <c r="Z46" s="421" t="str">
        <f t="shared" si="0"/>
        <v>Revisión por dispersión</v>
      </c>
      <c r="AA46" s="421" t="str">
        <f t="shared" si="1"/>
        <v>Validación técnica y segunda ronda</v>
      </c>
      <c r="AB46" s="421" t="str">
        <f t="shared" si="2"/>
        <v>Diferencia entre máximo y mínimo superior al 30% de la mediana; no excluir atípicos sin justificación.</v>
      </c>
      <c r="AC46" s="428">
        <f t="shared" si="3"/>
        <v>1.2757935840037702</v>
      </c>
      <c r="AD46" s="428">
        <f t="shared" si="4"/>
        <v>0.41109493904632394</v>
      </c>
      <c r="AE46" s="426" t="str">
        <f t="shared" si="5"/>
        <v>Alta</v>
      </c>
      <c r="AF46" s="426" t="str">
        <f t="shared" si="6"/>
        <v>Sí</v>
      </c>
      <c r="AG46" s="426" t="str">
        <f t="shared" si="7"/>
        <v>Mediana referencial sujeta a validación</v>
      </c>
      <c r="AH46" s="426" t="str">
        <f t="shared" si="8"/>
        <v>Sí</v>
      </c>
      <c r="AI46" s="426">
        <f t="shared" si="29"/>
        <v>6</v>
      </c>
      <c r="AJ46" s="424">
        <f t="shared" si="30"/>
        <v>52500</v>
      </c>
      <c r="AK46" s="424">
        <f t="shared" si="31"/>
        <v>109000</v>
      </c>
      <c r="AL46" s="427">
        <f t="shared" si="32"/>
        <v>72464</v>
      </c>
      <c r="AM46" s="424">
        <f t="shared" si="33"/>
        <v>652176</v>
      </c>
      <c r="AN46" s="428">
        <f t="shared" si="9"/>
        <v>0.21964520146766756</v>
      </c>
      <c r="AO46" s="428">
        <f t="shared" si="10"/>
        <v>0.77969750496798407</v>
      </c>
      <c r="AP46" s="426" t="str">
        <f t="shared" si="11"/>
        <v>Alta</v>
      </c>
      <c r="AQ46" s="421" t="str">
        <f t="shared" si="12"/>
        <v>Revisión complementaria</v>
      </c>
      <c r="AR46" s="421" t="str">
        <f t="shared" si="13"/>
        <v>Aun sin extremos persiste dispersión relevante; validar alcance técnico.</v>
      </c>
      <c r="AS46" s="421" t="str">
        <f t="shared" si="14"/>
        <v>Promedio depurado sin extremos</v>
      </c>
      <c r="AT46" s="429">
        <f t="shared" si="15"/>
        <v>72464</v>
      </c>
      <c r="AU46" s="421" t="str">
        <f t="shared" si="16"/>
        <v>Definido con depuración</v>
      </c>
      <c r="AV46" s="421" t="str">
        <f t="shared" si="17"/>
        <v>Mantener valor final y dejar nota de dispersión residual</v>
      </c>
      <c r="AW46" s="421" t="str">
        <f t="shared" si="18"/>
        <v>Por alta dispersión se depura un mínimo y un máximo y se adopta el promedio interior.</v>
      </c>
    </row>
    <row r="47" spans="1:49" ht="15.75" customHeight="1" x14ac:dyDescent="0.35">
      <c r="A47" s="421" t="s">
        <v>475</v>
      </c>
      <c r="B47" s="426"/>
      <c r="C47" s="421"/>
      <c r="D47" s="421"/>
      <c r="E47" s="431"/>
      <c r="F47" s="424"/>
      <c r="G47" s="424"/>
      <c r="H47" s="424"/>
      <c r="I47" s="424"/>
      <c r="J47" s="424"/>
      <c r="K47" s="424"/>
      <c r="L47" s="424"/>
      <c r="M47" s="424"/>
      <c r="N47" s="424"/>
      <c r="O47" s="424"/>
      <c r="P47" s="425">
        <f t="shared" si="19"/>
        <v>0</v>
      </c>
      <c r="Q47" s="422">
        <f t="shared" ref="Q47" si="34">COUNT(F47:I47)</f>
        <v>0</v>
      </c>
      <c r="R47" s="426" t="str">
        <f t="shared" si="21"/>
        <v/>
      </c>
      <c r="S47" s="424" t="str">
        <f t="shared" si="22"/>
        <v/>
      </c>
      <c r="T47" s="426" t="str">
        <f t="shared" si="23"/>
        <v/>
      </c>
      <c r="U47" s="424" t="str">
        <f t="shared" si="24"/>
        <v/>
      </c>
      <c r="V47" s="427" t="str">
        <f t="shared" si="25"/>
        <v/>
      </c>
      <c r="W47" s="427" t="str">
        <f t="shared" ref="W47" si="35">IF(P47=0,"",IF(P47&gt;=3,ROUND(MEDIAN(F47:M47),0),IF(P47=2,ROUND(AVERAGE(F47:M47),0),MAX(F47:M47))))</f>
        <v/>
      </c>
      <c r="X47" s="424" t="str">
        <f t="shared" ref="X47" si="36">IF(OR(E47="",W47=""),"",E47*W47)</f>
        <v/>
      </c>
      <c r="Y47" s="428" t="str">
        <f t="shared" ref="Y47" si="37">IFERROR((W47-V47)/V47,"")</f>
        <v/>
      </c>
      <c r="Z47" s="421" t="str">
        <f t="shared" ref="Z47" si="38">IF(P47=0,"Sin soporte",IF(AF47="Sí","Revisión por dispersión",IF(Q47&lt;=1,"Único soporte formal",IF(P47&gt;=4,"Robusto",IF(P47=3,"Aceptable","Débil")))))</f>
        <v>Sin soporte</v>
      </c>
      <c r="AA47" s="421" t="str">
        <f t="shared" ref="AA47" si="39">IF(P47=0,"Buscar referencias adicionales",IF(Q47&lt;=1,"Solicitar 2 cotizaciones adicionales",IF(AF47="Sí","Validación técnica y segunda ronda",IF(P47=2,"Solicitar 1 cotización adicional","No obligatoria"))))</f>
        <v>Buscar referencias adicionales</v>
      </c>
      <c r="AB47" s="421" t="str">
        <f t="shared" ref="AB47" si="40">IF(P47=0,"Sin referencias comparables.",IF(AF47="Sí","Diferencia entre máximo y mínimo superior al 30% de la mediana; no excluir atípicos sin justificación.",IF(Q47&lt;=1,"Solo existe 1 soporte formal comparable.",IF(P47=2,"Solo hay 2 referencias de mercado; completar pluralidad.","Comparación con mercado suficiente para fijar precio de referencia."))))</f>
        <v>Sin referencias comparables.</v>
      </c>
      <c r="AC47" s="428" t="str">
        <f t="shared" ref="AC47" si="41">IFERROR((U47-S47)/V47,"")</f>
        <v/>
      </c>
      <c r="AD47" s="428" t="str">
        <f t="shared" ref="AD47" si="42">IF(COUNT(F47:M47)&gt;1,STDEV(F47:M47)/AVERAGE(F47:M47),"")</f>
        <v/>
      </c>
      <c r="AE47" s="426" t="str">
        <f t="shared" ref="AE47" si="43">IF(P47=0,"Sin soportes",IF(P47=1,"Soporte único",IF(AC47&lt;=0.15,"Baja",IF(AC47&lt;=0.3,"Media","Alta"))))</f>
        <v>Sin soportes</v>
      </c>
      <c r="AF47" s="426" t="str">
        <f t="shared" ref="AF47" si="44">IF(AND(P47&gt;1,AC47&gt;0.3),"Sí","No")</f>
        <v>No</v>
      </c>
      <c r="AG47" s="426" t="str">
        <f t="shared" ref="AG47" si="45">IF(P47=0,"Sin referencia",IF(P47=1,"Precio único provisional",IF(AF47="Sí","Mediana referencial sujeta a validación",IF(P47&gt;=3,"Mediana",IF(P47=2,"Promedio","")))))</f>
        <v>Sin referencia</v>
      </c>
      <c r="AH47" s="426" t="str">
        <f t="shared" ref="AH47" si="46">IF(P47&gt;=3,"Sí","No")</f>
        <v>No</v>
      </c>
      <c r="AI47" s="426">
        <f t="shared" ref="AI47" si="47">IF(P47&gt;=3,P47-2,P47)</f>
        <v>0</v>
      </c>
      <c r="AJ47" s="424" t="str">
        <f t="shared" si="30"/>
        <v/>
      </c>
      <c r="AK47" s="424" t="str">
        <f t="shared" si="31"/>
        <v/>
      </c>
      <c r="AL47" s="427" t="str">
        <f t="shared" si="32"/>
        <v/>
      </c>
      <c r="AM47" s="424" t="str">
        <f t="shared" ref="AM47" si="48">IF(OR(E47="",AL47=""),"",E47*AL47)</f>
        <v/>
      </c>
      <c r="AN47" s="428" t="str">
        <f t="shared" ref="AN47" si="49">IFERROR((AL47-V47)/V47,"")</f>
        <v/>
      </c>
      <c r="AO47" s="428" t="str">
        <f t="shared" ref="AO47" si="50">IFERROR((AK47-AJ47)/AL47,"")</f>
        <v/>
      </c>
      <c r="AP47" s="426" t="str">
        <f t="shared" ref="AP47" si="51">IF(AI47=0,"Sin soportes",IF(AI47=1,"Soporte único",IF(AO47&lt;=0.15,"Baja",IF(AO47&lt;=0.3,"Media","Alta"))))</f>
        <v>Sin soportes</v>
      </c>
      <c r="AQ47" s="421" t="str">
        <f t="shared" ref="AQ47" si="52">IF(P47=0,"Sin referencia",IF(P47&lt;3,"Sin recorte por soportes insuficientes",IF(AP47="Alta","Revisión complementaria","Precio depurado útil")))</f>
        <v>Sin referencia</v>
      </c>
      <c r="AR47" s="421" t="str">
        <f t="shared" ref="AR47" si="53">IF(P47&lt;3,"No se eliminan extremos porque no hay pluralidad suficiente.",IF(AP47="Alta","Aun sin extremos persiste dispersión relevante; validar alcance técnico.","Se retiró un mínimo y un máximo para prueba de sensibilidad del mercado."))</f>
        <v>No se eliminan extremos porque no hay pluralidad suficiente.</v>
      </c>
      <c r="AS47" s="421" t="str">
        <f t="shared" ref="AS47" si="54">IF(P47=0,"Sin referencia",IF(P47=1,"Valor único de mercado",IF(AND(P47&gt;=4,AE47="Alta"),"Promedio depurado sin extremos",IF(AND(P47&gt;=3,AE47="Alta"),"Mediana de mercado (sin depuración fuerte)",IF(P47&gt;=3,"Mediana de mercado","Promedio simple de mercado")))))</f>
        <v>Sin referencia</v>
      </c>
      <c r="AT47" s="429" t="str">
        <f t="shared" ref="AT47" si="55">IF(P47=0,"",IF(AND(P47&gt;=4,AE47="Alta",AL47&lt;&gt;""),AL47,W47))</f>
        <v/>
      </c>
      <c r="AU47" s="421" t="str">
        <f t="shared" ref="AU47" si="56">IF(P47=0,"Sin precio",IF(P47=1,"Provisional: soporte único",IF(P47=2,"Definido con 2 soportes",IF(AND(P47&gt;=4,AE47="Alta"),"Definido con depuración","Definido"))))</f>
        <v>Sin precio</v>
      </c>
      <c r="AV47" s="421" t="str">
        <f t="shared" ref="AV47" si="57">IF(P47=0,"Buscar mercado adicional",IF(P47=1,"Solicitar mínimo 2 cotizaciones adicionales",IF(P47=2,"Conveniente solicitar 1 cotización adicional",IF(AND(P47&gt;=4,AE47="Alta",AP47="Alta"),"Mantener valor final y dejar nota de dispersión residual",IF(AND(P47&gt;=4,AE47="Alta"),"Usar valor depurado y conservar trazabilidad de extremos","Usar valor final recomendado")))))</f>
        <v>Buscar mercado adicional</v>
      </c>
      <c r="AW47" s="421" t="str">
        <f t="shared" ref="AW47" si="58">IF(P47=0,"No hay soporte comparable.",IF(P47=1,"El valor final corresponde al único soporte comparable disponible.",IF(AND(P47&gt;=4,AE47="Alta"),"Por alta dispersión se depura un mínimo y un máximo y se adopta el promedio interior.",IF(P47&gt;=3,"Se adopta la mediana del mercado por ser una medida robusta.","Con 2 soportes se usa el promedio simple de mercado."))))</f>
        <v>No hay soporte comparable.</v>
      </c>
    </row>
  </sheetData>
  <mergeCells count="9">
    <mergeCell ref="F5:J5"/>
    <mergeCell ref="F2:J2"/>
    <mergeCell ref="F4:J4"/>
    <mergeCell ref="F3:J3"/>
    <mergeCell ref="A1:J1"/>
    <mergeCell ref="C2:D2"/>
    <mergeCell ref="C3:D3"/>
    <mergeCell ref="C4:D4"/>
    <mergeCell ref="C5:D5"/>
  </mergeCells>
  <phoneticPr fontId="5" type="noConversion"/>
  <conditionalFormatting sqref="F7:O47">
    <cfRule type="expression" dxfId="8" priority="1" stopIfTrue="1">
      <formula>AND(ISNUMBER(F7),F7=MIN($F7:$O7))</formula>
    </cfRule>
    <cfRule type="expression" dxfId="7" priority="2" stopIfTrue="1">
      <formula>AND(ISNUMBER(F7),F7=MAX($F7:$O7))</formula>
    </cfRule>
    <cfRule type="expression" dxfId="6" priority="3" stopIfTrue="1">
      <formula>AND(ISNUMBER(F7),F7&gt;MIN($F7:$O7),F7&lt;MAX($F7:$O7),F7&lt;=AVERAGE($F7:$O7))</formula>
    </cfRule>
    <cfRule type="expression" dxfId="5" priority="4" stopIfTrue="1">
      <formula>AND(ISNUMBER(F7),F7&gt;MIN($F7:$O7),F7&lt;MAX($F7:$O7),F7&gt;AVERAGE($F7:$O7))</formula>
    </cfRule>
  </conditionalFormatting>
  <hyperlinks>
    <hyperlink ref="A1:J1" location="'TABLERO CONTROL'!A1" display="ESTUDIO DE MERCADO Y PRESUPUESTO" xr:uid="{A908F73D-8768-4059-93EA-EF9D2B50768F}"/>
  </hyperlinks>
  <pageMargins left="0.7" right="0.7" top="0.75" bottom="0.75" header="0.3" footer="0.3"/>
  <ignoredErrors>
    <ignoredError sqref="Q8:Q18 Q47 Q40:Q43 Q44:Q46 Q19:Q39 P7:Q7 P8:P46 S7 X8:AI18 W47:AI47 X40:AI43 X44:AI46 X19:AI39 S8:S46 W7 U7:U46 V7:V46 W8:W46 Z7:AH7 AN7:AT7 AM8:AT18 AM47:AT47 AM40:AT43 AM44:AT46 AM19:AT39 AL7:AL46 AU7:AW7 AU8:AW18 AU47:AW47 AU40:AW43 AU44:AW46 AU19:AW39" formulaRange="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FF04-3979-4FDE-A6FA-EA6C49196E46}">
  <dimension ref="A1:AT14"/>
  <sheetViews>
    <sheetView workbookViewId="0">
      <selection activeCell="F18" sqref="F18"/>
    </sheetView>
  </sheetViews>
  <sheetFormatPr defaultColWidth="8.73046875" defaultRowHeight="11.65" x14ac:dyDescent="0.35"/>
  <cols>
    <col min="1" max="1" width="24" style="461" customWidth="1"/>
    <col min="2" max="2" width="5" style="461" customWidth="1"/>
    <col min="3" max="3" width="22.1328125" style="461" customWidth="1"/>
    <col min="4" max="4" width="11.59765625" style="461" customWidth="1"/>
    <col min="5" max="5" width="10" style="461" customWidth="1"/>
    <col min="6" max="6" width="8.86328125" style="461" customWidth="1"/>
    <col min="7" max="8" width="8" style="461" customWidth="1"/>
    <col min="9" max="9" width="7.265625" style="461" bestFit="1" customWidth="1"/>
    <col min="10" max="10" width="8" style="461" bestFit="1" customWidth="1"/>
    <col min="11" max="11" width="8.3984375" style="461" bestFit="1" customWidth="1"/>
    <col min="12" max="12" width="6.73046875" style="461" bestFit="1" customWidth="1"/>
    <col min="13" max="13" width="9.3984375" style="461" customWidth="1"/>
    <col min="14" max="14" width="10.265625" style="461" customWidth="1"/>
    <col min="15" max="15" width="12.73046875" style="461" customWidth="1"/>
    <col min="16" max="16" width="11.265625" style="461" customWidth="1"/>
    <col min="17" max="17" width="12.1328125" style="461" customWidth="1"/>
    <col min="18" max="22" width="11.265625" style="461" customWidth="1"/>
    <col min="23" max="23" width="18" style="461" customWidth="1"/>
    <col min="24" max="24" width="28" style="461" customWidth="1"/>
    <col min="25" max="25" width="62" style="461" customWidth="1"/>
    <col min="26" max="28" width="10.3984375" style="461" customWidth="1"/>
    <col min="29" max="29" width="14" style="461" customWidth="1"/>
    <col min="30" max="30" width="24.265625" style="461" customWidth="1"/>
    <col min="31" max="31" width="10.1328125" style="461" bestFit="1" customWidth="1"/>
    <col min="32" max="32" width="11" style="461" bestFit="1" customWidth="1"/>
    <col min="33" max="34" width="12" style="461" customWidth="1"/>
    <col min="35" max="35" width="14.3984375" style="461" bestFit="1" customWidth="1"/>
    <col min="36" max="36" width="11.1328125" style="461" bestFit="1" customWidth="1"/>
    <col min="37" max="37" width="12.3984375" style="461" bestFit="1" customWidth="1"/>
    <col min="38" max="38" width="15.86328125" style="461" bestFit="1" customWidth="1"/>
    <col min="39" max="39" width="14.265625" style="461" bestFit="1" customWidth="1"/>
    <col min="40" max="40" width="17.73046875" style="461" bestFit="1" customWidth="1"/>
    <col min="41" max="41" width="46.59765625" style="461" bestFit="1" customWidth="1"/>
    <col min="42" max="42" width="16.1328125" style="461" customWidth="1"/>
    <col min="43" max="43" width="18" style="461" customWidth="1"/>
    <col min="44" max="44" width="14.1328125" style="461" bestFit="1" customWidth="1"/>
    <col min="45" max="45" width="16.1328125" style="461" bestFit="1" customWidth="1"/>
    <col min="46" max="46" width="83.3984375" style="461" customWidth="1"/>
    <col min="47" max="16384" width="8.73046875" style="461"/>
  </cols>
  <sheetData>
    <row r="1" spans="1:46" ht="23.25" customHeight="1" x14ac:dyDescent="0.35">
      <c r="A1" s="841" t="s">
        <v>551</v>
      </c>
      <c r="B1" s="841"/>
      <c r="C1" s="841"/>
      <c r="D1" s="841"/>
      <c r="E1" s="841"/>
      <c r="F1" s="841"/>
      <c r="G1" s="841"/>
      <c r="H1" s="841"/>
      <c r="I1" s="841"/>
      <c r="J1" s="841"/>
      <c r="K1" s="841"/>
      <c r="L1" s="841"/>
      <c r="M1" s="841"/>
      <c r="N1" s="841"/>
      <c r="O1" s="841"/>
      <c r="P1" s="841"/>
      <c r="Q1" s="841"/>
      <c r="R1" s="479"/>
      <c r="S1" s="479"/>
      <c r="T1" s="479"/>
      <c r="U1" s="479"/>
      <c r="V1" s="479"/>
      <c r="W1" s="479"/>
      <c r="X1" s="479"/>
      <c r="Y1" s="479"/>
      <c r="Z1" s="479"/>
      <c r="AA1" s="479"/>
      <c r="AB1" s="479"/>
      <c r="AC1" s="479"/>
      <c r="AD1" s="479"/>
      <c r="AE1" s="479"/>
      <c r="AF1" s="479"/>
      <c r="AG1" s="479"/>
      <c r="AH1" s="479"/>
      <c r="AI1" s="479"/>
      <c r="AJ1" s="479"/>
      <c r="AK1" s="479"/>
      <c r="AL1" s="479"/>
      <c r="AM1" s="479"/>
      <c r="AN1" s="479"/>
      <c r="AO1" s="479"/>
      <c r="AP1" s="479"/>
      <c r="AQ1" s="479"/>
      <c r="AR1" s="479"/>
      <c r="AS1" s="479"/>
      <c r="AT1" s="479"/>
    </row>
    <row r="2" spans="1:46" ht="23.25" x14ac:dyDescent="0.35">
      <c r="A2" s="442" t="s">
        <v>79</v>
      </c>
      <c r="B2" s="442" t="s">
        <v>389</v>
      </c>
      <c r="C2" s="442" t="s">
        <v>480</v>
      </c>
      <c r="D2" s="442" t="s">
        <v>482</v>
      </c>
      <c r="E2" s="831" t="s">
        <v>481</v>
      </c>
      <c r="F2" s="832"/>
      <c r="G2" s="832"/>
      <c r="H2" s="832"/>
      <c r="I2" s="832"/>
      <c r="J2" s="832"/>
      <c r="K2" s="831" t="s">
        <v>502</v>
      </c>
      <c r="L2" s="832"/>
      <c r="M2" s="832"/>
      <c r="N2" s="832"/>
      <c r="O2" s="832"/>
      <c r="P2" s="832"/>
      <c r="Q2" s="832"/>
      <c r="R2" s="462"/>
      <c r="S2" s="462"/>
      <c r="T2" s="462"/>
      <c r="U2" s="462"/>
      <c r="V2" s="462"/>
      <c r="W2" s="462"/>
      <c r="X2" s="462"/>
      <c r="Y2" s="462"/>
      <c r="Z2" s="462"/>
      <c r="AA2" s="462"/>
      <c r="AB2" s="462"/>
      <c r="AC2" s="462"/>
      <c r="AD2" s="462"/>
      <c r="AE2" s="462"/>
      <c r="AF2" s="462"/>
      <c r="AG2" s="462"/>
      <c r="AH2" s="462"/>
      <c r="AI2" s="462"/>
      <c r="AJ2" s="462"/>
      <c r="AK2" s="462"/>
      <c r="AL2" s="462"/>
      <c r="AM2" s="462"/>
      <c r="AN2" s="462"/>
      <c r="AO2" s="462"/>
      <c r="AP2" s="462"/>
      <c r="AQ2" s="462"/>
      <c r="AR2" s="462"/>
      <c r="AS2" s="462"/>
      <c r="AT2" s="462"/>
    </row>
    <row r="3" spans="1:46" ht="41.25" customHeight="1" x14ac:dyDescent="0.35">
      <c r="A3" s="492" t="s">
        <v>519</v>
      </c>
      <c r="B3" s="480" t="s">
        <v>1</v>
      </c>
      <c r="C3" s="481">
        <f>AQ9</f>
        <v>3800333</v>
      </c>
      <c r="D3" s="483">
        <v>9</v>
      </c>
      <c r="E3" s="835" t="s">
        <v>499</v>
      </c>
      <c r="F3" s="835"/>
      <c r="G3" s="835"/>
      <c r="H3" s="835"/>
      <c r="I3" s="835"/>
      <c r="J3" s="835"/>
      <c r="K3" s="663" t="s">
        <v>520</v>
      </c>
      <c r="L3" s="864"/>
      <c r="M3" s="864"/>
      <c r="N3" s="864"/>
      <c r="O3" s="864"/>
      <c r="P3" s="864"/>
      <c r="Q3" s="864"/>
      <c r="R3" s="462"/>
      <c r="S3" s="462"/>
      <c r="T3" s="462"/>
      <c r="U3" s="462"/>
      <c r="V3" s="462"/>
      <c r="W3" s="462"/>
      <c r="X3" s="462"/>
      <c r="Y3" s="462"/>
      <c r="Z3" s="462"/>
      <c r="AA3" s="462"/>
      <c r="AB3" s="462"/>
      <c r="AC3" s="462"/>
      <c r="AD3" s="462"/>
      <c r="AE3" s="462"/>
      <c r="AF3" s="462"/>
      <c r="AG3" s="462"/>
      <c r="AH3" s="462"/>
      <c r="AI3" s="462"/>
      <c r="AJ3" s="462"/>
      <c r="AK3" s="462"/>
      <c r="AL3" s="462"/>
      <c r="AM3" s="462"/>
      <c r="AN3" s="462"/>
      <c r="AO3" s="462"/>
      <c r="AP3" s="462"/>
      <c r="AQ3" s="462"/>
      <c r="AR3" s="462"/>
      <c r="AS3" s="462"/>
      <c r="AT3" s="462"/>
    </row>
    <row r="4" spans="1:46" ht="20.25" customHeight="1" x14ac:dyDescent="0.35">
      <c r="A4" s="868" t="s">
        <v>497</v>
      </c>
      <c r="B4" s="870" t="s">
        <v>2</v>
      </c>
      <c r="C4" s="481">
        <f>C5/2</f>
        <v>1388000</v>
      </c>
      <c r="D4" s="483">
        <v>40</v>
      </c>
      <c r="E4" s="866" t="s">
        <v>568</v>
      </c>
      <c r="F4" s="866"/>
      <c r="G4" s="866"/>
      <c r="H4" s="866"/>
      <c r="I4" s="866"/>
      <c r="J4" s="866"/>
      <c r="K4" s="663" t="s">
        <v>504</v>
      </c>
      <c r="L4" s="864"/>
      <c r="M4" s="864"/>
      <c r="N4" s="864"/>
      <c r="O4" s="864"/>
      <c r="P4" s="864"/>
      <c r="Q4" s="864"/>
      <c r="R4" s="462"/>
      <c r="S4" s="462"/>
      <c r="T4" s="462"/>
      <c r="U4" s="462"/>
      <c r="V4" s="462"/>
      <c r="W4" s="462"/>
      <c r="X4" s="462"/>
      <c r="Y4" s="462"/>
      <c r="Z4" s="462"/>
      <c r="AA4" s="462"/>
      <c r="AB4" s="462"/>
      <c r="AC4" s="462"/>
      <c r="AD4" s="462"/>
      <c r="AE4" s="462"/>
      <c r="AF4" s="462"/>
      <c r="AG4" s="462"/>
      <c r="AH4" s="462"/>
      <c r="AI4" s="462"/>
      <c r="AJ4" s="462"/>
      <c r="AK4" s="462"/>
      <c r="AL4" s="462"/>
      <c r="AM4" s="462"/>
      <c r="AN4" s="462"/>
      <c r="AO4" s="462"/>
      <c r="AP4" s="462"/>
      <c r="AQ4" s="462"/>
      <c r="AR4" s="462"/>
      <c r="AS4" s="462"/>
      <c r="AT4" s="462"/>
    </row>
    <row r="5" spans="1:46" ht="20.25" customHeight="1" x14ac:dyDescent="0.35">
      <c r="A5" s="869"/>
      <c r="B5" s="870"/>
      <c r="C5" s="481">
        <f>AQ10</f>
        <v>2776000</v>
      </c>
      <c r="D5" s="483">
        <v>28</v>
      </c>
      <c r="E5" s="867"/>
      <c r="F5" s="867"/>
      <c r="G5" s="867"/>
      <c r="H5" s="867"/>
      <c r="I5" s="867"/>
      <c r="J5" s="867"/>
      <c r="K5" s="864"/>
      <c r="L5" s="864"/>
      <c r="M5" s="864"/>
      <c r="N5" s="864"/>
      <c r="O5" s="864"/>
      <c r="P5" s="864"/>
      <c r="Q5" s="864"/>
      <c r="R5" s="462"/>
      <c r="S5" s="462"/>
      <c r="T5" s="462"/>
      <c r="U5" s="462"/>
      <c r="V5" s="462"/>
      <c r="W5" s="462"/>
      <c r="X5" s="462"/>
      <c r="Y5" s="462"/>
      <c r="Z5" s="462"/>
      <c r="AA5" s="462"/>
      <c r="AB5" s="462"/>
      <c r="AC5" s="462"/>
      <c r="AD5" s="462"/>
      <c r="AE5" s="462"/>
      <c r="AF5" s="462"/>
      <c r="AG5" s="462"/>
      <c r="AH5" s="462"/>
      <c r="AI5" s="462"/>
      <c r="AJ5" s="462"/>
      <c r="AK5" s="462"/>
      <c r="AL5" s="462"/>
      <c r="AM5" s="462"/>
      <c r="AN5" s="462"/>
      <c r="AO5" s="462"/>
      <c r="AP5" s="462"/>
      <c r="AQ5" s="462"/>
      <c r="AR5" s="462"/>
      <c r="AS5" s="462"/>
      <c r="AT5" s="462"/>
    </row>
    <row r="6" spans="1:46" ht="20.25" customHeight="1" x14ac:dyDescent="0.35">
      <c r="A6" s="868" t="s">
        <v>498</v>
      </c>
      <c r="B6" s="870" t="s">
        <v>3</v>
      </c>
      <c r="C6" s="481">
        <f>C7/2</f>
        <v>2057166.5</v>
      </c>
      <c r="D6" s="483">
        <v>40</v>
      </c>
      <c r="E6" s="866" t="s">
        <v>568</v>
      </c>
      <c r="F6" s="866"/>
      <c r="G6" s="866"/>
      <c r="H6" s="866"/>
      <c r="I6" s="866"/>
      <c r="J6" s="866"/>
      <c r="K6" s="663" t="s">
        <v>503</v>
      </c>
      <c r="L6" s="864"/>
      <c r="M6" s="864"/>
      <c r="N6" s="864"/>
      <c r="O6" s="864"/>
      <c r="P6" s="864"/>
      <c r="Q6" s="864"/>
      <c r="R6" s="462"/>
      <c r="S6" s="462"/>
      <c r="T6" s="462"/>
      <c r="U6" s="462"/>
      <c r="V6" s="462"/>
      <c r="W6" s="462"/>
      <c r="X6" s="462"/>
      <c r="Y6" s="462"/>
      <c r="Z6" s="462"/>
      <c r="AA6" s="462"/>
      <c r="AB6" s="462"/>
      <c r="AC6" s="462"/>
      <c r="AD6" s="462"/>
      <c r="AE6" s="462"/>
      <c r="AF6" s="462"/>
      <c r="AG6" s="462"/>
      <c r="AH6" s="462"/>
      <c r="AI6" s="462"/>
      <c r="AJ6" s="462"/>
      <c r="AK6" s="462"/>
      <c r="AL6" s="462"/>
      <c r="AM6" s="462"/>
      <c r="AN6" s="462"/>
      <c r="AO6" s="462"/>
      <c r="AP6" s="462"/>
      <c r="AQ6" s="462"/>
      <c r="AR6" s="462"/>
      <c r="AS6" s="462"/>
      <c r="AT6" s="462"/>
    </row>
    <row r="7" spans="1:46" ht="20.25" customHeight="1" x14ac:dyDescent="0.35">
      <c r="A7" s="869"/>
      <c r="B7" s="871"/>
      <c r="C7" s="481">
        <f>AQ11</f>
        <v>4114333</v>
      </c>
      <c r="D7" s="483">
        <v>28</v>
      </c>
      <c r="E7" s="867"/>
      <c r="F7" s="867"/>
      <c r="G7" s="867"/>
      <c r="H7" s="867"/>
      <c r="I7" s="867"/>
      <c r="J7" s="867"/>
      <c r="K7" s="865"/>
      <c r="L7" s="865"/>
      <c r="M7" s="865"/>
      <c r="N7" s="865"/>
      <c r="O7" s="865"/>
      <c r="P7" s="865"/>
      <c r="Q7" s="865"/>
      <c r="R7" s="462"/>
      <c r="S7" s="462"/>
      <c r="T7" s="462"/>
      <c r="U7" s="462"/>
      <c r="V7" s="462"/>
      <c r="W7" s="462"/>
      <c r="X7" s="462"/>
      <c r="Y7" s="462"/>
      <c r="Z7" s="462"/>
      <c r="AA7" s="462"/>
      <c r="AB7" s="462"/>
      <c r="AC7" s="462"/>
      <c r="AD7" s="462"/>
      <c r="AE7" s="462"/>
      <c r="AF7" s="462"/>
      <c r="AG7" s="462"/>
      <c r="AH7" s="462"/>
      <c r="AI7" s="462"/>
      <c r="AJ7" s="462"/>
      <c r="AK7" s="462"/>
      <c r="AL7" s="462"/>
      <c r="AM7" s="462"/>
      <c r="AN7" s="462"/>
      <c r="AO7" s="462"/>
      <c r="AP7" s="462"/>
      <c r="AQ7" s="462"/>
      <c r="AR7" s="462"/>
      <c r="AS7" s="462"/>
      <c r="AT7" s="462"/>
    </row>
    <row r="8" spans="1:46" ht="23.25" x14ac:dyDescent="0.35">
      <c r="A8" s="463" t="s">
        <v>388</v>
      </c>
      <c r="B8" s="463" t="s">
        <v>389</v>
      </c>
      <c r="C8" s="463" t="s">
        <v>390</v>
      </c>
      <c r="D8" s="463" t="s">
        <v>391</v>
      </c>
      <c r="E8" s="464" t="s">
        <v>392</v>
      </c>
      <c r="F8" s="464" t="s">
        <v>393</v>
      </c>
      <c r="G8" s="464" t="s">
        <v>394</v>
      </c>
      <c r="H8" s="464" t="s">
        <v>395</v>
      </c>
      <c r="I8" s="464"/>
      <c r="J8" s="464"/>
      <c r="K8" s="464"/>
      <c r="L8" s="464"/>
      <c r="M8" s="465" t="s">
        <v>400</v>
      </c>
      <c r="N8" s="465" t="s">
        <v>401</v>
      </c>
      <c r="O8" s="465" t="s">
        <v>402</v>
      </c>
      <c r="P8" s="465" t="s">
        <v>403</v>
      </c>
      <c r="Q8" s="465" t="s">
        <v>404</v>
      </c>
      <c r="R8" s="465" t="s">
        <v>405</v>
      </c>
      <c r="S8" s="465" t="s">
        <v>406</v>
      </c>
      <c r="T8" s="465" t="s">
        <v>407</v>
      </c>
      <c r="U8" s="465" t="s">
        <v>408</v>
      </c>
      <c r="V8" s="465" t="s">
        <v>409</v>
      </c>
      <c r="W8" s="465" t="s">
        <v>410</v>
      </c>
      <c r="X8" s="465" t="s">
        <v>411</v>
      </c>
      <c r="Y8" s="465" t="s">
        <v>412</v>
      </c>
      <c r="Z8" s="465" t="s">
        <v>413</v>
      </c>
      <c r="AA8" s="465" t="s">
        <v>414</v>
      </c>
      <c r="AB8" s="465" t="s">
        <v>415</v>
      </c>
      <c r="AC8" s="465" t="s">
        <v>416</v>
      </c>
      <c r="AD8" s="465" t="s">
        <v>417</v>
      </c>
      <c r="AE8" s="466" t="s">
        <v>418</v>
      </c>
      <c r="AF8" s="466" t="s">
        <v>419</v>
      </c>
      <c r="AG8" s="466" t="s">
        <v>420</v>
      </c>
      <c r="AH8" s="466" t="s">
        <v>421</v>
      </c>
      <c r="AI8" s="466" t="s">
        <v>422</v>
      </c>
      <c r="AJ8" s="466" t="s">
        <v>423</v>
      </c>
      <c r="AK8" s="466" t="s">
        <v>424</v>
      </c>
      <c r="AL8" s="466" t="s">
        <v>425</v>
      </c>
      <c r="AM8" s="466" t="s">
        <v>426</v>
      </c>
      <c r="AN8" s="466" t="s">
        <v>427</v>
      </c>
      <c r="AO8" s="466" t="s">
        <v>428</v>
      </c>
      <c r="AP8" s="463" t="s">
        <v>429</v>
      </c>
      <c r="AQ8" s="417" t="s">
        <v>73</v>
      </c>
      <c r="AR8" s="463" t="s">
        <v>430</v>
      </c>
      <c r="AS8" s="463" t="s">
        <v>431</v>
      </c>
      <c r="AT8" s="463" t="s">
        <v>71</v>
      </c>
    </row>
    <row r="9" spans="1:46" ht="18.75" customHeight="1" x14ac:dyDescent="0.35">
      <c r="A9" s="467" t="s">
        <v>489</v>
      </c>
      <c r="B9" s="468">
        <v>1</v>
      </c>
      <c r="C9" s="467" t="s">
        <v>491</v>
      </c>
      <c r="D9" s="469">
        <v>9</v>
      </c>
      <c r="E9" s="470">
        <v>4000000</v>
      </c>
      <c r="F9" s="470"/>
      <c r="G9" s="470">
        <v>2681000</v>
      </c>
      <c r="H9" s="470">
        <v>4720000</v>
      </c>
      <c r="I9" s="470"/>
      <c r="J9" s="470"/>
      <c r="K9" s="470"/>
      <c r="L9" s="470"/>
      <c r="M9" s="471">
        <f>COUNT(E9:L9)</f>
        <v>3</v>
      </c>
      <c r="N9" s="468">
        <f>COUNT(E9:H9)</f>
        <v>3</v>
      </c>
      <c r="O9" s="472" t="str">
        <f>IF(M9=0,"",IF(P9=E9,"Lasertec",IF(P9=F9,"Chemilab",IF(P9=G9,"CIMA",IF(P9=H9,"SGI",IF(P9=I9,"Javeriana",IF(P9=J9,"Acueducto Bogotá",IF(P9=K9,"CARDIQUE",IF(P9=L9,"UPB Montería","")))))))))</f>
        <v>CIMA</v>
      </c>
      <c r="P9" s="470">
        <f>IF(M9=0,"",MIN(E9:L9))</f>
        <v>2681000</v>
      </c>
      <c r="Q9" s="472" t="str">
        <f>IF(M9=0,"",IF(R9=E9,"Lasertec",IF(R9=F9,"Chemilab",IF(R9=G9,"CIMA",IF(R9=H9,"SGI",IF(R9=I9,"Javeriana",IF(R9=J9,"Acueducto Bogotá",IF(R9=K9,"CARDIQUE",IF(R9=L9,"UPB Montería","")))))))))</f>
        <v>SGI</v>
      </c>
      <c r="R9" s="470">
        <f>IF(M9=0,"",MAX(E9:L9))</f>
        <v>4720000</v>
      </c>
      <c r="S9" s="473">
        <f>IF(M9=0,"",ROUND(MEDIAN(E9:L9),0))</f>
        <v>4000000</v>
      </c>
      <c r="T9" s="473">
        <f>IF(M9=0,"",IF(M9&gt;=2,ROUND(AVERAGE(E9:L9),0),MAX(E9:L9)))</f>
        <v>3800333</v>
      </c>
      <c r="U9" s="470">
        <f>IF(OR(D9="",T9=""),"",D9*T9)</f>
        <v>34202997</v>
      </c>
      <c r="V9" s="474">
        <f>IFERROR((T9-S9)/S9,"")</f>
        <v>-4.9916750000000003E-2</v>
      </c>
      <c r="W9" s="467" t="str">
        <f>IF(M9=0,"Sin soporte",IF(AC9="Sí","Revisión por dispersión",IF(N9&lt;=1,"Único soporte formal",IF(M9&gt;=4,"Robusto",IF(M9=3,"Aceptable","Débil")))))</f>
        <v>Revisión por dispersión</v>
      </c>
      <c r="X9" s="467" t="str">
        <f>IF(M9=0,"Buscar referencias adicionales",IF(N9&lt;=1,"Solicitar 2 cotizaciones adicionales",IF(AC9="Sí","Validación técnica y segunda ronda",IF(M9=2,"Solicitar 1 cotización adicional","No obligatoria"))))</f>
        <v>Validación técnica y segunda ronda</v>
      </c>
      <c r="Y9" s="467" t="str">
        <f>IF(M9=0,"Sin referencias comparables.",IF(AC9="Sí","Diferencia entre máximo y mínimo superior al 30% de la mediana; no excluir atípicos sin justificación.",IF(N9&lt;=1,"Solo existe 1 soporte formal comparable.",IF(M9=2,"Solo hay 2 referencias de mercado; completar pluralidad.","Comparación con mercado suficiente para fijar precio de referencia."))))</f>
        <v>Diferencia entre máximo y mínimo superior al 30% de la mediana; no excluir atípicos sin justificación.</v>
      </c>
      <c r="Z9" s="475">
        <f>IFERROR((R9-P9)/S9,"")</f>
        <v>0.50975000000000004</v>
      </c>
      <c r="AA9" s="475">
        <f>IF(COUNT(E9:L9)&gt;1,STDEV(E9:L9)/AVERAGE(E9:L9),"")</f>
        <v>0.27209721623202826</v>
      </c>
      <c r="AB9" s="472" t="str">
        <f>IF(M9=0,"Sin soportes",IF(M9=1,"Soporte único",IF(Z9&lt;=0.15,"Baja",IF(Z9&lt;=0.3,"Media","Alta"))))</f>
        <v>Alta</v>
      </c>
      <c r="AC9" s="472" t="str">
        <f>IF(AND(M9&gt;1,Z9&gt;0.3),"Sí","No")</f>
        <v>Sí</v>
      </c>
      <c r="AD9" s="472" t="str">
        <f>IF(M9=0,"Sin referencia",IF(M9=1,"Precio único provisional",IF(M9&gt;=2,"Promedio (mediana de referencia)","")))</f>
        <v>Promedio (mediana de referencia)</v>
      </c>
      <c r="AE9" s="472" t="str">
        <f>IF(M9&gt;=4,"Sí","No")</f>
        <v>No</v>
      </c>
      <c r="AF9" s="472">
        <f>IF(M9&gt;=3,M9-2,M9)</f>
        <v>1</v>
      </c>
      <c r="AG9" s="470">
        <f>IF(M9&gt;=4,SMALL(E9:L9,2),IF(M9=3,MEDIAN(E9:L9),IF(M9&gt;0,MIN(E9:L9),"")))</f>
        <v>4000000</v>
      </c>
      <c r="AH9" s="470">
        <f>IF(M9&gt;=4,LARGE(E9:L9,2),IF(M9=3,MEDIAN(E9:L9),IF(M9&gt;0,MAX(E9:L9),"")))</f>
        <v>4000000</v>
      </c>
      <c r="AI9" s="473">
        <f>IF(M9&gt;=4,ROUND((SUM(E9:L9)-MIN(E9:L9)-MAX(E9:L9))/(M9-2),0),IF(M9=3,ROUND(MEDIAN(E9:L9),0),IF(M9=2,ROUND(AVERAGE(E9:L9),0),IF(M9=1,MAX(E9:L9),""))))</f>
        <v>4000000</v>
      </c>
      <c r="AJ9" s="470">
        <f>IF(OR(D9="",AI9=""),"",D9*AI9)</f>
        <v>36000000</v>
      </c>
      <c r="AK9" s="475">
        <f>IFERROR((AI9-S9)/S9,"")</f>
        <v>0</v>
      </c>
      <c r="AL9" s="475">
        <f>IFERROR((AH9-AG9)/AI9,"")</f>
        <v>0</v>
      </c>
      <c r="AM9" s="472" t="str">
        <f>IF(AF9=0,"Sin soportes",IF(AF9=1,"Soporte único",IF(AL9&lt;=0.15,"Baja",IF(AL9&lt;=0.3,"Media","Alta"))))</f>
        <v>Soporte único</v>
      </c>
      <c r="AN9" s="467" t="str">
        <f>IF(M9=0,"Sin referencia",IF(M9&lt;3,"Sin recorte por soportes insuficientes",IF(AM9="Alta","Revisión complementaria","Precio depurado útil")))</f>
        <v>Precio depurado útil</v>
      </c>
      <c r="AO9" s="467" t="str">
        <f>IF(M9&lt;3,"No se eliminan extremos porque no hay pluralidad suficiente.",IF(AM9="Alta","Aun sin extremos persiste dispersión relevante; validar alcance técnico.","Se retiró un mínimo y un máximo para prueba de sensibilidad del mercado."))</f>
        <v>Se retiró un mínimo y un máximo para prueba de sensibilidad del mercado.</v>
      </c>
      <c r="AP9" s="467" t="str">
        <f>IF(M9=0,"Sin referencia",IF(M9=1,"Valor único de mercado",IF(M9&gt;=2,"Promedio de mercado","")))</f>
        <v>Promedio de mercado</v>
      </c>
      <c r="AQ9" s="476">
        <f>IF(M9=0,"",IF(M9&gt;=2,ROUND(AVERAGE(E9:L9),0),MAX(E9:L9)))</f>
        <v>3800333</v>
      </c>
      <c r="AR9" s="467" t="str">
        <f>IF(M9=0,"Sin precio",IF(M9=1,"Provisional: soporte único","Definido con promedio"))</f>
        <v>Definido con promedio</v>
      </c>
      <c r="AS9" s="467" t="str">
        <f>IF(M9=0,"Buscar mercado adicional",IF(M9=1,"Solicitar mínimo 2 cotizaciones adicionales","Usar valor final promedio"))</f>
        <v>Usar valor final promedio</v>
      </c>
      <c r="AT9" s="467" t="str">
        <f>IF(M9=0,"No hay soporte comparable.",IF(M9=1,"El valor final corresponde al único soporte comparable disponible.","Se conserva la mediana como referencia del mercado, pero el valor final definido se fija con el promedio de las cotizaciones disponibles."))</f>
        <v>Se conserva la mediana como referencia del mercado, pero el valor final definido se fija con el promedio de las cotizaciones disponibles.</v>
      </c>
    </row>
    <row r="10" spans="1:46" ht="18.75" customHeight="1" x14ac:dyDescent="0.35">
      <c r="A10" s="467" t="s">
        <v>253</v>
      </c>
      <c r="B10" s="468">
        <v>1</v>
      </c>
      <c r="C10" s="467" t="s">
        <v>466</v>
      </c>
      <c r="D10" s="469">
        <v>68</v>
      </c>
      <c r="E10" s="470">
        <v>3000000</v>
      </c>
      <c r="F10" s="470"/>
      <c r="G10" s="470">
        <v>2378000</v>
      </c>
      <c r="H10" s="470">
        <v>2950000</v>
      </c>
      <c r="I10" s="470"/>
      <c r="J10" s="470"/>
      <c r="K10" s="470"/>
      <c r="L10" s="470"/>
      <c r="M10" s="471">
        <f>COUNT(E10:L10)</f>
        <v>3</v>
      </c>
      <c r="N10" s="468">
        <f>COUNT(E10:H10)</f>
        <v>3</v>
      </c>
      <c r="O10" s="472" t="str">
        <f>IF(M10=0,"",IF(P10=E10,"Lasertec",IF(P10=F10,"Chemilab",IF(P10=G10,"CIMA",IF(P10=H10,"SGI",IF(P10=I10,"Javeriana",IF(P10=J10,"Acueducto Bogotá",IF(P10=K10,"CARDIQUE",IF(P10=L10,"UPB Montería","")))))))))</f>
        <v>CIMA</v>
      </c>
      <c r="P10" s="470">
        <f>IF(M10=0,"",MIN(E10:L10))</f>
        <v>2378000</v>
      </c>
      <c r="Q10" s="472" t="str">
        <f>IF(M10=0,"",IF(R10=E10,"Lasertec",IF(R10=F10,"Chemilab",IF(R10=G10,"CIMA",IF(R10=H10,"SGI",IF(R10=I10,"Javeriana",IF(R10=J10,"Acueducto Bogotá",IF(R10=K10,"CARDIQUE",IF(R10=L10,"UPB Montería","")))))))))</f>
        <v>Lasertec</v>
      </c>
      <c r="R10" s="470">
        <f>IF(M10=0,"",MAX(E10:L10))</f>
        <v>3000000</v>
      </c>
      <c r="S10" s="473">
        <f>IF(M10=0,"",ROUND(MEDIAN(E10:L10),0))</f>
        <v>2950000</v>
      </c>
      <c r="T10" s="473">
        <f>IF(M10=0,"",IF(M10&gt;=2,ROUND(AVERAGE(E10:L10),0),MAX(E10:L10)))</f>
        <v>2776000</v>
      </c>
      <c r="U10" s="470">
        <f>IF(OR(D10="",T10=""),"",D10*T10)</f>
        <v>188768000</v>
      </c>
      <c r="V10" s="474">
        <f>IFERROR((T10-S10)/S10,"")</f>
        <v>-5.8983050847457627E-2</v>
      </c>
      <c r="W10" s="467" t="str">
        <f>IF(M10=0,"Sin soporte",IF(AC10="Sí","Revisión por dispersión",IF(N10&lt;=1,"Único soporte formal",IF(M10&gt;=4,"Robusto",IF(M10=3,"Aceptable","Débil")))))</f>
        <v>Aceptable</v>
      </c>
      <c r="X10" s="467" t="str">
        <f>IF(M10=0,"Buscar referencias adicionales",IF(N10&lt;=1,"Solicitar 2 cotizaciones adicionales",IF(AC10="Sí","Validación técnica y segunda ronda",IF(M10=2,"Solicitar 1 cotización adicional","No obligatoria"))))</f>
        <v>No obligatoria</v>
      </c>
      <c r="Y10" s="467" t="str">
        <f>IF(M10=0,"Sin referencias comparables.",IF(AC10="Sí","Diferencia entre máximo y mínimo superior al 30% de la mediana; no excluir atípicos sin justificación.",IF(N10&lt;=1,"Solo existe 1 soporte formal comparable.",IF(M10=2,"Solo hay 2 referencias de mercado; completar pluralidad.","Comparación con mercado suficiente para fijar precio de referencia."))))</f>
        <v>Comparación con mercado suficiente para fijar precio de referencia.</v>
      </c>
      <c r="Z10" s="475">
        <f>IFERROR((R10-P10)/S10,"")</f>
        <v>0.21084745762711865</v>
      </c>
      <c r="AA10" s="475">
        <f>IF(COUNT(E10:L10)&gt;1,STDEV(E10:L10)/AVERAGE(E10:L10),"")</f>
        <v>0.1244897566368892</v>
      </c>
      <c r="AB10" s="472" t="str">
        <f>IF(M10=0,"Sin soportes",IF(M10=1,"Soporte único",IF(Z10&lt;=0.15,"Baja",IF(Z10&lt;=0.3,"Media","Alta"))))</f>
        <v>Media</v>
      </c>
      <c r="AC10" s="472" t="str">
        <f>IF(AND(M10&gt;1,Z10&gt;0.3),"Sí","No")</f>
        <v>No</v>
      </c>
      <c r="AD10" s="472" t="str">
        <f>IF(M10=0,"Sin referencia",IF(M10=1,"Precio único provisional",IF(M10&gt;=2,"Promedio (mediana de referencia)","")))</f>
        <v>Promedio (mediana de referencia)</v>
      </c>
      <c r="AE10" s="472" t="str">
        <f>IF(M10&gt;=4,"Sí","No")</f>
        <v>No</v>
      </c>
      <c r="AF10" s="472">
        <f>IF(M10&gt;=3,M10-2,M10)</f>
        <v>1</v>
      </c>
      <c r="AG10" s="470">
        <f>IF(M10&gt;=4,SMALL(E10:L10,2),IF(M10=3,MEDIAN(E10:L10),IF(M10&gt;0,MIN(E10:L10),"")))</f>
        <v>2950000</v>
      </c>
      <c r="AH10" s="470">
        <f>IF(M10&gt;=4,LARGE(E10:L10,2),IF(M10=3,MEDIAN(E10:L10),IF(M10&gt;0,MAX(E10:L10),"")))</f>
        <v>2950000</v>
      </c>
      <c r="AI10" s="473">
        <f>IF(M10&gt;=4,ROUND((SUM(E10:L10)-MIN(E10:L10)-MAX(E10:L10))/(M10-2),0),IF(M10=3,ROUND(MEDIAN(E10:L10),0),IF(M10=2,ROUND(AVERAGE(E10:L10),0),IF(M10=1,MAX(E10:L10),""))))</f>
        <v>2950000</v>
      </c>
      <c r="AJ10" s="470">
        <f>IF(OR(D10="",AI10=""),"",D10*AI10)</f>
        <v>200600000</v>
      </c>
      <c r="AK10" s="475">
        <f>IFERROR((AI10-S10)/S10,"")</f>
        <v>0</v>
      </c>
      <c r="AL10" s="475">
        <f>IFERROR((AH10-AG10)/AI10,"")</f>
        <v>0</v>
      </c>
      <c r="AM10" s="472" t="str">
        <f>IF(AF10=0,"Sin soportes",IF(AF10=1,"Soporte único",IF(AL10&lt;=0.15,"Baja",IF(AL10&lt;=0.3,"Media","Alta"))))</f>
        <v>Soporte único</v>
      </c>
      <c r="AN10" s="467" t="str">
        <f>IF(M10=0,"Sin referencia",IF(M10&lt;3,"Sin recorte por soportes insuficientes",IF(AM10="Alta","Revisión complementaria","Precio depurado útil")))</f>
        <v>Precio depurado útil</v>
      </c>
      <c r="AO10" s="467" t="str">
        <f>IF(M10&lt;3,"No se eliminan extremos porque no hay pluralidad suficiente.",IF(AM10="Alta","Aun sin extremos persiste dispersión relevante; validar alcance técnico.","Se retiró un mínimo y un máximo para prueba de sensibilidad del mercado."))</f>
        <v>Se retiró un mínimo y un máximo para prueba de sensibilidad del mercado.</v>
      </c>
      <c r="AP10" s="467" t="str">
        <f>IF(M10=0,"Sin referencia",IF(M10=1,"Valor único de mercado",IF(M10&gt;=2,"Promedio de mercado","")))</f>
        <v>Promedio de mercado</v>
      </c>
      <c r="AQ10" s="476">
        <f>IF(M10=0,"",IF(M10&gt;=2,ROUND(AVERAGE(E10:L10),0),MAX(E10:L10)))</f>
        <v>2776000</v>
      </c>
      <c r="AR10" s="467" t="str">
        <f>IF(M10=0,"Sin precio",IF(M10=1,"Provisional: soporte único","Definido con promedio"))</f>
        <v>Definido con promedio</v>
      </c>
      <c r="AS10" s="467" t="str">
        <f>IF(M10=0,"Buscar mercado adicional",IF(M10=1,"Solicitar mínimo 2 cotizaciones adicionales","Usar valor final promedio"))</f>
        <v>Usar valor final promedio</v>
      </c>
      <c r="AT10" s="467" t="str">
        <f>IF(M10=0,"No hay soporte comparable.",IF(M10=1,"El valor final corresponde al único soporte comparable disponible.","Se conserva la mediana como referencia del mercado, pero el valor final definido se fija con el promedio de las cotizaciones disponibles."))</f>
        <v>Se conserva la mediana como referencia del mercado, pero el valor final definido se fija con el promedio de las cotizaciones disponibles.</v>
      </c>
    </row>
    <row r="11" spans="1:46" ht="18.75" customHeight="1" x14ac:dyDescent="0.35">
      <c r="A11" s="467" t="s">
        <v>467</v>
      </c>
      <c r="B11" s="468">
        <v>1</v>
      </c>
      <c r="C11" s="467" t="s">
        <v>492</v>
      </c>
      <c r="D11" s="469">
        <v>68</v>
      </c>
      <c r="E11" s="470">
        <v>5000000</v>
      </c>
      <c r="F11" s="470"/>
      <c r="G11" s="470">
        <v>2033000</v>
      </c>
      <c r="H11" s="470">
        <v>5310000</v>
      </c>
      <c r="I11" s="470"/>
      <c r="J11" s="470"/>
      <c r="K11" s="470"/>
      <c r="L11" s="470"/>
      <c r="M11" s="471">
        <f>COUNT(E11:L11)</f>
        <v>3</v>
      </c>
      <c r="N11" s="468">
        <f>COUNT(E11:H11)</f>
        <v>3</v>
      </c>
      <c r="O11" s="472" t="str">
        <f>IF(M11=0,"",IF(P11=E11,"Lasertec",IF(P11=F11,"Chemilab",IF(P11=G11,"CIMA",IF(P11=H11,"SGI",IF(P11=I11,"Javeriana",IF(P11=J11,"Acueducto Bogotá",IF(P11=K11,"CARDIQUE",IF(P11=L11,"UPB Montería","")))))))))</f>
        <v>CIMA</v>
      </c>
      <c r="P11" s="470">
        <f>IF(M11=0,"",MIN(E11:L11))</f>
        <v>2033000</v>
      </c>
      <c r="Q11" s="472" t="str">
        <f>IF(M11=0,"",IF(R11=E11,"Lasertec",IF(R11=F11,"Chemilab",IF(R11=G11,"CIMA",IF(R11=H11,"SGI",IF(R11=I11,"Javeriana",IF(R11=J11,"Acueducto Bogotá",IF(R11=K11,"CARDIQUE",IF(R11=L11,"UPB Montería","")))))))))</f>
        <v>SGI</v>
      </c>
      <c r="R11" s="470">
        <f>IF(M11=0,"",MAX(E11:L11))</f>
        <v>5310000</v>
      </c>
      <c r="S11" s="473">
        <f>IF(M11=0,"",ROUND(MEDIAN(E11:L11),0))</f>
        <v>5000000</v>
      </c>
      <c r="T11" s="473">
        <f>IF(M11=0,"",IF(M11&gt;=2,ROUND(AVERAGE(E11:L11),0),MAX(E11:L11)))</f>
        <v>4114333</v>
      </c>
      <c r="U11" s="470">
        <f>IF(OR(D11="",T11=""),"",D11*T11)</f>
        <v>279774644</v>
      </c>
      <c r="V11" s="474">
        <f>IFERROR((T11-S11)/S11,"")</f>
        <v>-0.1771334</v>
      </c>
      <c r="W11" s="467" t="str">
        <f>IF(M11=0,"Sin soporte",IF(AC11="Sí","Revisión por dispersión",IF(N11&lt;=1,"Único soporte formal",IF(M11&gt;=4,"Robusto",IF(M11=3,"Aceptable","Débil")))))</f>
        <v>Revisión por dispersión</v>
      </c>
      <c r="X11" s="467" t="str">
        <f>IF(M11=0,"Buscar referencias adicionales",IF(N11&lt;=1,"Solicitar 2 cotizaciones adicionales",IF(AC11="Sí","Validación técnica y segunda ronda",IF(M11=2,"Solicitar 1 cotización adicional","No obligatoria"))))</f>
        <v>Validación técnica y segunda ronda</v>
      </c>
      <c r="Y11" s="467" t="str">
        <f>IF(M11=0,"Sin referencias comparables.",IF(AC11="Sí","Diferencia entre máximo y mínimo superior al 30% de la mediana; no excluir atípicos sin justificación.",IF(N11&lt;=1,"Solo existe 1 soporte formal comparable.",IF(M11=2,"Solo hay 2 referencias de mercado; completar pluralidad.","Comparación con mercado suficiente para fijar precio de referencia."))))</f>
        <v>Diferencia entre máximo y mínimo superior al 30% de la mediana; no excluir atípicos sin justificación.</v>
      </c>
      <c r="Z11" s="475">
        <f>IFERROR((R11-P11)/S11,"")</f>
        <v>0.65539999999999998</v>
      </c>
      <c r="AA11" s="475">
        <f>IF(COUNT(E11:L11)&gt;1,STDEV(E11:L11)/AVERAGE(E11:L11),"")</f>
        <v>0.43971635743791554</v>
      </c>
      <c r="AB11" s="472" t="str">
        <f>IF(M11=0,"Sin soportes",IF(M11=1,"Soporte único",IF(Z11&lt;=0.15,"Baja",IF(Z11&lt;=0.3,"Media","Alta"))))</f>
        <v>Alta</v>
      </c>
      <c r="AC11" s="472" t="str">
        <f>IF(AND(M11&gt;1,Z11&gt;0.3),"Sí","No")</f>
        <v>Sí</v>
      </c>
      <c r="AD11" s="472" t="str">
        <f>IF(M11=0,"Sin referencia",IF(M11=1,"Precio único provisional",IF(M11&gt;=2,"Promedio (mediana de referencia)","")))</f>
        <v>Promedio (mediana de referencia)</v>
      </c>
      <c r="AE11" s="472" t="str">
        <f>IF(M11&gt;=4,"Sí","No")</f>
        <v>No</v>
      </c>
      <c r="AF11" s="472">
        <f>IF(M11&gt;=3,M11-2,M11)</f>
        <v>1</v>
      </c>
      <c r="AG11" s="470">
        <f>IF(M11&gt;=4,SMALL(E11:L11,2),IF(M11=3,MEDIAN(E11:L11),IF(M11&gt;0,MIN(E11:L11),"")))</f>
        <v>5000000</v>
      </c>
      <c r="AH11" s="470">
        <f>IF(M11&gt;=4,LARGE(E11:L11,2),IF(M11=3,MEDIAN(E11:L11),IF(M11&gt;0,MAX(E11:L11),"")))</f>
        <v>5000000</v>
      </c>
      <c r="AI11" s="473">
        <f>IF(M11&gt;=4,ROUND((SUM(E11:L11)-MIN(E11:L11)-MAX(E11:L11))/(M11-2),0),IF(M11=3,ROUND(MEDIAN(E11:L11),0),IF(M11=2,ROUND(AVERAGE(E11:L11),0),IF(M11=1,MAX(E11:L11),""))))</f>
        <v>5000000</v>
      </c>
      <c r="AJ11" s="470">
        <f>IF(OR(D11="",AI11=""),"",D11*AI11)</f>
        <v>340000000</v>
      </c>
      <c r="AK11" s="475">
        <f>IFERROR((AI11-S11)/S11,"")</f>
        <v>0</v>
      </c>
      <c r="AL11" s="475">
        <f>IFERROR((AH11-AG11)/AI11,"")</f>
        <v>0</v>
      </c>
      <c r="AM11" s="472" t="str">
        <f>IF(AF11=0,"Sin soportes",IF(AF11=1,"Soporte único",IF(AL11&lt;=0.15,"Baja",IF(AL11&lt;=0.3,"Media","Alta"))))</f>
        <v>Soporte único</v>
      </c>
      <c r="AN11" s="467" t="str">
        <f>IF(M11=0,"Sin referencia",IF(M11&lt;3,"Sin recorte por soportes insuficientes",IF(AM11="Alta","Revisión complementaria","Precio depurado útil")))</f>
        <v>Precio depurado útil</v>
      </c>
      <c r="AO11" s="467" t="str">
        <f>IF(M11&lt;3,"No se eliminan extremos porque no hay pluralidad suficiente.",IF(AM11="Alta","Aun sin extremos persiste dispersión relevante; validar alcance técnico.","Se retiró un mínimo y un máximo para prueba de sensibilidad del mercado."))</f>
        <v>Se retiró un mínimo y un máximo para prueba de sensibilidad del mercado.</v>
      </c>
      <c r="AP11" s="467" t="str">
        <f>IF(M11=0,"Sin referencia",IF(M11=1,"Valor único de mercado",IF(M11&gt;=2,"Promedio de mercado","")))</f>
        <v>Promedio de mercado</v>
      </c>
      <c r="AQ11" s="476">
        <f>IF(M11=0,"",IF(M11&gt;=2,ROUND(AVERAGE(E11:L11),0),MAX(E11:L11)))</f>
        <v>4114333</v>
      </c>
      <c r="AR11" s="467" t="str">
        <f>IF(M11=0,"Sin precio",IF(M11=1,"Provisional: soporte único","Definido con promedio"))</f>
        <v>Definido con promedio</v>
      </c>
      <c r="AS11" s="467" t="str">
        <f>IF(M11=0,"Buscar mercado adicional",IF(M11=1,"Solicitar mínimo 2 cotizaciones adicionales","Usar valor final promedio"))</f>
        <v>Usar valor final promedio</v>
      </c>
      <c r="AT11" s="467" t="str">
        <f>IF(M11=0,"No hay soporte comparable.",IF(M11=1,"El valor final corresponde al único soporte comparable disponible.","Se conserva la mediana como referencia del mercado, pero el valor final definido se fija con el promedio de las cotizaciones disponibles."))</f>
        <v>Se conserva la mediana como referencia del mercado, pero el valor final definido se fija con el promedio de las cotizaciones disponibles.</v>
      </c>
    </row>
    <row r="12" spans="1:46" x14ac:dyDescent="0.35">
      <c r="A12" s="467" t="s">
        <v>475</v>
      </c>
      <c r="B12" s="472"/>
      <c r="C12" s="467"/>
      <c r="D12" s="477"/>
      <c r="E12" s="470"/>
      <c r="F12" s="470"/>
      <c r="G12" s="470"/>
      <c r="H12" s="470"/>
      <c r="I12" s="470"/>
      <c r="J12" s="470"/>
      <c r="K12" s="470"/>
      <c r="L12" s="470"/>
      <c r="M12" s="471"/>
      <c r="N12" s="468"/>
      <c r="O12" s="472"/>
      <c r="P12" s="470"/>
      <c r="Q12" s="472"/>
      <c r="R12" s="470"/>
      <c r="S12" s="473"/>
      <c r="T12" s="473"/>
      <c r="U12" s="470"/>
      <c r="V12" s="475"/>
      <c r="W12" s="467"/>
      <c r="X12" s="467"/>
      <c r="Y12" s="467"/>
      <c r="Z12" s="475"/>
      <c r="AA12" s="475"/>
      <c r="AB12" s="472"/>
      <c r="AC12" s="472"/>
      <c r="AD12" s="472"/>
      <c r="AE12" s="472"/>
      <c r="AF12" s="472"/>
      <c r="AG12" s="470"/>
      <c r="AH12" s="470"/>
      <c r="AI12" s="473"/>
      <c r="AJ12" s="470"/>
      <c r="AK12" s="475"/>
      <c r="AL12" s="475"/>
      <c r="AM12" s="472"/>
      <c r="AN12" s="467"/>
      <c r="AO12" s="467"/>
      <c r="AP12" s="467" t="s">
        <v>496</v>
      </c>
      <c r="AQ12" s="476"/>
      <c r="AR12" s="467"/>
      <c r="AS12" s="467"/>
      <c r="AT12" s="467"/>
    </row>
    <row r="14" spans="1:46" x14ac:dyDescent="0.35">
      <c r="E14" s="478"/>
      <c r="H14" s="478"/>
    </row>
  </sheetData>
  <mergeCells count="13">
    <mergeCell ref="A1:Q1"/>
    <mergeCell ref="K3:Q3"/>
    <mergeCell ref="K2:Q2"/>
    <mergeCell ref="K4:Q5"/>
    <mergeCell ref="K6:Q7"/>
    <mergeCell ref="E2:J2"/>
    <mergeCell ref="E3:J3"/>
    <mergeCell ref="E6:J7"/>
    <mergeCell ref="A4:A5"/>
    <mergeCell ref="B4:B5"/>
    <mergeCell ref="E4:J5"/>
    <mergeCell ref="A6:A7"/>
    <mergeCell ref="B6:B7"/>
  </mergeCells>
  <conditionalFormatting sqref="E9:L12">
    <cfRule type="expression" dxfId="4" priority="1">
      <formula>AND(ISNUMBER(E9),E9=MIN($E9:$L9))</formula>
    </cfRule>
    <cfRule type="expression" dxfId="3" priority="2">
      <formula>AND(ISNUMBER(E9),E9=MAX($E9:$L9))</formula>
    </cfRule>
    <cfRule type="expression" dxfId="2" priority="3">
      <formula>AND(ISNUMBER(E9),E9&gt;MIN($E9:$L9),E9&lt;MAX($E9:$L9),E9&lt;=AVERAGE($E9:$L9))</formula>
    </cfRule>
    <cfRule type="expression" dxfId="1" priority="4">
      <formula>AND(ISNUMBER(E9),E9&gt;MIN($E9:$L9),E9&lt;MAX($E9:$L9),E9&gt;AVERAGE($E9:$L9))</formula>
    </cfRule>
  </conditionalFormatting>
  <hyperlinks>
    <hyperlink ref="A1:Q1" location="'TABLERO CONTROL'!A1" display="ESTUDIO DE MERCADO Y PRESUPUESTO – CONSOLIDADO EN UNA SOLA PESTAÑA" xr:uid="{1689DB5A-81D6-47AE-B44A-23303BCCF99F}"/>
  </hyperlinks>
  <pageMargins left="0.7" right="0.7" top="0.75" bottom="0.75" header="0.3" footer="0.3"/>
  <ignoredErrors>
    <ignoredError sqref="M9:AQ12 AR9:AT12" formulaRange="1"/>
    <ignoredError sqref="C5"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E7B62-124F-41D1-89FC-3B55EFA39F37}">
  <sheetPr codeName="Hoja26"/>
  <dimension ref="A1:J32"/>
  <sheetViews>
    <sheetView showGridLines="0" workbookViewId="0">
      <selection activeCell="A2" sqref="A2"/>
    </sheetView>
  </sheetViews>
  <sheetFormatPr defaultColWidth="11.3984375" defaultRowHeight="12.75" x14ac:dyDescent="0.35"/>
  <cols>
    <col min="1" max="1" width="14.1328125" style="1" customWidth="1"/>
    <col min="2" max="2" width="15.1328125" style="1" customWidth="1"/>
    <col min="3" max="3" width="31.1328125" style="1" customWidth="1"/>
    <col min="4" max="4" width="55" style="1" customWidth="1"/>
    <col min="5" max="5" width="13.59765625" style="1" bestFit="1" customWidth="1"/>
    <col min="6" max="7" width="13.59765625" style="1" customWidth="1"/>
    <col min="8" max="8" width="15.86328125" style="1" customWidth="1"/>
    <col min="9" max="9" width="14.265625" style="1" customWidth="1"/>
    <col min="10" max="16384" width="11.3984375" style="1"/>
  </cols>
  <sheetData>
    <row r="1" spans="1:10" ht="27.75" customHeight="1" x14ac:dyDescent="0.35">
      <c r="A1" s="872" t="str">
        <f>ECONÓMICA!B31</f>
        <v>2.8. Hidrología (Oferta, Demanda e Indicadores)</v>
      </c>
      <c r="B1" s="872"/>
      <c r="C1" s="872"/>
      <c r="D1" s="872"/>
      <c r="E1" s="872"/>
      <c r="F1" s="872"/>
      <c r="G1" s="872"/>
      <c r="H1" s="872"/>
      <c r="I1" s="872"/>
    </row>
    <row r="2" spans="1:10" ht="25.5" x14ac:dyDescent="0.35">
      <c r="A2" s="71" t="s">
        <v>68</v>
      </c>
      <c r="B2" s="72" t="s">
        <v>69</v>
      </c>
      <c r="C2" s="71" t="s">
        <v>70</v>
      </c>
      <c r="D2" s="71" t="s">
        <v>71</v>
      </c>
      <c r="E2" s="72" t="s">
        <v>258</v>
      </c>
      <c r="F2" s="72" t="s">
        <v>259</v>
      </c>
      <c r="G2" s="72" t="s">
        <v>260</v>
      </c>
      <c r="H2" s="72" t="s">
        <v>244</v>
      </c>
      <c r="I2" s="71" t="s">
        <v>73</v>
      </c>
    </row>
    <row r="3" spans="1:10" ht="38.25" x14ac:dyDescent="0.35">
      <c r="A3" s="337" t="s">
        <v>508</v>
      </c>
      <c r="B3" s="73" t="s">
        <v>84</v>
      </c>
      <c r="C3" s="73" t="s">
        <v>262</v>
      </c>
      <c r="D3" s="75" t="s">
        <v>263</v>
      </c>
      <c r="E3" s="74">
        <v>1</v>
      </c>
      <c r="F3" s="81">
        <v>18000000</v>
      </c>
      <c r="G3" s="74"/>
      <c r="H3" s="81">
        <f>AVERAGE(F3:G3)</f>
        <v>18000000</v>
      </c>
      <c r="I3" s="81"/>
    </row>
    <row r="4" spans="1:10" ht="38.25" x14ac:dyDescent="0.35">
      <c r="A4" s="337" t="s">
        <v>508</v>
      </c>
      <c r="B4" s="73" t="s">
        <v>84</v>
      </c>
      <c r="C4" s="73" t="s">
        <v>264</v>
      </c>
      <c r="D4" s="75" t="s">
        <v>265</v>
      </c>
      <c r="E4" s="74">
        <v>1</v>
      </c>
      <c r="F4" s="81">
        <v>8000000</v>
      </c>
      <c r="G4" s="74"/>
      <c r="H4" s="81">
        <f>AVERAGE(F4:G4)</f>
        <v>8000000</v>
      </c>
      <c r="I4" s="81"/>
    </row>
    <row r="5" spans="1:10" ht="89.25" x14ac:dyDescent="0.35">
      <c r="A5" s="337" t="s">
        <v>508</v>
      </c>
      <c r="B5" s="73" t="s">
        <v>84</v>
      </c>
      <c r="C5" s="75" t="s">
        <v>266</v>
      </c>
      <c r="D5" s="75" t="s">
        <v>267</v>
      </c>
      <c r="E5" s="74">
        <v>1</v>
      </c>
      <c r="F5" s="81">
        <v>14000000</v>
      </c>
      <c r="G5" s="74"/>
      <c r="H5" s="81">
        <f>AVERAGE(F5:G5)</f>
        <v>14000000</v>
      </c>
      <c r="I5" s="81"/>
    </row>
    <row r="6" spans="1:10" ht="15" x14ac:dyDescent="0.4">
      <c r="A6" s="873" t="s">
        <v>261</v>
      </c>
      <c r="B6" s="874"/>
      <c r="C6" s="874"/>
      <c r="D6" s="874"/>
      <c r="E6" s="340"/>
      <c r="F6" s="340"/>
      <c r="G6" s="340"/>
      <c r="H6" s="341">
        <f>SUM(H3:H5)</f>
        <v>40000000</v>
      </c>
      <c r="I6" s="340"/>
    </row>
    <row r="7" spans="1:10" ht="6" customHeight="1" x14ac:dyDescent="0.35">
      <c r="A7" s="342"/>
      <c r="B7" s="343"/>
      <c r="C7" s="343"/>
      <c r="D7" s="344"/>
      <c r="E7" s="345"/>
      <c r="F7" s="346"/>
      <c r="G7" s="345"/>
      <c r="H7" s="346"/>
      <c r="I7" s="347"/>
    </row>
    <row r="8" spans="1:10" ht="25.5" x14ac:dyDescent="0.35">
      <c r="A8" s="348" t="s">
        <v>68</v>
      </c>
      <c r="B8" s="349" t="s">
        <v>69</v>
      </c>
      <c r="C8" s="348" t="s">
        <v>70</v>
      </c>
      <c r="D8" s="348" t="s">
        <v>71</v>
      </c>
      <c r="E8" s="349" t="s">
        <v>258</v>
      </c>
      <c r="F8" s="349" t="s">
        <v>259</v>
      </c>
      <c r="G8" s="349" t="s">
        <v>260</v>
      </c>
      <c r="H8" s="349" t="s">
        <v>244</v>
      </c>
      <c r="I8" s="348" t="s">
        <v>73</v>
      </c>
    </row>
    <row r="9" spans="1:10" ht="38.25" x14ac:dyDescent="0.35">
      <c r="A9" s="337" t="s">
        <v>508</v>
      </c>
      <c r="B9" s="73"/>
      <c r="C9" s="75" t="s">
        <v>268</v>
      </c>
      <c r="D9" s="75" t="s">
        <v>269</v>
      </c>
      <c r="E9" s="74">
        <v>1</v>
      </c>
      <c r="F9" s="81">
        <v>22000000</v>
      </c>
      <c r="G9" s="74"/>
      <c r="H9" s="81">
        <f>AVERAGE(F9:G9)</f>
        <v>22000000</v>
      </c>
      <c r="I9" s="81"/>
    </row>
    <row r="10" spans="1:10" ht="140.25" x14ac:dyDescent="0.35">
      <c r="A10" s="337" t="s">
        <v>508</v>
      </c>
      <c r="B10" s="73"/>
      <c r="C10" s="266" t="s">
        <v>270</v>
      </c>
      <c r="D10" s="350" t="s">
        <v>271</v>
      </c>
      <c r="E10" s="74">
        <v>1</v>
      </c>
      <c r="F10" s="81">
        <v>5000000</v>
      </c>
      <c r="G10" s="74"/>
      <c r="H10" s="81">
        <f>AVERAGE(F10:G10)</f>
        <v>5000000</v>
      </c>
      <c r="I10" s="81"/>
    </row>
    <row r="11" spans="1:10" ht="15" x14ac:dyDescent="0.4">
      <c r="A11" s="873" t="s">
        <v>272</v>
      </c>
      <c r="B11" s="874"/>
      <c r="C11" s="874"/>
      <c r="D11" s="874"/>
      <c r="E11" s="340"/>
      <c r="F11" s="340"/>
      <c r="G11" s="340"/>
      <c r="H11" s="341">
        <f>SUM(H9:H10)</f>
        <v>27000000</v>
      </c>
      <c r="I11" s="340"/>
    </row>
    <row r="12" spans="1:10" x14ac:dyDescent="0.35">
      <c r="A12" s="81"/>
      <c r="B12" s="81"/>
      <c r="C12" s="81"/>
      <c r="D12" s="81"/>
      <c r="E12" s="81"/>
      <c r="F12" s="81"/>
      <c r="G12" s="74"/>
      <c r="H12" s="81"/>
      <c r="I12" s="81"/>
    </row>
    <row r="13" spans="1:10" ht="15" x14ac:dyDescent="0.4">
      <c r="A13" s="821" t="s">
        <v>74</v>
      </c>
      <c r="B13" s="822"/>
      <c r="C13" s="822"/>
      <c r="D13" s="822"/>
      <c r="E13" s="77">
        <v>1</v>
      </c>
      <c r="F13" s="77"/>
      <c r="G13" s="77"/>
      <c r="H13" s="351">
        <f>H11+H6</f>
        <v>67000000</v>
      </c>
      <c r="I13" s="79">
        <f>H13</f>
        <v>67000000</v>
      </c>
      <c r="J13" s="85"/>
    </row>
    <row r="32" spans="4:4" x14ac:dyDescent="0.35">
      <c r="D32" s="92"/>
    </row>
  </sheetData>
  <mergeCells count="4">
    <mergeCell ref="A1:I1"/>
    <mergeCell ref="A6:D6"/>
    <mergeCell ref="A11:D11"/>
    <mergeCell ref="A13:D13"/>
  </mergeCells>
  <hyperlinks>
    <hyperlink ref="A1:I1" location="'TABLERO CONTROL'!A1" display="'TABLERO CONTROL'!A1" xr:uid="{0B2BB069-AF16-4827-AFC0-597C02480340}"/>
  </hyperlinks>
  <pageMargins left="0.7" right="0.7" top="0.75" bottom="0.75" header="0.3" footer="0.3"/>
  <ignoredErrors>
    <ignoredError sqref="H3 H9:H10 H4:H5"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11967-5E3A-42BA-B53C-3144321219D4}">
  <sheetPr codeName="Hoja27"/>
  <dimension ref="A1:J5"/>
  <sheetViews>
    <sheetView showGridLines="0" workbookViewId="0">
      <selection activeCell="A2" sqref="A2"/>
    </sheetView>
  </sheetViews>
  <sheetFormatPr defaultColWidth="11.3984375" defaultRowHeight="12.75" x14ac:dyDescent="0.35"/>
  <cols>
    <col min="1" max="1" width="14.1328125" style="1" customWidth="1"/>
    <col min="2" max="2" width="15.1328125" style="1" customWidth="1"/>
    <col min="3" max="3" width="31.1328125" style="1" customWidth="1"/>
    <col min="4" max="4" width="38" style="1" customWidth="1"/>
    <col min="5" max="5" width="13.59765625" style="1" bestFit="1" customWidth="1"/>
    <col min="6" max="7" width="13.59765625" style="1" customWidth="1"/>
    <col min="8" max="8" width="15.86328125" style="1" customWidth="1"/>
    <col min="9" max="9" width="13.73046875" style="1" bestFit="1" customWidth="1"/>
    <col min="10" max="16384" width="11.3984375" style="1"/>
  </cols>
  <sheetData>
    <row r="1" spans="1:10" ht="26.25" customHeight="1" x14ac:dyDescent="0.35">
      <c r="A1" s="875" t="str">
        <f>ECONÓMICA!B32</f>
        <v>2.9. Determinación de zonas de recarga hídrica</v>
      </c>
      <c r="B1" s="875"/>
      <c r="C1" s="875"/>
      <c r="D1" s="875"/>
      <c r="E1" s="875"/>
      <c r="F1" s="875"/>
      <c r="G1" s="875"/>
      <c r="H1" s="875"/>
      <c r="I1" s="875"/>
      <c r="J1" s="402"/>
    </row>
    <row r="2" spans="1:10" ht="25.5" x14ac:dyDescent="0.35">
      <c r="A2" s="71" t="s">
        <v>68</v>
      </c>
      <c r="B2" s="72" t="s">
        <v>69</v>
      </c>
      <c r="C2" s="71" t="s">
        <v>70</v>
      </c>
      <c r="D2" s="71" t="s">
        <v>71</v>
      </c>
      <c r="E2" s="72" t="s">
        <v>258</v>
      </c>
      <c r="F2" s="72" t="s">
        <v>259</v>
      </c>
      <c r="G2" s="72" t="s">
        <v>260</v>
      </c>
      <c r="H2" s="72" t="s">
        <v>244</v>
      </c>
      <c r="I2" s="71" t="s">
        <v>73</v>
      </c>
    </row>
    <row r="3" spans="1:10" ht="76.5" x14ac:dyDescent="0.35">
      <c r="A3" s="337" t="s">
        <v>508</v>
      </c>
      <c r="B3" s="338" t="s">
        <v>84</v>
      </c>
      <c r="C3" s="75" t="s">
        <v>273</v>
      </c>
      <c r="D3" s="352" t="s">
        <v>274</v>
      </c>
      <c r="E3" s="339">
        <v>1</v>
      </c>
      <c r="F3" s="81">
        <v>15000000</v>
      </c>
      <c r="G3" s="74"/>
      <c r="H3" s="81">
        <f>AVERAGE(F3:G3)</f>
        <v>15000000</v>
      </c>
      <c r="I3" s="81"/>
    </row>
    <row r="4" spans="1:10" ht="15" x14ac:dyDescent="0.4">
      <c r="A4" s="873" t="s">
        <v>261</v>
      </c>
      <c r="B4" s="874"/>
      <c r="C4" s="876"/>
      <c r="D4" s="876"/>
      <c r="E4" s="340">
        <v>1</v>
      </c>
      <c r="F4" s="340"/>
      <c r="G4" s="340"/>
      <c r="H4" s="341">
        <f>SUM(H3:H3)</f>
        <v>15000000</v>
      </c>
      <c r="I4" s="341">
        <f>H4</f>
        <v>15000000</v>
      </c>
    </row>
    <row r="5" spans="1:10" ht="6" customHeight="1" x14ac:dyDescent="0.35">
      <c r="A5" s="342"/>
      <c r="B5" s="343"/>
      <c r="C5" s="343"/>
      <c r="D5" s="344"/>
      <c r="E5" s="345"/>
      <c r="F5" s="346"/>
      <c r="G5" s="345"/>
      <c r="H5" s="346"/>
      <c r="I5" s="347"/>
    </row>
  </sheetData>
  <mergeCells count="2">
    <mergeCell ref="A1:I1"/>
    <mergeCell ref="A4:D4"/>
  </mergeCells>
  <hyperlinks>
    <hyperlink ref="A1:I1" location="'TABLERO CONTROL'!A1" display="'TABLERO CONTROL'!A1" xr:uid="{F6E28B23-60FE-403A-9081-E622F6148E28}"/>
  </hyperlinks>
  <pageMargins left="0.7" right="0.7" top="0.75" bottom="0.75" header="0.3" footer="0.3"/>
  <ignoredErrors>
    <ignoredError sqref="H3"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1DB82-8C75-408D-989B-B76DE04F6475}">
  <sheetPr codeName="Hoja28"/>
  <dimension ref="A1:K8"/>
  <sheetViews>
    <sheetView showGridLines="0" zoomScaleNormal="100" workbookViewId="0">
      <selection sqref="A1:I1"/>
    </sheetView>
  </sheetViews>
  <sheetFormatPr defaultColWidth="11.3984375" defaultRowHeight="12.75" x14ac:dyDescent="0.35"/>
  <cols>
    <col min="1" max="1" width="20.1328125" style="1" customWidth="1"/>
    <col min="2" max="2" width="51.73046875" style="1" customWidth="1"/>
    <col min="3" max="3" width="13.59765625" style="1" bestFit="1" customWidth="1"/>
    <col min="4" max="4" width="13.59765625" style="1" customWidth="1"/>
    <col min="5" max="5" width="13.59765625" style="1" bestFit="1" customWidth="1"/>
    <col min="6" max="6" width="13.59765625" style="1" customWidth="1"/>
    <col min="7" max="7" width="15" style="1" customWidth="1"/>
    <col min="8" max="8" width="12.3984375" style="1" customWidth="1"/>
    <col min="9" max="9" width="15" style="1" customWidth="1"/>
    <col min="10" max="11" width="12.265625" style="1" bestFit="1" customWidth="1"/>
    <col min="12" max="16384" width="11.3984375" style="1"/>
  </cols>
  <sheetData>
    <row r="1" spans="1:11" ht="23.25" customHeight="1" x14ac:dyDescent="0.35">
      <c r="A1" s="872" t="s">
        <v>603</v>
      </c>
      <c r="B1" s="872"/>
      <c r="C1" s="872"/>
      <c r="D1" s="872"/>
      <c r="E1" s="872"/>
      <c r="F1" s="872"/>
      <c r="G1" s="872"/>
      <c r="H1" s="872"/>
      <c r="I1" s="872"/>
      <c r="J1" s="402"/>
    </row>
    <row r="2" spans="1:11" x14ac:dyDescent="0.35">
      <c r="A2" s="71" t="s">
        <v>70</v>
      </c>
      <c r="B2" s="71" t="s">
        <v>71</v>
      </c>
      <c r="C2" s="71" t="s">
        <v>75</v>
      </c>
      <c r="D2" s="71" t="s">
        <v>545</v>
      </c>
      <c r="E2" s="72" t="s">
        <v>546</v>
      </c>
      <c r="F2" s="72" t="s">
        <v>547</v>
      </c>
      <c r="G2" s="71" t="s">
        <v>33</v>
      </c>
      <c r="H2" s="71" t="s">
        <v>152</v>
      </c>
      <c r="I2" s="71" t="s">
        <v>73</v>
      </c>
    </row>
    <row r="3" spans="1:11" ht="51" x14ac:dyDescent="0.35">
      <c r="A3" s="301" t="s">
        <v>540</v>
      </c>
      <c r="B3" s="80" t="s">
        <v>76</v>
      </c>
      <c r="C3" s="74">
        <v>2</v>
      </c>
      <c r="D3" s="81">
        <v>420000</v>
      </c>
      <c r="E3" s="81">
        <v>250000</v>
      </c>
      <c r="F3" s="81">
        <v>290500</v>
      </c>
      <c r="G3" s="74">
        <v>1</v>
      </c>
      <c r="H3" s="81">
        <f>AVERAGE(D3:F3)</f>
        <v>320166.66666666669</v>
      </c>
      <c r="I3" s="82">
        <f>H3*C3</f>
        <v>640333.33333333337</v>
      </c>
      <c r="J3" s="83"/>
      <c r="K3" s="83"/>
    </row>
    <row r="4" spans="1:11" ht="51" x14ac:dyDescent="0.35">
      <c r="A4" s="301" t="s">
        <v>541</v>
      </c>
      <c r="B4" s="80" t="s">
        <v>521</v>
      </c>
      <c r="C4" s="74">
        <v>7</v>
      </c>
      <c r="D4" s="81">
        <v>122000</v>
      </c>
      <c r="E4" s="81"/>
      <c r="F4" s="81"/>
      <c r="G4" s="74">
        <v>1</v>
      </c>
      <c r="H4" s="81">
        <f t="shared" ref="H4:H7" si="0">AVERAGE(D4:F4)</f>
        <v>122000</v>
      </c>
      <c r="I4" s="82">
        <f t="shared" ref="I4:I7" si="1">H4*C4</f>
        <v>854000</v>
      </c>
      <c r="J4" s="83"/>
      <c r="K4" s="83"/>
    </row>
    <row r="5" spans="1:11" x14ac:dyDescent="0.35">
      <c r="A5" s="547" t="s">
        <v>145</v>
      </c>
      <c r="B5" s="80" t="s">
        <v>569</v>
      </c>
      <c r="C5" s="74">
        <v>60</v>
      </c>
      <c r="D5" s="81">
        <v>30000</v>
      </c>
      <c r="E5" s="81">
        <v>18000</v>
      </c>
      <c r="F5" s="81"/>
      <c r="G5" s="74">
        <v>1</v>
      </c>
      <c r="H5" s="81">
        <f t="shared" si="0"/>
        <v>24000</v>
      </c>
      <c r="I5" s="82">
        <f t="shared" si="1"/>
        <v>1440000</v>
      </c>
      <c r="J5" s="83"/>
      <c r="K5" s="83"/>
    </row>
    <row r="6" spans="1:11" x14ac:dyDescent="0.35">
      <c r="A6" s="75" t="s">
        <v>604</v>
      </c>
      <c r="B6" s="75" t="s">
        <v>77</v>
      </c>
      <c r="C6" s="74">
        <v>1</v>
      </c>
      <c r="D6" s="81">
        <v>1000000</v>
      </c>
      <c r="E6" s="81"/>
      <c r="F6" s="81">
        <v>3000000</v>
      </c>
      <c r="G6" s="74">
        <v>1</v>
      </c>
      <c r="H6" s="81">
        <f t="shared" si="0"/>
        <v>2000000</v>
      </c>
      <c r="I6" s="82">
        <f t="shared" si="1"/>
        <v>2000000</v>
      </c>
      <c r="J6" s="83"/>
    </row>
    <row r="7" spans="1:11" x14ac:dyDescent="0.35">
      <c r="A7" s="75" t="s">
        <v>548</v>
      </c>
      <c r="B7" s="75" t="s">
        <v>78</v>
      </c>
      <c r="C7" s="74">
        <v>1</v>
      </c>
      <c r="D7" s="81">
        <v>1474782</v>
      </c>
      <c r="E7" s="81"/>
      <c r="F7" s="81"/>
      <c r="G7" s="74">
        <v>1</v>
      </c>
      <c r="H7" s="81">
        <f t="shared" si="0"/>
        <v>1474782</v>
      </c>
      <c r="I7" s="82">
        <f t="shared" si="1"/>
        <v>1474782</v>
      </c>
      <c r="J7" s="83"/>
      <c r="K7" s="83"/>
    </row>
    <row r="8" spans="1:11" ht="15" x14ac:dyDescent="0.4">
      <c r="A8" s="822"/>
      <c r="B8" s="822"/>
      <c r="C8" s="822"/>
      <c r="D8" s="822"/>
      <c r="E8" s="822"/>
      <c r="F8" s="76"/>
      <c r="G8" s="76">
        <f>AVERAGE(G6:G7)</f>
        <v>1</v>
      </c>
      <c r="H8" s="78"/>
      <c r="I8" s="84">
        <f>SUM(I3:I7)</f>
        <v>6409115.333333334</v>
      </c>
      <c r="J8" s="83"/>
    </row>
  </sheetData>
  <mergeCells count="2">
    <mergeCell ref="A1:I1"/>
    <mergeCell ref="A8:E8"/>
  </mergeCells>
  <phoneticPr fontId="5" type="noConversion"/>
  <hyperlinks>
    <hyperlink ref="A1:I1" location="'TABLERO CONTROL'!A1" display="'TABLERO CONTROL'!A1" xr:uid="{B45C1061-7821-41B4-83ED-1435BD8F90A9}"/>
  </hyperlinks>
  <pageMargins left="0.7" right="0.7" top="0.75" bottom="0.75" header="0.3" footer="0.3"/>
  <ignoredErrors>
    <ignoredError sqref="H3:H7"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24</vt:i4>
      </vt:variant>
    </vt:vector>
  </HeadingPairs>
  <TitlesOfParts>
    <vt:vector size="24" baseType="lpstr">
      <vt:lpstr>TABLERO CONTROL</vt:lpstr>
      <vt:lpstr>DISTRIBUCIÓN</vt:lpstr>
      <vt:lpstr>PLAN DE CARGAS</vt:lpstr>
      <vt:lpstr>RESUMEN PLAN DE CARGAS</vt:lpstr>
      <vt:lpstr>VIÁTICOS-TRANSP</vt:lpstr>
      <vt:lpstr>ECONÓMICA</vt:lpstr>
      <vt:lpstr>ENTREGABLES</vt:lpstr>
      <vt:lpstr>(%) DE AVANCE CONSULTORÍA</vt:lpstr>
      <vt:lpstr>CRONOGRAMA CONSULTORÍA</vt:lpstr>
      <vt:lpstr>INTERVENTORÍA</vt:lpstr>
      <vt:lpstr>ENTREGABLES INTERVENTORÍA</vt:lpstr>
      <vt:lpstr>CRONOGRAMA INTERVENTORÍA</vt:lpstr>
      <vt:lpstr>(%) DE AVANCE INTERVENTORÍA</vt:lpstr>
      <vt:lpstr>FM</vt:lpstr>
      <vt:lpstr>2.1 - Transporte</vt:lpstr>
      <vt:lpstr>2.2 - Viáticos</vt:lpstr>
      <vt:lpstr>2.3 - Socialización</vt:lpstr>
      <vt:lpstr>2.4 - (A,B,C y D) LABORATORIO</vt:lpstr>
      <vt:lpstr>2.5 (A,B y C) - HIDROBIOLOGÍA</vt:lpstr>
      <vt:lpstr>2.6 - LABORATORIO - VTOs</vt:lpstr>
      <vt:lpstr>2.7 - (A,B y C) logis_Monitoreo</vt:lpstr>
      <vt:lpstr>2.8 - Ofer-Deman-Ind</vt:lpstr>
      <vt:lpstr>2.9 - Zonas de Recarga</vt:lpstr>
      <vt:lpstr>2.10 - Impresiones</vt:lpstr>
    </vt:vector>
  </TitlesOfParts>
  <Company>ALEJANDRO ORJUELA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ORJUELA</dc:creator>
  <cp:lastModifiedBy>Oscar Leal</cp:lastModifiedBy>
  <cp:lastPrinted>2026-03-02T20:18:05Z</cp:lastPrinted>
  <dcterms:created xsi:type="dcterms:W3CDTF">2011-02-09T22:36:53Z</dcterms:created>
  <dcterms:modified xsi:type="dcterms:W3CDTF">2026-09-03T04:37:39Z</dcterms:modified>
</cp:coreProperties>
</file>