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IMAT SONSÓN\Documents\VIGENCIA 2026\CONTRATOS\CONVENIO PAE 2026\CONVENIO PAE 2026\"/>
    </mc:Choice>
  </mc:AlternateContent>
  <bookViews>
    <workbookView xWindow="0" yWindow="0" windowWidth="13380" windowHeight="8085" activeTab="1"/>
  </bookViews>
  <sheets>
    <sheet name="Hoja3" sheetId="15" r:id="rId1"/>
    <sheet name="GENERAL 2DO CONTRATO" sheetId="14" r:id="rId2"/>
    <sheet name="PROCESADORAS 2DO CONTRATO" sheetId="13" r:id="rId3"/>
    <sheet name="sedes industrializadas 2 contra" sheetId="16" r:id="rId4"/>
    <sheet name="proyección general ADICION 2" sheetId="11" r:id="rId5"/>
    <sheet name="procesadoras ADICION 2" sheetId="12" r:id="rId6"/>
    <sheet name="calendario escolar" sheetId="5" r:id="rId7"/>
    <sheet name="proyección general Ad-1" sheetId="9" r:id="rId8"/>
    <sheet name="proyección Ad-1  procesadoras" sheetId="8" r:id="rId9"/>
    <sheet name="sedes industrializadas Ad-1" sheetId="10" r:id="rId10"/>
    <sheet name="proyección general Inicial" sheetId="1" r:id="rId11"/>
    <sheet name="proyección inicial procesadoras" sheetId="2" r:id="rId12"/>
    <sheet name="sedes industrializadas" sheetId="4" r:id="rId13"/>
    <sheet name="Hoja1" sheetId="6" r:id="rId14"/>
    <sheet name="Hoja2" sheetId="7" r:id="rId15"/>
  </sheets>
  <definedNames>
    <definedName name="_xlnm._FilterDatabase" localSheetId="5" hidden="1">'procesadoras ADICION 2'!$A$11:$W$11</definedName>
    <definedName name="_xlnm._FilterDatabase" localSheetId="8" hidden="1">'proyección Ad-1  procesadoras'!$A$11:$BA$11</definedName>
    <definedName name="_xlnm._FilterDatabase" localSheetId="11" hidden="1">'proyección inicial procesadoras'!$A$11:$BR$11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5" i="14" l="1"/>
  <c r="B32" i="13"/>
  <c r="B31" i="13"/>
  <c r="O23" i="13"/>
  <c r="P20" i="13"/>
  <c r="P23" i="13"/>
  <c r="L14" i="13"/>
  <c r="P26" i="13"/>
  <c r="P25" i="13"/>
  <c r="P24" i="13"/>
  <c r="O25" i="13"/>
  <c r="O24" i="13"/>
  <c r="P12" i="13"/>
  <c r="P19" i="13"/>
  <c r="P18" i="13"/>
  <c r="O19" i="13"/>
  <c r="O20" i="13"/>
  <c r="O18" i="13"/>
  <c r="O10" i="13"/>
  <c r="P10" i="13" s="1"/>
  <c r="P13" i="13" s="1"/>
  <c r="P11" i="13"/>
  <c r="O11" i="13"/>
  <c r="O12" i="13"/>
  <c r="I18" i="13"/>
  <c r="J10" i="13"/>
  <c r="I10" i="13"/>
  <c r="H10" i="13"/>
  <c r="G10" i="13"/>
  <c r="G18" i="13"/>
  <c r="E39" i="14"/>
  <c r="F38" i="14"/>
  <c r="E38" i="14"/>
  <c r="F37" i="14"/>
  <c r="B26" i="14"/>
  <c r="E27" i="14"/>
  <c r="C27" i="14" l="1"/>
  <c r="D30" i="14"/>
  <c r="G30" i="14" s="1"/>
  <c r="I32" i="14"/>
  <c r="F26" i="14"/>
  <c r="E26" i="14"/>
  <c r="E31" i="11"/>
  <c r="D5" i="15" l="1"/>
  <c r="D2" i="15"/>
  <c r="D4" i="15"/>
  <c r="C5" i="15"/>
  <c r="B5" i="15"/>
  <c r="E5" i="15"/>
  <c r="B2" i="15"/>
  <c r="D1" i="15"/>
  <c r="C37" i="13"/>
  <c r="E19" i="13"/>
  <c r="E20" i="13"/>
  <c r="E18" i="13"/>
  <c r="E11" i="13"/>
  <c r="E12" i="13"/>
  <c r="E10" i="13"/>
  <c r="F4" i="13"/>
  <c r="F3" i="13"/>
  <c r="F2" i="13"/>
  <c r="B72" i="13"/>
  <c r="D150" i="12"/>
  <c r="F5" i="15" l="1"/>
  <c r="D3" i="15"/>
  <c r="C4" i="15"/>
  <c r="C3" i="15"/>
  <c r="F33" i="14" l="1"/>
  <c r="F31" i="14"/>
  <c r="D85" i="13"/>
  <c r="F70" i="13"/>
  <c r="B29" i="1"/>
  <c r="I31" i="14"/>
  <c r="I24" i="14"/>
  <c r="I11" i="13"/>
  <c r="G11" i="13"/>
  <c r="F10" i="13"/>
  <c r="E30" i="11" l="1"/>
  <c r="D29" i="14" l="1"/>
  <c r="D28" i="14"/>
  <c r="D27" i="14"/>
  <c r="D26" i="14"/>
  <c r="D25" i="14"/>
  <c r="C50" i="14"/>
  <c r="B50" i="14"/>
  <c r="C29" i="14"/>
  <c r="C28" i="14"/>
  <c r="C26" i="14"/>
  <c r="C25" i="14"/>
  <c r="D20" i="14"/>
  <c r="D19" i="14"/>
  <c r="D18" i="14"/>
  <c r="C17" i="14"/>
  <c r="D17" i="14" s="1"/>
  <c r="C16" i="14"/>
  <c r="D16" i="14" s="1"/>
  <c r="I19" i="13"/>
  <c r="J19" i="13" s="1"/>
  <c r="I20" i="13"/>
  <c r="J20" i="13" s="1"/>
  <c r="J18" i="13"/>
  <c r="I12" i="13"/>
  <c r="J12" i="13" s="1"/>
  <c r="J11" i="13"/>
  <c r="F5" i="13"/>
  <c r="C4" i="13"/>
  <c r="F20" i="13" s="1"/>
  <c r="G20" i="13" s="1"/>
  <c r="H20" i="13" s="1"/>
  <c r="C3" i="13"/>
  <c r="F19" i="13" s="1"/>
  <c r="C2" i="13"/>
  <c r="C1" i="15" l="1"/>
  <c r="F32" i="14"/>
  <c r="F18" i="13"/>
  <c r="H18" i="13" s="1"/>
  <c r="J21" i="13"/>
  <c r="G19" i="13"/>
  <c r="H19" i="13" s="1"/>
  <c r="F12" i="13"/>
  <c r="G12" i="13" s="1"/>
  <c r="H12" i="13" s="1"/>
  <c r="F11" i="13"/>
  <c r="H11" i="13" s="1"/>
  <c r="J13" i="13"/>
  <c r="B30" i="11"/>
  <c r="B29" i="11"/>
  <c r="E101" i="12"/>
  <c r="E100" i="12"/>
  <c r="E99" i="12"/>
  <c r="H99" i="12" s="1"/>
  <c r="B117" i="12" s="1"/>
  <c r="G99" i="12"/>
  <c r="D9" i="11"/>
  <c r="D8" i="11"/>
  <c r="E118" i="12"/>
  <c r="E117" i="12"/>
  <c r="D118" i="12"/>
  <c r="D117" i="12"/>
  <c r="C118" i="12"/>
  <c r="C117" i="12"/>
  <c r="K108" i="12"/>
  <c r="J108" i="12"/>
  <c r="K107" i="12"/>
  <c r="J107" i="12"/>
  <c r="F109" i="12"/>
  <c r="H108" i="12"/>
  <c r="H107" i="12"/>
  <c r="E107" i="12"/>
  <c r="F101" i="12"/>
  <c r="F100" i="12"/>
  <c r="C183" i="8"/>
  <c r="B28" i="13" l="1"/>
  <c r="H13" i="13"/>
  <c r="K10" i="13" s="1"/>
  <c r="J99" i="12"/>
  <c r="K99" i="12" s="1"/>
  <c r="H21" i="13"/>
  <c r="G107" i="12"/>
  <c r="F108" i="12"/>
  <c r="G108" i="12" s="1"/>
  <c r="K18" i="13" l="1"/>
  <c r="B27" i="13"/>
  <c r="B30" i="13" s="1"/>
  <c r="D29" i="13" s="1"/>
  <c r="E59" i="11"/>
  <c r="E58" i="11"/>
  <c r="D61" i="11"/>
  <c r="D31" i="14" l="1"/>
  <c r="N83" i="12"/>
  <c r="O83" i="12"/>
  <c r="P83" i="12"/>
  <c r="N84" i="12"/>
  <c r="O84" i="12"/>
  <c r="P84" i="12"/>
  <c r="N85" i="12"/>
  <c r="O85" i="12"/>
  <c r="P85" i="12"/>
  <c r="N86" i="12"/>
  <c r="O86" i="12"/>
  <c r="P86" i="12"/>
  <c r="N87" i="12"/>
  <c r="O87" i="12"/>
  <c r="P87" i="12"/>
  <c r="N88" i="12"/>
  <c r="O88" i="12"/>
  <c r="P88" i="12"/>
  <c r="N89" i="12"/>
  <c r="O89" i="12"/>
  <c r="P89" i="12"/>
  <c r="N70" i="12"/>
  <c r="O70" i="12"/>
  <c r="P70" i="12"/>
  <c r="N71" i="12"/>
  <c r="O71" i="12"/>
  <c r="P71" i="12"/>
  <c r="N72" i="12"/>
  <c r="O72" i="12"/>
  <c r="P72" i="12"/>
  <c r="N73" i="12"/>
  <c r="O73" i="12"/>
  <c r="P73" i="12"/>
  <c r="N74" i="12"/>
  <c r="O74" i="12"/>
  <c r="P74" i="12"/>
  <c r="N75" i="12"/>
  <c r="O75" i="12"/>
  <c r="P75" i="12"/>
  <c r="N76" i="12"/>
  <c r="O76" i="12"/>
  <c r="P76" i="12"/>
  <c r="N77" i="12"/>
  <c r="O77" i="12"/>
  <c r="P77" i="12"/>
  <c r="N78" i="12"/>
  <c r="O78" i="12"/>
  <c r="P78" i="12"/>
  <c r="N79" i="12"/>
  <c r="O79" i="12"/>
  <c r="P79" i="12"/>
  <c r="N80" i="12"/>
  <c r="O80" i="12"/>
  <c r="P80" i="12"/>
  <c r="N81" i="12"/>
  <c r="O81" i="12"/>
  <c r="P81" i="12"/>
  <c r="N82" i="12"/>
  <c r="O82" i="12"/>
  <c r="P82" i="12"/>
  <c r="P69" i="12"/>
  <c r="O69" i="12"/>
  <c r="N69" i="12"/>
  <c r="N68" i="12"/>
  <c r="O68" i="12"/>
  <c r="P68" i="12"/>
  <c r="N52" i="12"/>
  <c r="O52" i="12"/>
  <c r="P52" i="12"/>
  <c r="N53" i="12"/>
  <c r="O53" i="12"/>
  <c r="P53" i="12"/>
  <c r="N54" i="12"/>
  <c r="O54" i="12"/>
  <c r="P54" i="12"/>
  <c r="N55" i="12"/>
  <c r="O55" i="12"/>
  <c r="P55" i="12"/>
  <c r="N56" i="12"/>
  <c r="O56" i="12"/>
  <c r="P56" i="12"/>
  <c r="N57" i="12"/>
  <c r="O57" i="12"/>
  <c r="P57" i="12"/>
  <c r="N58" i="12"/>
  <c r="O58" i="12"/>
  <c r="P58" i="12"/>
  <c r="N59" i="12"/>
  <c r="O59" i="12"/>
  <c r="P59" i="12"/>
  <c r="N60" i="12"/>
  <c r="O60" i="12"/>
  <c r="P60" i="12"/>
  <c r="N61" i="12"/>
  <c r="O61" i="12"/>
  <c r="P61" i="12"/>
  <c r="N62" i="12"/>
  <c r="O62" i="12"/>
  <c r="P62" i="12"/>
  <c r="N63" i="12"/>
  <c r="O63" i="12"/>
  <c r="P63" i="12"/>
  <c r="N64" i="12"/>
  <c r="O64" i="12"/>
  <c r="P64" i="12"/>
  <c r="N65" i="12"/>
  <c r="O65" i="12"/>
  <c r="P65" i="12"/>
  <c r="N66" i="12"/>
  <c r="O66" i="12"/>
  <c r="P66" i="12"/>
  <c r="N67" i="12"/>
  <c r="O67" i="12"/>
  <c r="P67" i="12"/>
  <c r="N36" i="12"/>
  <c r="O36" i="12"/>
  <c r="P36" i="12"/>
  <c r="N37" i="12"/>
  <c r="O37" i="12"/>
  <c r="P37" i="12"/>
  <c r="N38" i="12"/>
  <c r="O38" i="12"/>
  <c r="P38" i="12"/>
  <c r="N39" i="12"/>
  <c r="O39" i="12"/>
  <c r="P39" i="12"/>
  <c r="N40" i="12"/>
  <c r="O40" i="12"/>
  <c r="P40" i="12"/>
  <c r="N41" i="12"/>
  <c r="O41" i="12"/>
  <c r="P41" i="12"/>
  <c r="N42" i="12"/>
  <c r="O42" i="12"/>
  <c r="P42" i="12"/>
  <c r="N43" i="12"/>
  <c r="O43" i="12"/>
  <c r="P43" i="12"/>
  <c r="N44" i="12"/>
  <c r="O44" i="12"/>
  <c r="P44" i="12"/>
  <c r="N45" i="12"/>
  <c r="O45" i="12"/>
  <c r="P45" i="12"/>
  <c r="N46" i="12"/>
  <c r="O46" i="12"/>
  <c r="P46" i="12"/>
  <c r="N47" i="12"/>
  <c r="O47" i="12"/>
  <c r="P47" i="12"/>
  <c r="N48" i="12"/>
  <c r="O48" i="12"/>
  <c r="P48" i="12"/>
  <c r="N49" i="12"/>
  <c r="O49" i="12"/>
  <c r="P49" i="12"/>
  <c r="N50" i="12"/>
  <c r="O50" i="12"/>
  <c r="P50" i="12"/>
  <c r="N51" i="12"/>
  <c r="O51" i="12"/>
  <c r="P51" i="12"/>
  <c r="P35" i="12"/>
  <c r="O35" i="12"/>
  <c r="N35" i="12"/>
  <c r="N12" i="12"/>
  <c r="O12" i="12"/>
  <c r="P12" i="12"/>
  <c r="N13" i="12"/>
  <c r="O13" i="12"/>
  <c r="P13" i="12"/>
  <c r="N14" i="12"/>
  <c r="O14" i="12"/>
  <c r="P14" i="12"/>
  <c r="N15" i="12"/>
  <c r="O15" i="12"/>
  <c r="P15" i="12"/>
  <c r="N16" i="12"/>
  <c r="O16" i="12"/>
  <c r="P16" i="12"/>
  <c r="N17" i="12"/>
  <c r="O17" i="12"/>
  <c r="P17" i="12"/>
  <c r="N18" i="12"/>
  <c r="O18" i="12"/>
  <c r="P18" i="12"/>
  <c r="N19" i="12"/>
  <c r="O19" i="12"/>
  <c r="P19" i="12"/>
  <c r="N20" i="12"/>
  <c r="O20" i="12"/>
  <c r="P20" i="12"/>
  <c r="N21" i="12"/>
  <c r="O21" i="12"/>
  <c r="P21" i="12"/>
  <c r="N22" i="12"/>
  <c r="O22" i="12"/>
  <c r="P22" i="12"/>
  <c r="N23" i="12"/>
  <c r="O23" i="12"/>
  <c r="P23" i="12"/>
  <c r="N24" i="12"/>
  <c r="O24" i="12"/>
  <c r="P24" i="12"/>
  <c r="N25" i="12"/>
  <c r="O25" i="12"/>
  <c r="P25" i="12"/>
  <c r="N26" i="12"/>
  <c r="O26" i="12"/>
  <c r="P26" i="12"/>
  <c r="N27" i="12"/>
  <c r="O27" i="12"/>
  <c r="P27" i="12"/>
  <c r="N28" i="12"/>
  <c r="O28" i="12"/>
  <c r="P28" i="12"/>
  <c r="N29" i="12"/>
  <c r="O29" i="12"/>
  <c r="P29" i="12"/>
  <c r="N30" i="12"/>
  <c r="O30" i="12"/>
  <c r="P30" i="12"/>
  <c r="N31" i="12"/>
  <c r="O31" i="12"/>
  <c r="P31" i="12"/>
  <c r="N32" i="12"/>
  <c r="O32" i="12"/>
  <c r="P32" i="12"/>
  <c r="N33" i="12"/>
  <c r="O33" i="12"/>
  <c r="P33" i="12"/>
  <c r="N34" i="12"/>
  <c r="O34" i="12"/>
  <c r="P34" i="12"/>
  <c r="H11" i="2"/>
  <c r="N11" i="2"/>
  <c r="P11" i="12"/>
  <c r="O11" i="12"/>
  <c r="N11" i="12"/>
  <c r="E189" i="8"/>
  <c r="D10" i="11"/>
  <c r="B18" i="5" l="1"/>
  <c r="C33" i="11" l="1"/>
  <c r="C31" i="11"/>
  <c r="B90" i="12"/>
  <c r="B101" i="12"/>
  <c r="B100" i="12"/>
  <c r="G100" i="12" s="1"/>
  <c r="B99" i="12"/>
  <c r="E36" i="12"/>
  <c r="H36" i="12"/>
  <c r="I36" i="12"/>
  <c r="J36" i="12"/>
  <c r="T36" i="12"/>
  <c r="U36" i="12"/>
  <c r="V36" i="12"/>
  <c r="G101" i="12" l="1"/>
  <c r="C119" i="12" s="1"/>
  <c r="C120" i="12" s="1"/>
  <c r="H109" i="12"/>
  <c r="D119" i="12" s="1"/>
  <c r="G109" i="12"/>
  <c r="G102" i="12"/>
  <c r="D90" i="12"/>
  <c r="V89" i="12"/>
  <c r="U89" i="12"/>
  <c r="T89" i="12"/>
  <c r="J89" i="12"/>
  <c r="I89" i="12"/>
  <c r="H89" i="12"/>
  <c r="E89" i="12"/>
  <c r="V88" i="12"/>
  <c r="U88" i="12"/>
  <c r="T88" i="12"/>
  <c r="J88" i="12"/>
  <c r="I88" i="12"/>
  <c r="H88" i="12"/>
  <c r="E88" i="12"/>
  <c r="V87" i="12"/>
  <c r="U87" i="12"/>
  <c r="T87" i="12"/>
  <c r="J87" i="12"/>
  <c r="I87" i="12"/>
  <c r="H87" i="12"/>
  <c r="E87" i="12"/>
  <c r="V86" i="12"/>
  <c r="U86" i="12"/>
  <c r="T86" i="12"/>
  <c r="J86" i="12"/>
  <c r="I86" i="12"/>
  <c r="H86" i="12"/>
  <c r="E86" i="12"/>
  <c r="V85" i="12"/>
  <c r="U85" i="12"/>
  <c r="T85" i="12"/>
  <c r="J85" i="12"/>
  <c r="I85" i="12"/>
  <c r="H85" i="12"/>
  <c r="E85" i="12"/>
  <c r="V84" i="12"/>
  <c r="U84" i="12"/>
  <c r="T84" i="12"/>
  <c r="J84" i="12"/>
  <c r="I84" i="12"/>
  <c r="H84" i="12"/>
  <c r="E84" i="12"/>
  <c r="V83" i="12"/>
  <c r="U83" i="12"/>
  <c r="T83" i="12"/>
  <c r="J83" i="12"/>
  <c r="I83" i="12"/>
  <c r="H83" i="12"/>
  <c r="E83" i="12"/>
  <c r="V82" i="12"/>
  <c r="U82" i="12"/>
  <c r="T82" i="12"/>
  <c r="J82" i="12"/>
  <c r="I82" i="12"/>
  <c r="H82" i="12"/>
  <c r="E82" i="12"/>
  <c r="V81" i="12"/>
  <c r="U81" i="12"/>
  <c r="T81" i="12"/>
  <c r="J81" i="12"/>
  <c r="I81" i="12"/>
  <c r="H81" i="12"/>
  <c r="E81" i="12"/>
  <c r="V80" i="12"/>
  <c r="U80" i="12"/>
  <c r="T80" i="12"/>
  <c r="J80" i="12"/>
  <c r="I80" i="12"/>
  <c r="H80" i="12"/>
  <c r="E80" i="12"/>
  <c r="V79" i="12"/>
  <c r="U79" i="12"/>
  <c r="T79" i="12"/>
  <c r="J79" i="12"/>
  <c r="I79" i="12"/>
  <c r="H79" i="12"/>
  <c r="E79" i="12"/>
  <c r="V78" i="12"/>
  <c r="U78" i="12"/>
  <c r="T78" i="12"/>
  <c r="J78" i="12"/>
  <c r="I78" i="12"/>
  <c r="H78" i="12"/>
  <c r="E78" i="12"/>
  <c r="V77" i="12"/>
  <c r="U77" i="12"/>
  <c r="T77" i="12"/>
  <c r="J77" i="12"/>
  <c r="I77" i="12"/>
  <c r="H77" i="12"/>
  <c r="E77" i="12"/>
  <c r="V76" i="12"/>
  <c r="U76" i="12"/>
  <c r="T76" i="12"/>
  <c r="J76" i="12"/>
  <c r="I76" i="12"/>
  <c r="H76" i="12"/>
  <c r="E76" i="12"/>
  <c r="V75" i="12"/>
  <c r="U75" i="12"/>
  <c r="T75" i="12"/>
  <c r="J75" i="12"/>
  <c r="I75" i="12"/>
  <c r="H75" i="12"/>
  <c r="E75" i="12"/>
  <c r="V74" i="12"/>
  <c r="U74" i="12"/>
  <c r="T74" i="12"/>
  <c r="J74" i="12"/>
  <c r="I74" i="12"/>
  <c r="H74" i="12"/>
  <c r="E74" i="12"/>
  <c r="V73" i="12"/>
  <c r="U73" i="12"/>
  <c r="T73" i="12"/>
  <c r="J73" i="12"/>
  <c r="I73" i="12"/>
  <c r="H73" i="12"/>
  <c r="E73" i="12"/>
  <c r="V72" i="12"/>
  <c r="U72" i="12"/>
  <c r="T72" i="12"/>
  <c r="J72" i="12"/>
  <c r="I72" i="12"/>
  <c r="H72" i="12"/>
  <c r="E72" i="12"/>
  <c r="V71" i="12"/>
  <c r="U71" i="12"/>
  <c r="T71" i="12"/>
  <c r="J71" i="12"/>
  <c r="I71" i="12"/>
  <c r="H71" i="12"/>
  <c r="E71" i="12"/>
  <c r="V70" i="12"/>
  <c r="U70" i="12"/>
  <c r="T70" i="12"/>
  <c r="J70" i="12"/>
  <c r="I70" i="12"/>
  <c r="H70" i="12"/>
  <c r="E70" i="12"/>
  <c r="V69" i="12"/>
  <c r="U69" i="12"/>
  <c r="T69" i="12"/>
  <c r="J69" i="12"/>
  <c r="I69" i="12"/>
  <c r="H69" i="12"/>
  <c r="E69" i="12"/>
  <c r="V68" i="12"/>
  <c r="U68" i="12"/>
  <c r="T68" i="12"/>
  <c r="J68" i="12"/>
  <c r="I68" i="12"/>
  <c r="H68" i="12"/>
  <c r="E68" i="12"/>
  <c r="V67" i="12"/>
  <c r="U67" i="12"/>
  <c r="T67" i="12"/>
  <c r="J67" i="12"/>
  <c r="I67" i="12"/>
  <c r="H67" i="12"/>
  <c r="E67" i="12"/>
  <c r="V66" i="12"/>
  <c r="U66" i="12"/>
  <c r="T66" i="12"/>
  <c r="J66" i="12"/>
  <c r="I66" i="12"/>
  <c r="H66" i="12"/>
  <c r="E66" i="12"/>
  <c r="V65" i="12"/>
  <c r="U65" i="12"/>
  <c r="T65" i="12"/>
  <c r="J65" i="12"/>
  <c r="I65" i="12"/>
  <c r="H65" i="12"/>
  <c r="E65" i="12"/>
  <c r="V64" i="12"/>
  <c r="U64" i="12"/>
  <c r="T64" i="12"/>
  <c r="J64" i="12"/>
  <c r="I64" i="12"/>
  <c r="H64" i="12"/>
  <c r="E64" i="12"/>
  <c r="V63" i="12"/>
  <c r="U63" i="12"/>
  <c r="T63" i="12"/>
  <c r="J63" i="12"/>
  <c r="I63" i="12"/>
  <c r="H63" i="12"/>
  <c r="E63" i="12"/>
  <c r="V62" i="12"/>
  <c r="U62" i="12"/>
  <c r="T62" i="12"/>
  <c r="J62" i="12"/>
  <c r="I62" i="12"/>
  <c r="H62" i="12"/>
  <c r="E62" i="12"/>
  <c r="V61" i="12"/>
  <c r="U61" i="12"/>
  <c r="T61" i="12"/>
  <c r="J61" i="12"/>
  <c r="I61" i="12"/>
  <c r="H61" i="12"/>
  <c r="E61" i="12"/>
  <c r="V60" i="12"/>
  <c r="U60" i="12"/>
  <c r="T60" i="12"/>
  <c r="J60" i="12"/>
  <c r="I60" i="12"/>
  <c r="H60" i="12"/>
  <c r="E60" i="12"/>
  <c r="V59" i="12"/>
  <c r="U59" i="12"/>
  <c r="T59" i="12"/>
  <c r="J59" i="12"/>
  <c r="I59" i="12"/>
  <c r="H59" i="12"/>
  <c r="E59" i="12"/>
  <c r="V58" i="12"/>
  <c r="U58" i="12"/>
  <c r="T58" i="12"/>
  <c r="J58" i="12"/>
  <c r="I58" i="12"/>
  <c r="H58" i="12"/>
  <c r="E58" i="12"/>
  <c r="V57" i="12"/>
  <c r="U57" i="12"/>
  <c r="T57" i="12"/>
  <c r="J57" i="12"/>
  <c r="I57" i="12"/>
  <c r="H57" i="12"/>
  <c r="E57" i="12"/>
  <c r="V56" i="12"/>
  <c r="U56" i="12"/>
  <c r="T56" i="12"/>
  <c r="J56" i="12"/>
  <c r="I56" i="12"/>
  <c r="H56" i="12"/>
  <c r="E56" i="12"/>
  <c r="V55" i="12"/>
  <c r="U55" i="12"/>
  <c r="T55" i="12"/>
  <c r="J55" i="12"/>
  <c r="I55" i="12"/>
  <c r="H55" i="12"/>
  <c r="E55" i="12"/>
  <c r="V54" i="12"/>
  <c r="U54" i="12"/>
  <c r="T54" i="12"/>
  <c r="J54" i="12"/>
  <c r="I54" i="12"/>
  <c r="H54" i="12"/>
  <c r="E54" i="12"/>
  <c r="V53" i="12"/>
  <c r="U53" i="12"/>
  <c r="T53" i="12"/>
  <c r="J53" i="12"/>
  <c r="I53" i="12"/>
  <c r="H53" i="12"/>
  <c r="E53" i="12"/>
  <c r="V52" i="12"/>
  <c r="U52" i="12"/>
  <c r="T52" i="12"/>
  <c r="J52" i="12"/>
  <c r="I52" i="12"/>
  <c r="H52" i="12"/>
  <c r="E52" i="12"/>
  <c r="V51" i="12"/>
  <c r="U51" i="12"/>
  <c r="T51" i="12"/>
  <c r="J51" i="12"/>
  <c r="I51" i="12"/>
  <c r="H51" i="12"/>
  <c r="E51" i="12"/>
  <c r="V50" i="12"/>
  <c r="U50" i="12"/>
  <c r="T50" i="12"/>
  <c r="J50" i="12"/>
  <c r="I50" i="12"/>
  <c r="H50" i="12"/>
  <c r="E50" i="12"/>
  <c r="V49" i="12"/>
  <c r="U49" i="12"/>
  <c r="T49" i="12"/>
  <c r="J49" i="12"/>
  <c r="I49" i="12"/>
  <c r="H49" i="12"/>
  <c r="E49" i="12"/>
  <c r="V48" i="12"/>
  <c r="U48" i="12"/>
  <c r="T48" i="12"/>
  <c r="J48" i="12"/>
  <c r="I48" i="12"/>
  <c r="H48" i="12"/>
  <c r="E48" i="12"/>
  <c r="V47" i="12"/>
  <c r="U47" i="12"/>
  <c r="T47" i="12"/>
  <c r="J47" i="12"/>
  <c r="I47" i="12"/>
  <c r="H47" i="12"/>
  <c r="E47" i="12"/>
  <c r="V46" i="12"/>
  <c r="U46" i="12"/>
  <c r="T46" i="12"/>
  <c r="J46" i="12"/>
  <c r="I46" i="12"/>
  <c r="H46" i="12"/>
  <c r="E46" i="12"/>
  <c r="V45" i="12"/>
  <c r="U45" i="12"/>
  <c r="T45" i="12"/>
  <c r="J45" i="12"/>
  <c r="I45" i="12"/>
  <c r="H45" i="12"/>
  <c r="E45" i="12"/>
  <c r="V44" i="12"/>
  <c r="U44" i="12"/>
  <c r="T44" i="12"/>
  <c r="J44" i="12"/>
  <c r="I44" i="12"/>
  <c r="H44" i="12"/>
  <c r="E44" i="12"/>
  <c r="V43" i="12"/>
  <c r="U43" i="12"/>
  <c r="T43" i="12"/>
  <c r="J43" i="12"/>
  <c r="I43" i="12"/>
  <c r="H43" i="12"/>
  <c r="E43" i="12"/>
  <c r="V42" i="12"/>
  <c r="U42" i="12"/>
  <c r="T42" i="12"/>
  <c r="J42" i="12"/>
  <c r="I42" i="12"/>
  <c r="H42" i="12"/>
  <c r="E42" i="12"/>
  <c r="V41" i="12"/>
  <c r="U41" i="12"/>
  <c r="T41" i="12"/>
  <c r="J41" i="12"/>
  <c r="I41" i="12"/>
  <c r="H41" i="12"/>
  <c r="E41" i="12"/>
  <c r="V40" i="12"/>
  <c r="U40" i="12"/>
  <c r="T40" i="12"/>
  <c r="J40" i="12"/>
  <c r="I40" i="12"/>
  <c r="H40" i="12"/>
  <c r="E40" i="12"/>
  <c r="V39" i="12"/>
  <c r="U39" i="12"/>
  <c r="T39" i="12"/>
  <c r="J39" i="12"/>
  <c r="I39" i="12"/>
  <c r="H39" i="12"/>
  <c r="E39" i="12"/>
  <c r="V38" i="12"/>
  <c r="U38" i="12"/>
  <c r="T38" i="12"/>
  <c r="J38" i="12"/>
  <c r="I38" i="12"/>
  <c r="H38" i="12"/>
  <c r="E38" i="12"/>
  <c r="V37" i="12"/>
  <c r="U37" i="12"/>
  <c r="T37" i="12"/>
  <c r="J37" i="12"/>
  <c r="I37" i="12"/>
  <c r="H37" i="12"/>
  <c r="E37" i="12"/>
  <c r="V34" i="12"/>
  <c r="U34" i="12"/>
  <c r="T34" i="12"/>
  <c r="J34" i="12"/>
  <c r="I34" i="12"/>
  <c r="H34" i="12"/>
  <c r="E34" i="12"/>
  <c r="V33" i="12"/>
  <c r="U33" i="12"/>
  <c r="T33" i="12"/>
  <c r="J33" i="12"/>
  <c r="I33" i="12"/>
  <c r="H33" i="12"/>
  <c r="E33" i="12"/>
  <c r="V32" i="12"/>
  <c r="U32" i="12"/>
  <c r="T32" i="12"/>
  <c r="J32" i="12"/>
  <c r="I32" i="12"/>
  <c r="H32" i="12"/>
  <c r="E32" i="12"/>
  <c r="V31" i="12"/>
  <c r="U31" i="12"/>
  <c r="T31" i="12"/>
  <c r="J31" i="12"/>
  <c r="I31" i="12"/>
  <c r="H31" i="12"/>
  <c r="E31" i="12"/>
  <c r="V30" i="12"/>
  <c r="U30" i="12"/>
  <c r="T30" i="12"/>
  <c r="J30" i="12"/>
  <c r="I30" i="12"/>
  <c r="H30" i="12"/>
  <c r="E30" i="12"/>
  <c r="V29" i="12"/>
  <c r="U29" i="12"/>
  <c r="T29" i="12"/>
  <c r="J29" i="12"/>
  <c r="I29" i="12"/>
  <c r="H29" i="12"/>
  <c r="E29" i="12"/>
  <c r="V28" i="12"/>
  <c r="U28" i="12"/>
  <c r="T28" i="12"/>
  <c r="J28" i="12"/>
  <c r="I28" i="12"/>
  <c r="H28" i="12"/>
  <c r="E28" i="12"/>
  <c r="V27" i="12"/>
  <c r="U27" i="12"/>
  <c r="T27" i="12"/>
  <c r="J27" i="12"/>
  <c r="I27" i="12"/>
  <c r="H27" i="12"/>
  <c r="E27" i="12"/>
  <c r="V26" i="12"/>
  <c r="U26" i="12"/>
  <c r="T26" i="12"/>
  <c r="J26" i="12"/>
  <c r="I26" i="12"/>
  <c r="H26" i="12"/>
  <c r="E26" i="12"/>
  <c r="V25" i="12"/>
  <c r="U25" i="12"/>
  <c r="T25" i="12"/>
  <c r="J25" i="12"/>
  <c r="I25" i="12"/>
  <c r="H25" i="12"/>
  <c r="E25" i="12"/>
  <c r="V24" i="12"/>
  <c r="U24" i="12"/>
  <c r="T24" i="12"/>
  <c r="J24" i="12"/>
  <c r="I24" i="12"/>
  <c r="H24" i="12"/>
  <c r="E24" i="12"/>
  <c r="V23" i="12"/>
  <c r="U23" i="12"/>
  <c r="T23" i="12"/>
  <c r="J23" i="12"/>
  <c r="I23" i="12"/>
  <c r="H23" i="12"/>
  <c r="E23" i="12"/>
  <c r="V22" i="12"/>
  <c r="U22" i="12"/>
  <c r="T22" i="12"/>
  <c r="J22" i="12"/>
  <c r="I22" i="12"/>
  <c r="H22" i="12"/>
  <c r="E22" i="12"/>
  <c r="V35" i="12"/>
  <c r="U35" i="12"/>
  <c r="T35" i="12"/>
  <c r="J35" i="12"/>
  <c r="I35" i="12"/>
  <c r="H35" i="12"/>
  <c r="E35" i="12"/>
  <c r="V21" i="12"/>
  <c r="U21" i="12"/>
  <c r="T21" i="12"/>
  <c r="J21" i="12"/>
  <c r="I21" i="12"/>
  <c r="H21" i="12"/>
  <c r="E21" i="12"/>
  <c r="V20" i="12"/>
  <c r="U20" i="12"/>
  <c r="T20" i="12"/>
  <c r="J20" i="12"/>
  <c r="I20" i="12"/>
  <c r="H20" i="12"/>
  <c r="E20" i="12"/>
  <c r="V19" i="12"/>
  <c r="U19" i="12"/>
  <c r="T19" i="12"/>
  <c r="J19" i="12"/>
  <c r="I19" i="12"/>
  <c r="H19" i="12"/>
  <c r="E19" i="12"/>
  <c r="V18" i="12"/>
  <c r="U18" i="12"/>
  <c r="T18" i="12"/>
  <c r="J18" i="12"/>
  <c r="I18" i="12"/>
  <c r="H18" i="12"/>
  <c r="E18" i="12"/>
  <c r="V17" i="12"/>
  <c r="U17" i="12"/>
  <c r="T17" i="12"/>
  <c r="J17" i="12"/>
  <c r="I17" i="12"/>
  <c r="H17" i="12"/>
  <c r="E17" i="12"/>
  <c r="V16" i="12"/>
  <c r="U16" i="12"/>
  <c r="T16" i="12"/>
  <c r="J16" i="12"/>
  <c r="I16" i="12"/>
  <c r="H16" i="12"/>
  <c r="E16" i="12"/>
  <c r="V15" i="12"/>
  <c r="U15" i="12"/>
  <c r="T15" i="12"/>
  <c r="J15" i="12"/>
  <c r="I15" i="12"/>
  <c r="H15" i="12"/>
  <c r="E15" i="12"/>
  <c r="V14" i="12"/>
  <c r="U14" i="12"/>
  <c r="T14" i="12"/>
  <c r="J14" i="12"/>
  <c r="I14" i="12"/>
  <c r="H14" i="12"/>
  <c r="E14" i="12"/>
  <c r="V13" i="12"/>
  <c r="U13" i="12"/>
  <c r="T13" i="12"/>
  <c r="J13" i="12"/>
  <c r="I13" i="12"/>
  <c r="H13" i="12"/>
  <c r="E13" i="12"/>
  <c r="V12" i="12"/>
  <c r="U12" i="12"/>
  <c r="T12" i="12"/>
  <c r="J12" i="12"/>
  <c r="I12" i="12"/>
  <c r="H12" i="12"/>
  <c r="E12" i="12"/>
  <c r="V11" i="12"/>
  <c r="U11" i="12"/>
  <c r="T11" i="12"/>
  <c r="J11" i="12"/>
  <c r="I11" i="12"/>
  <c r="H11" i="12"/>
  <c r="E11" i="12"/>
  <c r="C6" i="12"/>
  <c r="C5" i="12"/>
  <c r="C4" i="12"/>
  <c r="G1" i="12"/>
  <c r="C54" i="11"/>
  <c r="B54" i="11"/>
  <c r="D33" i="11"/>
  <c r="F37" i="11" s="1"/>
  <c r="C32" i="11"/>
  <c r="D32" i="11" s="1"/>
  <c r="F36" i="11" s="1"/>
  <c r="R30" i="11"/>
  <c r="C30" i="11"/>
  <c r="D30" i="11" s="1"/>
  <c r="R29" i="11"/>
  <c r="C29" i="11"/>
  <c r="D29" i="11" s="1"/>
  <c r="R28" i="11"/>
  <c r="D24" i="11"/>
  <c r="D23" i="11"/>
  <c r="R22" i="11"/>
  <c r="D22" i="11"/>
  <c r="R21" i="11"/>
  <c r="C21" i="11"/>
  <c r="D21" i="11" s="1"/>
  <c r="R20" i="11"/>
  <c r="C20" i="11"/>
  <c r="D20" i="11" s="1"/>
  <c r="E119" i="12" l="1"/>
  <c r="J109" i="12"/>
  <c r="K109" i="12" s="1"/>
  <c r="G110" i="12"/>
  <c r="C99" i="12"/>
  <c r="M11" i="12"/>
  <c r="M68" i="12"/>
  <c r="M35" i="12"/>
  <c r="Q35" i="12" s="1"/>
  <c r="G67" i="12"/>
  <c r="K67" i="12" s="1"/>
  <c r="S67" i="12"/>
  <c r="W67" i="12" s="1"/>
  <c r="S68" i="12"/>
  <c r="G68" i="12"/>
  <c r="S35" i="12"/>
  <c r="W35" i="12" s="1"/>
  <c r="G35" i="12"/>
  <c r="K35" i="12" s="1"/>
  <c r="M67" i="12"/>
  <c r="Q67" i="12" s="1"/>
  <c r="G88" i="12"/>
  <c r="G69" i="12"/>
  <c r="K69" i="12" s="1"/>
  <c r="S88" i="12"/>
  <c r="W88" i="12" s="1"/>
  <c r="M88" i="12"/>
  <c r="Q88" i="12" s="1"/>
  <c r="G30" i="12"/>
  <c r="K30" i="12" s="1"/>
  <c r="G11" i="12"/>
  <c r="K11" i="12" s="1"/>
  <c r="Q11" i="12"/>
  <c r="S11" i="12"/>
  <c r="W11" i="12" s="1"/>
  <c r="S36" i="12"/>
  <c r="W36" i="12" s="1"/>
  <c r="G36" i="12"/>
  <c r="K36" i="12" s="1"/>
  <c r="M36" i="12"/>
  <c r="Q36" i="12" s="1"/>
  <c r="S14" i="12"/>
  <c r="W14" i="12" s="1"/>
  <c r="G13" i="12"/>
  <c r="K13" i="12" s="1"/>
  <c r="M23" i="12"/>
  <c r="Q23" i="12" s="1"/>
  <c r="G27" i="12"/>
  <c r="K27" i="12" s="1"/>
  <c r="S25" i="12"/>
  <c r="W25" i="12" s="1"/>
  <c r="G12" i="12"/>
  <c r="K12" i="12" s="1"/>
  <c r="M14" i="12"/>
  <c r="Q14" i="12" s="1"/>
  <c r="S17" i="12"/>
  <c r="W17" i="12" s="1"/>
  <c r="G19" i="12"/>
  <c r="K19" i="12" s="1"/>
  <c r="M15" i="12"/>
  <c r="Q15" i="12" s="1"/>
  <c r="S18" i="12"/>
  <c r="W18" i="12" s="1"/>
  <c r="G20" i="12"/>
  <c r="K20" i="12" s="1"/>
  <c r="M22" i="12"/>
  <c r="Q22" i="12" s="1"/>
  <c r="G24" i="12"/>
  <c r="K24" i="12" s="1"/>
  <c r="S27" i="12"/>
  <c r="W27" i="12" s="1"/>
  <c r="M31" i="12"/>
  <c r="Q31" i="12" s="1"/>
  <c r="M16" i="12"/>
  <c r="Q16" i="12" s="1"/>
  <c r="S19" i="12"/>
  <c r="W19" i="12" s="1"/>
  <c r="G21" i="12"/>
  <c r="K21" i="12" s="1"/>
  <c r="G28" i="12"/>
  <c r="K28" i="12" s="1"/>
  <c r="S39" i="12"/>
  <c r="W39" i="12" s="1"/>
  <c r="G41" i="12"/>
  <c r="K41" i="12" s="1"/>
  <c r="S47" i="12"/>
  <c r="W47" i="12" s="1"/>
  <c r="G49" i="12"/>
  <c r="K49" i="12" s="1"/>
  <c r="S55" i="12"/>
  <c r="W55" i="12" s="1"/>
  <c r="G57" i="12"/>
  <c r="K57" i="12" s="1"/>
  <c r="S12" i="12"/>
  <c r="W12" i="12" s="1"/>
  <c r="G14" i="12"/>
  <c r="K14" i="12" s="1"/>
  <c r="M17" i="12"/>
  <c r="Q17" i="12" s="1"/>
  <c r="S20" i="12"/>
  <c r="W20" i="12" s="1"/>
  <c r="S28" i="12"/>
  <c r="W28" i="12" s="1"/>
  <c r="M32" i="12"/>
  <c r="Q32" i="12" s="1"/>
  <c r="S13" i="12"/>
  <c r="W13" i="12" s="1"/>
  <c r="G15" i="12"/>
  <c r="K15" i="12" s="1"/>
  <c r="M18" i="12"/>
  <c r="Q18" i="12" s="1"/>
  <c r="S21" i="12"/>
  <c r="W21" i="12" s="1"/>
  <c r="G22" i="12"/>
  <c r="K22" i="12" s="1"/>
  <c r="M25" i="12"/>
  <c r="Q25" i="12" s="1"/>
  <c r="S26" i="12"/>
  <c r="W26" i="12" s="1"/>
  <c r="M27" i="12"/>
  <c r="Q27" i="12" s="1"/>
  <c r="S30" i="12"/>
  <c r="W30" i="12" s="1"/>
  <c r="G16" i="12"/>
  <c r="K16" i="12" s="1"/>
  <c r="M19" i="12"/>
  <c r="Q19" i="12" s="1"/>
  <c r="S23" i="12"/>
  <c r="W23" i="12" s="1"/>
  <c r="G29" i="12"/>
  <c r="K29" i="12" s="1"/>
  <c r="S89" i="12"/>
  <c r="W89" i="12" s="1"/>
  <c r="M86" i="12"/>
  <c r="Q86" i="12" s="1"/>
  <c r="G83" i="12"/>
  <c r="K83" i="12" s="1"/>
  <c r="S81" i="12"/>
  <c r="W81" i="12" s="1"/>
  <c r="M78" i="12"/>
  <c r="Q78" i="12" s="1"/>
  <c r="G75" i="12"/>
  <c r="K75" i="12" s="1"/>
  <c r="S73" i="12"/>
  <c r="W73" i="12" s="1"/>
  <c r="M70" i="12"/>
  <c r="Q70" i="12" s="1"/>
  <c r="M85" i="12"/>
  <c r="Q85" i="12" s="1"/>
  <c r="G82" i="12"/>
  <c r="K82" i="12" s="1"/>
  <c r="S80" i="12"/>
  <c r="W80" i="12" s="1"/>
  <c r="M77" i="12"/>
  <c r="Q77" i="12" s="1"/>
  <c r="G74" i="12"/>
  <c r="K74" i="12" s="1"/>
  <c r="S72" i="12"/>
  <c r="W72" i="12" s="1"/>
  <c r="M69" i="12"/>
  <c r="Q69" i="12" s="1"/>
  <c r="C101" i="12"/>
  <c r="H101" i="12" s="1"/>
  <c r="G89" i="12"/>
  <c r="K89" i="12" s="1"/>
  <c r="S87" i="12"/>
  <c r="W87" i="12" s="1"/>
  <c r="M84" i="12"/>
  <c r="Q84" i="12" s="1"/>
  <c r="G81" i="12"/>
  <c r="K81" i="12" s="1"/>
  <c r="S79" i="12"/>
  <c r="W79" i="12" s="1"/>
  <c r="M76" i="12"/>
  <c r="Q76" i="12" s="1"/>
  <c r="G73" i="12"/>
  <c r="K73" i="12" s="1"/>
  <c r="S71" i="12"/>
  <c r="W71" i="12" s="1"/>
  <c r="S86" i="12"/>
  <c r="W86" i="12" s="1"/>
  <c r="M83" i="12"/>
  <c r="Q83" i="12" s="1"/>
  <c r="G80" i="12"/>
  <c r="K80" i="12" s="1"/>
  <c r="S78" i="12"/>
  <c r="W78" i="12" s="1"/>
  <c r="M75" i="12"/>
  <c r="Q75" i="12" s="1"/>
  <c r="G72" i="12"/>
  <c r="K72" i="12" s="1"/>
  <c r="S70" i="12"/>
  <c r="W70" i="12" s="1"/>
  <c r="G87" i="12"/>
  <c r="K87" i="12" s="1"/>
  <c r="S85" i="12"/>
  <c r="W85" i="12" s="1"/>
  <c r="M82" i="12"/>
  <c r="Q82" i="12" s="1"/>
  <c r="G79" i="12"/>
  <c r="K79" i="12" s="1"/>
  <c r="S77" i="12"/>
  <c r="W77" i="12" s="1"/>
  <c r="M74" i="12"/>
  <c r="Q74" i="12" s="1"/>
  <c r="G71" i="12"/>
  <c r="K71" i="12" s="1"/>
  <c r="S69" i="12"/>
  <c r="W69" i="12" s="1"/>
  <c r="M89" i="12"/>
  <c r="Q89" i="12" s="1"/>
  <c r="G86" i="12"/>
  <c r="K86" i="12" s="1"/>
  <c r="S84" i="12"/>
  <c r="W84" i="12" s="1"/>
  <c r="M81" i="12"/>
  <c r="Q81" i="12" s="1"/>
  <c r="G78" i="12"/>
  <c r="K78" i="12" s="1"/>
  <c r="S76" i="12"/>
  <c r="W76" i="12" s="1"/>
  <c r="M73" i="12"/>
  <c r="Q73" i="12" s="1"/>
  <c r="G70" i="12"/>
  <c r="K70" i="12" s="1"/>
  <c r="G85" i="12"/>
  <c r="K85" i="12" s="1"/>
  <c r="S83" i="12"/>
  <c r="W83" i="12" s="1"/>
  <c r="M80" i="12"/>
  <c r="Q80" i="12" s="1"/>
  <c r="G77" i="12"/>
  <c r="K77" i="12" s="1"/>
  <c r="S75" i="12"/>
  <c r="W75" i="12" s="1"/>
  <c r="M72" i="12"/>
  <c r="Q72" i="12" s="1"/>
  <c r="G84" i="12"/>
  <c r="K84" i="12" s="1"/>
  <c r="S82" i="12"/>
  <c r="W82" i="12" s="1"/>
  <c r="G76" i="12"/>
  <c r="K76" i="12" s="1"/>
  <c r="S74" i="12"/>
  <c r="W74" i="12" s="1"/>
  <c r="M87" i="12"/>
  <c r="Q87" i="12" s="1"/>
  <c r="M79" i="12"/>
  <c r="Q79" i="12" s="1"/>
  <c r="M71" i="12"/>
  <c r="Q71" i="12" s="1"/>
  <c r="Q68" i="12"/>
  <c r="W68" i="12"/>
  <c r="M34" i="12"/>
  <c r="Q34" i="12" s="1"/>
  <c r="G31" i="12"/>
  <c r="K31" i="12" s="1"/>
  <c r="S29" i="12"/>
  <c r="W29" i="12" s="1"/>
  <c r="M26" i="12"/>
  <c r="Q26" i="12" s="1"/>
  <c r="G23" i="12"/>
  <c r="K23" i="12" s="1"/>
  <c r="M33" i="12"/>
  <c r="Q33" i="12" s="1"/>
  <c r="K68" i="12"/>
  <c r="S34" i="12"/>
  <c r="W34" i="12" s="1"/>
  <c r="S33" i="12"/>
  <c r="W33" i="12" s="1"/>
  <c r="M30" i="12"/>
  <c r="Q30" i="12" s="1"/>
  <c r="G34" i="12"/>
  <c r="K34" i="12" s="1"/>
  <c r="S32" i="12"/>
  <c r="W32" i="12" s="1"/>
  <c r="M29" i="12"/>
  <c r="Q29" i="12" s="1"/>
  <c r="G26" i="12"/>
  <c r="K26" i="12" s="1"/>
  <c r="S24" i="12"/>
  <c r="W24" i="12" s="1"/>
  <c r="G33" i="12"/>
  <c r="K33" i="12" s="1"/>
  <c r="S31" i="12"/>
  <c r="W31" i="12" s="1"/>
  <c r="M28" i="12"/>
  <c r="Q28" i="12" s="1"/>
  <c r="M12" i="12"/>
  <c r="Q12" i="12" s="1"/>
  <c r="S15" i="12"/>
  <c r="W15" i="12" s="1"/>
  <c r="G17" i="12"/>
  <c r="K17" i="12" s="1"/>
  <c r="M20" i="12"/>
  <c r="Q20" i="12" s="1"/>
  <c r="S22" i="12"/>
  <c r="W22" i="12" s="1"/>
  <c r="M24" i="12"/>
  <c r="Q24" i="12" s="1"/>
  <c r="G32" i="12"/>
  <c r="K32" i="12" s="1"/>
  <c r="M44" i="12"/>
  <c r="Q44" i="12" s="1"/>
  <c r="M52" i="12"/>
  <c r="Q52" i="12" s="1"/>
  <c r="M60" i="12"/>
  <c r="Q60" i="12" s="1"/>
  <c r="C100" i="12"/>
  <c r="H100" i="12" s="1"/>
  <c r="S65" i="12"/>
  <c r="W65" i="12" s="1"/>
  <c r="G66" i="12"/>
  <c r="K66" i="12" s="1"/>
  <c r="S64" i="12"/>
  <c r="W64" i="12" s="1"/>
  <c r="G65" i="12"/>
  <c r="K65" i="12" s="1"/>
  <c r="S63" i="12"/>
  <c r="W63" i="12" s="1"/>
  <c r="K88" i="12"/>
  <c r="G64" i="12"/>
  <c r="K64" i="12" s="1"/>
  <c r="M66" i="12"/>
  <c r="Q66" i="12" s="1"/>
  <c r="G63" i="12"/>
  <c r="K63" i="12" s="1"/>
  <c r="M65" i="12"/>
  <c r="Q65" i="12" s="1"/>
  <c r="M64" i="12"/>
  <c r="Q64" i="12" s="1"/>
  <c r="S62" i="12"/>
  <c r="W62" i="12" s="1"/>
  <c r="M59" i="12"/>
  <c r="Q59" i="12" s="1"/>
  <c r="G56" i="12"/>
  <c r="K56" i="12" s="1"/>
  <c r="S54" i="12"/>
  <c r="W54" i="12" s="1"/>
  <c r="M51" i="12"/>
  <c r="Q51" i="12" s="1"/>
  <c r="G48" i="12"/>
  <c r="K48" i="12" s="1"/>
  <c r="S46" i="12"/>
  <c r="W46" i="12" s="1"/>
  <c r="M43" i="12"/>
  <c r="Q43" i="12" s="1"/>
  <c r="G40" i="12"/>
  <c r="K40" i="12" s="1"/>
  <c r="S38" i="12"/>
  <c r="W38" i="12" s="1"/>
  <c r="S61" i="12"/>
  <c r="W61" i="12" s="1"/>
  <c r="M58" i="12"/>
  <c r="Q58" i="12" s="1"/>
  <c r="G55" i="12"/>
  <c r="K55" i="12" s="1"/>
  <c r="S53" i="12"/>
  <c r="W53" i="12" s="1"/>
  <c r="M50" i="12"/>
  <c r="Q50" i="12" s="1"/>
  <c r="G47" i="12"/>
  <c r="K47" i="12" s="1"/>
  <c r="S45" i="12"/>
  <c r="W45" i="12" s="1"/>
  <c r="M42" i="12"/>
  <c r="Q42" i="12" s="1"/>
  <c r="G39" i="12"/>
  <c r="K39" i="12" s="1"/>
  <c r="S37" i="12"/>
  <c r="W37" i="12" s="1"/>
  <c r="S66" i="12"/>
  <c r="W66" i="12" s="1"/>
  <c r="G62" i="12"/>
  <c r="K62" i="12" s="1"/>
  <c r="S60" i="12"/>
  <c r="W60" i="12" s="1"/>
  <c r="M57" i="12"/>
  <c r="Q57" i="12" s="1"/>
  <c r="G54" i="12"/>
  <c r="K54" i="12" s="1"/>
  <c r="S52" i="12"/>
  <c r="W52" i="12" s="1"/>
  <c r="M49" i="12"/>
  <c r="Q49" i="12" s="1"/>
  <c r="G46" i="12"/>
  <c r="K46" i="12" s="1"/>
  <c r="S44" i="12"/>
  <c r="W44" i="12" s="1"/>
  <c r="M41" i="12"/>
  <c r="Q41" i="12" s="1"/>
  <c r="G38" i="12"/>
  <c r="K38" i="12" s="1"/>
  <c r="G61" i="12"/>
  <c r="K61" i="12" s="1"/>
  <c r="S59" i="12"/>
  <c r="W59" i="12" s="1"/>
  <c r="M56" i="12"/>
  <c r="Q56" i="12" s="1"/>
  <c r="G53" i="12"/>
  <c r="K53" i="12" s="1"/>
  <c r="S51" i="12"/>
  <c r="W51" i="12" s="1"/>
  <c r="M48" i="12"/>
  <c r="Q48" i="12" s="1"/>
  <c r="G45" i="12"/>
  <c r="K45" i="12" s="1"/>
  <c r="S43" i="12"/>
  <c r="W43" i="12" s="1"/>
  <c r="M40" i="12"/>
  <c r="Q40" i="12" s="1"/>
  <c r="G37" i="12"/>
  <c r="K37" i="12" s="1"/>
  <c r="G60" i="12"/>
  <c r="K60" i="12" s="1"/>
  <c r="S58" i="12"/>
  <c r="W58" i="12" s="1"/>
  <c r="M55" i="12"/>
  <c r="Q55" i="12" s="1"/>
  <c r="G52" i="12"/>
  <c r="K52" i="12" s="1"/>
  <c r="S50" i="12"/>
  <c r="W50" i="12" s="1"/>
  <c r="M47" i="12"/>
  <c r="Q47" i="12" s="1"/>
  <c r="G44" i="12"/>
  <c r="K44" i="12" s="1"/>
  <c r="S42" i="12"/>
  <c r="W42" i="12" s="1"/>
  <c r="M39" i="12"/>
  <c r="Q39" i="12" s="1"/>
  <c r="M62" i="12"/>
  <c r="Q62" i="12" s="1"/>
  <c r="G59" i="12"/>
  <c r="K59" i="12" s="1"/>
  <c r="S57" i="12"/>
  <c r="W57" i="12" s="1"/>
  <c r="M54" i="12"/>
  <c r="Q54" i="12" s="1"/>
  <c r="G51" i="12"/>
  <c r="K51" i="12" s="1"/>
  <c r="S49" i="12"/>
  <c r="W49" i="12" s="1"/>
  <c r="M46" i="12"/>
  <c r="Q46" i="12" s="1"/>
  <c r="G43" i="12"/>
  <c r="K43" i="12" s="1"/>
  <c r="S41" i="12"/>
  <c r="W41" i="12" s="1"/>
  <c r="M38" i="12"/>
  <c r="Q38" i="12" s="1"/>
  <c r="M63" i="12"/>
  <c r="Q63" i="12" s="1"/>
  <c r="M61" i="12"/>
  <c r="Q61" i="12" s="1"/>
  <c r="G58" i="12"/>
  <c r="K58" i="12" s="1"/>
  <c r="S56" i="12"/>
  <c r="W56" i="12" s="1"/>
  <c r="M53" i="12"/>
  <c r="Q53" i="12" s="1"/>
  <c r="G50" i="12"/>
  <c r="K50" i="12" s="1"/>
  <c r="S48" i="12"/>
  <c r="W48" i="12" s="1"/>
  <c r="M45" i="12"/>
  <c r="Q45" i="12" s="1"/>
  <c r="G42" i="12"/>
  <c r="K42" i="12" s="1"/>
  <c r="S40" i="12"/>
  <c r="W40" i="12" s="1"/>
  <c r="M37" i="12"/>
  <c r="Q37" i="12" s="1"/>
  <c r="M13" i="12"/>
  <c r="Q13" i="12" s="1"/>
  <c r="S16" i="12"/>
  <c r="W16" i="12" s="1"/>
  <c r="G18" i="12"/>
  <c r="K18" i="12" s="1"/>
  <c r="M21" i="12"/>
  <c r="Q21" i="12" s="1"/>
  <c r="G25" i="12"/>
  <c r="K25" i="12" s="1"/>
  <c r="R32" i="11"/>
  <c r="R24" i="11"/>
  <c r="D31" i="11"/>
  <c r="B119" i="12" l="1"/>
  <c r="J101" i="12"/>
  <c r="K101" i="12" s="1"/>
  <c r="B118" i="12"/>
  <c r="J100" i="12"/>
  <c r="K100" i="12" s="1"/>
  <c r="K90" i="12"/>
  <c r="F35" i="11"/>
  <c r="E109" i="12"/>
  <c r="E108" i="12"/>
  <c r="Q90" i="12"/>
  <c r="W90" i="12"/>
  <c r="E120" i="12"/>
  <c r="B125" i="12" s="1"/>
  <c r="B132" i="12" s="1"/>
  <c r="H110" i="12" l="1"/>
  <c r="I107" i="12" s="1"/>
  <c r="H102" i="12"/>
  <c r="I99" i="12" s="1"/>
  <c r="B120" i="12"/>
  <c r="D120" i="12"/>
  <c r="D121" i="12" s="1"/>
  <c r="U11" i="2"/>
  <c r="V11" i="2"/>
  <c r="T11" i="2"/>
  <c r="B124" i="12" l="1"/>
  <c r="B131" i="12" s="1"/>
  <c r="B134" i="12" s="1"/>
  <c r="F121" i="12"/>
  <c r="G121" i="12" s="1"/>
  <c r="B135" i="12"/>
  <c r="B136" i="12" s="1"/>
  <c r="C134" i="12"/>
  <c r="B121" i="12"/>
  <c r="E40" i="9"/>
  <c r="F61" i="9"/>
  <c r="F59" i="9"/>
  <c r="G59" i="9"/>
  <c r="F60" i="9"/>
  <c r="H11" i="8"/>
  <c r="B190" i="8"/>
  <c r="B191" i="8" s="1"/>
  <c r="B189" i="8"/>
  <c r="B147" i="8"/>
  <c r="B146" i="8"/>
  <c r="B145" i="8"/>
  <c r="B90" i="8"/>
  <c r="D34" i="11" l="1"/>
  <c r="B140" i="12"/>
  <c r="C140" i="12" s="1"/>
  <c r="B126" i="12"/>
  <c r="C189" i="8"/>
  <c r="G138" i="2"/>
  <c r="L155" i="2"/>
  <c r="B50" i="9"/>
  <c r="F30" i="11" l="1"/>
  <c r="B141" i="12"/>
  <c r="M1" i="8"/>
  <c r="AM11" i="8"/>
  <c r="I25" i="14" l="1"/>
  <c r="I26" i="14" s="1"/>
  <c r="D140" i="12"/>
  <c r="D35" i="11"/>
  <c r="E9" i="11" s="1"/>
  <c r="B142" i="12"/>
  <c r="F34" i="11"/>
  <c r="F38" i="11" s="1"/>
  <c r="V98" i="8"/>
  <c r="V99" i="8"/>
  <c r="V97" i="8"/>
  <c r="V100" i="8" s="1"/>
  <c r="I30" i="14" l="1"/>
  <c r="E140" i="12"/>
  <c r="C136" i="12" s="1"/>
  <c r="D136" i="12" s="1"/>
  <c r="D134" i="12" s="1"/>
  <c r="E29" i="9"/>
  <c r="B29" i="9"/>
  <c r="E28" i="9"/>
  <c r="B28" i="9"/>
  <c r="I33" i="14" l="1"/>
  <c r="J27" i="14" s="1"/>
  <c r="D40" i="9"/>
  <c r="B44" i="9"/>
  <c r="D51" i="9"/>
  <c r="D52" i="9"/>
  <c r="D53" i="9"/>
  <c r="D54" i="9"/>
  <c r="D50" i="9"/>
  <c r="C54" i="9"/>
  <c r="C53" i="9"/>
  <c r="C52" i="9"/>
  <c r="C51" i="9"/>
  <c r="C50" i="9"/>
  <c r="B51" i="9"/>
  <c r="B37" i="13" l="1"/>
  <c r="B100" i="8"/>
  <c r="AZ89" i="8"/>
  <c r="AY89" i="8"/>
  <c r="AX89" i="8"/>
  <c r="AZ87" i="8"/>
  <c r="AY87" i="8"/>
  <c r="AX87" i="8"/>
  <c r="AZ86" i="8"/>
  <c r="AY86" i="8"/>
  <c r="AX86" i="8"/>
  <c r="AZ85" i="8"/>
  <c r="AY85" i="8"/>
  <c r="AX85" i="8"/>
  <c r="AZ84" i="8"/>
  <c r="AY84" i="8"/>
  <c r="AX84" i="8"/>
  <c r="AZ83" i="8"/>
  <c r="AY83" i="8"/>
  <c r="AX83" i="8"/>
  <c r="AZ82" i="8"/>
  <c r="AY82" i="8"/>
  <c r="AX82" i="8"/>
  <c r="AZ81" i="8"/>
  <c r="AY81" i="8"/>
  <c r="AX81" i="8"/>
  <c r="AZ80" i="8"/>
  <c r="AY80" i="8"/>
  <c r="AX80" i="8"/>
  <c r="AZ79" i="8"/>
  <c r="AY79" i="8"/>
  <c r="AX79" i="8"/>
  <c r="AZ78" i="8"/>
  <c r="AY78" i="8"/>
  <c r="AX78" i="8"/>
  <c r="AZ77" i="8"/>
  <c r="AY77" i="8"/>
  <c r="AX77" i="8"/>
  <c r="AZ76" i="8"/>
  <c r="AY76" i="8"/>
  <c r="AX76" i="8"/>
  <c r="AZ75" i="8"/>
  <c r="AY75" i="8"/>
  <c r="AX75" i="8"/>
  <c r="AZ74" i="8"/>
  <c r="AY74" i="8"/>
  <c r="AX74" i="8"/>
  <c r="AZ73" i="8"/>
  <c r="AY73" i="8"/>
  <c r="AX73" i="8"/>
  <c r="AZ72" i="8"/>
  <c r="AY72" i="8"/>
  <c r="AX72" i="8"/>
  <c r="AZ71" i="8"/>
  <c r="AY71" i="8"/>
  <c r="AX71" i="8"/>
  <c r="AZ70" i="8"/>
  <c r="AY70" i="8"/>
  <c r="AX70" i="8"/>
  <c r="AZ69" i="8"/>
  <c r="AY69" i="8"/>
  <c r="AX69" i="8"/>
  <c r="AZ66" i="8"/>
  <c r="AY66" i="8"/>
  <c r="AX66" i="8"/>
  <c r="AZ65" i="8"/>
  <c r="AY65" i="8"/>
  <c r="AX65" i="8"/>
  <c r="AZ64" i="8"/>
  <c r="AY64" i="8"/>
  <c r="AX64" i="8"/>
  <c r="AZ63" i="8"/>
  <c r="AY63" i="8"/>
  <c r="AX63" i="8"/>
  <c r="AZ62" i="8"/>
  <c r="AY62" i="8"/>
  <c r="AX62" i="8"/>
  <c r="AZ61" i="8"/>
  <c r="AY61" i="8"/>
  <c r="AX61" i="8"/>
  <c r="AZ60" i="8"/>
  <c r="AY60" i="8"/>
  <c r="AX60" i="8"/>
  <c r="AZ59" i="8"/>
  <c r="AY59" i="8"/>
  <c r="AX59" i="8"/>
  <c r="AZ88" i="8"/>
  <c r="AY88" i="8"/>
  <c r="AX88" i="8"/>
  <c r="AZ58" i="8"/>
  <c r="AY58" i="8"/>
  <c r="AX58" i="8"/>
  <c r="AZ57" i="8"/>
  <c r="AY57" i="8"/>
  <c r="AX57" i="8"/>
  <c r="AZ56" i="8"/>
  <c r="AY56" i="8"/>
  <c r="AX56" i="8"/>
  <c r="AZ55" i="8"/>
  <c r="AY55" i="8"/>
  <c r="AX55" i="8"/>
  <c r="AZ54" i="8"/>
  <c r="AY54" i="8"/>
  <c r="AX54" i="8"/>
  <c r="AZ53" i="8"/>
  <c r="AY53" i="8"/>
  <c r="AX53" i="8"/>
  <c r="AZ52" i="8"/>
  <c r="AY52" i="8"/>
  <c r="AX52" i="8"/>
  <c r="AZ51" i="8"/>
  <c r="AY51" i="8"/>
  <c r="AX51" i="8"/>
  <c r="AZ50" i="8"/>
  <c r="AY50" i="8"/>
  <c r="AX50" i="8"/>
  <c r="AZ49" i="8"/>
  <c r="AY49" i="8"/>
  <c r="AX49" i="8"/>
  <c r="AZ48" i="8"/>
  <c r="AY48" i="8"/>
  <c r="AX48" i="8"/>
  <c r="AZ47" i="8"/>
  <c r="AY47" i="8"/>
  <c r="AX47" i="8"/>
  <c r="AZ46" i="8"/>
  <c r="AY46" i="8"/>
  <c r="AX46" i="8"/>
  <c r="AZ45" i="8"/>
  <c r="AY45" i="8"/>
  <c r="AX45" i="8"/>
  <c r="AZ44" i="8"/>
  <c r="AY44" i="8"/>
  <c r="AX44" i="8"/>
  <c r="AZ43" i="8"/>
  <c r="AY43" i="8"/>
  <c r="AX43" i="8"/>
  <c r="AZ42" i="8"/>
  <c r="AY42" i="8"/>
  <c r="AX42" i="8"/>
  <c r="AZ41" i="8"/>
  <c r="AY41" i="8"/>
  <c r="AX41" i="8"/>
  <c r="AZ40" i="8"/>
  <c r="AY40" i="8"/>
  <c r="AX40" i="8"/>
  <c r="AZ39" i="8"/>
  <c r="AY39" i="8"/>
  <c r="AX39" i="8"/>
  <c r="AZ38" i="8"/>
  <c r="AY38" i="8"/>
  <c r="AX38" i="8"/>
  <c r="AZ37" i="8"/>
  <c r="AY37" i="8"/>
  <c r="AX37" i="8"/>
  <c r="AZ36" i="8"/>
  <c r="AY36" i="8"/>
  <c r="AX36" i="8"/>
  <c r="AZ35" i="8"/>
  <c r="AY35" i="8"/>
  <c r="AX35" i="8"/>
  <c r="AZ34" i="8"/>
  <c r="AY34" i="8"/>
  <c r="AX34" i="8"/>
  <c r="AZ33" i="8"/>
  <c r="AY33" i="8"/>
  <c r="AX33" i="8"/>
  <c r="AZ32" i="8"/>
  <c r="AY32" i="8"/>
  <c r="AX32" i="8"/>
  <c r="AZ68" i="8"/>
  <c r="AY68" i="8"/>
  <c r="AX68" i="8"/>
  <c r="AZ67" i="8"/>
  <c r="AY67" i="8"/>
  <c r="AX67" i="8"/>
  <c r="AZ31" i="8"/>
  <c r="AY31" i="8"/>
  <c r="AX31" i="8"/>
  <c r="AZ30" i="8"/>
  <c r="AY30" i="8"/>
  <c r="AX30" i="8"/>
  <c r="AZ29" i="8"/>
  <c r="AY29" i="8"/>
  <c r="AX29" i="8"/>
  <c r="AZ28" i="8"/>
  <c r="AY28" i="8"/>
  <c r="AX28" i="8"/>
  <c r="AZ27" i="8"/>
  <c r="AY27" i="8"/>
  <c r="AX27" i="8"/>
  <c r="AZ26" i="8"/>
  <c r="AY26" i="8"/>
  <c r="AX26" i="8"/>
  <c r="AZ25" i="8"/>
  <c r="AY25" i="8"/>
  <c r="AX25" i="8"/>
  <c r="AZ24" i="8"/>
  <c r="AY24" i="8"/>
  <c r="AX24" i="8"/>
  <c r="AZ23" i="8"/>
  <c r="AY23" i="8"/>
  <c r="AX23" i="8"/>
  <c r="AZ22" i="8"/>
  <c r="AY22" i="8"/>
  <c r="AX22" i="8"/>
  <c r="AZ21" i="8"/>
  <c r="AY21" i="8"/>
  <c r="AX21" i="8"/>
  <c r="AZ20" i="8"/>
  <c r="AY20" i="8"/>
  <c r="AX20" i="8"/>
  <c r="AZ19" i="8"/>
  <c r="AY19" i="8"/>
  <c r="AX19" i="8"/>
  <c r="AZ18" i="8"/>
  <c r="AY18" i="8"/>
  <c r="AX18" i="8"/>
  <c r="AZ17" i="8"/>
  <c r="AY17" i="8"/>
  <c r="AX17" i="8"/>
  <c r="AZ16" i="8"/>
  <c r="AY16" i="8"/>
  <c r="AX16" i="8"/>
  <c r="AZ15" i="8"/>
  <c r="AY15" i="8"/>
  <c r="AX15" i="8"/>
  <c r="AZ14" i="8"/>
  <c r="AY14" i="8"/>
  <c r="AX14" i="8"/>
  <c r="AZ13" i="8"/>
  <c r="AY13" i="8"/>
  <c r="AX13" i="8"/>
  <c r="AZ12" i="8"/>
  <c r="AY12" i="8"/>
  <c r="AX12" i="8"/>
  <c r="AZ11" i="8"/>
  <c r="AY11" i="8"/>
  <c r="AX11" i="8"/>
  <c r="AL11" i="8"/>
  <c r="AR70" i="8"/>
  <c r="AS70" i="8"/>
  <c r="AT70" i="8"/>
  <c r="AR71" i="8"/>
  <c r="AS71" i="8"/>
  <c r="AT71" i="8"/>
  <c r="AR72" i="8"/>
  <c r="AS72" i="8"/>
  <c r="AT72" i="8"/>
  <c r="AR73" i="8"/>
  <c r="AS73" i="8"/>
  <c r="AT73" i="8"/>
  <c r="AR74" i="8"/>
  <c r="AS74" i="8"/>
  <c r="AT74" i="8"/>
  <c r="AR75" i="8"/>
  <c r="AS75" i="8"/>
  <c r="AT75" i="8"/>
  <c r="AR76" i="8"/>
  <c r="AS76" i="8"/>
  <c r="AT76" i="8"/>
  <c r="AR77" i="8"/>
  <c r="AS77" i="8"/>
  <c r="AT77" i="8"/>
  <c r="AR78" i="8"/>
  <c r="AS78" i="8"/>
  <c r="AT78" i="8"/>
  <c r="AR79" i="8"/>
  <c r="AS79" i="8"/>
  <c r="AT79" i="8"/>
  <c r="AR80" i="8"/>
  <c r="AS80" i="8"/>
  <c r="AT80" i="8"/>
  <c r="AR81" i="8"/>
  <c r="AS81" i="8"/>
  <c r="AT81" i="8"/>
  <c r="AR82" i="8"/>
  <c r="AS82" i="8"/>
  <c r="AT82" i="8"/>
  <c r="AR83" i="8"/>
  <c r="AS83" i="8"/>
  <c r="AT83" i="8"/>
  <c r="AR84" i="8"/>
  <c r="AS84" i="8"/>
  <c r="AT84" i="8"/>
  <c r="AR85" i="8"/>
  <c r="AS85" i="8"/>
  <c r="AT85" i="8"/>
  <c r="AR86" i="8"/>
  <c r="AS86" i="8"/>
  <c r="AT86" i="8"/>
  <c r="AR87" i="8"/>
  <c r="AS87" i="8"/>
  <c r="AT87" i="8"/>
  <c r="AR89" i="8"/>
  <c r="AS89" i="8"/>
  <c r="AT89" i="8"/>
  <c r="AR69" i="8"/>
  <c r="AS69" i="8"/>
  <c r="AT69" i="8"/>
  <c r="AR54" i="8"/>
  <c r="AS54" i="8"/>
  <c r="AT54" i="8"/>
  <c r="AR55" i="8"/>
  <c r="AS55" i="8"/>
  <c r="AT55" i="8"/>
  <c r="AR56" i="8"/>
  <c r="AS56" i="8"/>
  <c r="AT56" i="8"/>
  <c r="AR57" i="8"/>
  <c r="AS57" i="8"/>
  <c r="AT57" i="8"/>
  <c r="AR58" i="8"/>
  <c r="AS58" i="8"/>
  <c r="AT58" i="8"/>
  <c r="AR88" i="8"/>
  <c r="AS88" i="8"/>
  <c r="AT88" i="8"/>
  <c r="AR59" i="8"/>
  <c r="AS59" i="8"/>
  <c r="AT59" i="8"/>
  <c r="AR60" i="8"/>
  <c r="AS60" i="8"/>
  <c r="AT60" i="8"/>
  <c r="AR61" i="8"/>
  <c r="AS61" i="8"/>
  <c r="AT61" i="8"/>
  <c r="AR62" i="8"/>
  <c r="AS62" i="8"/>
  <c r="AT62" i="8"/>
  <c r="AR63" i="8"/>
  <c r="AS63" i="8"/>
  <c r="AT63" i="8"/>
  <c r="AR64" i="8"/>
  <c r="AS64" i="8"/>
  <c r="AT64" i="8"/>
  <c r="AR65" i="8"/>
  <c r="AS65" i="8"/>
  <c r="AT65" i="8"/>
  <c r="AR66" i="8"/>
  <c r="AS66" i="8"/>
  <c r="AT66" i="8"/>
  <c r="AR37" i="8"/>
  <c r="AS37" i="8"/>
  <c r="AT37" i="8"/>
  <c r="AR38" i="8"/>
  <c r="AS38" i="8"/>
  <c r="AT38" i="8"/>
  <c r="AR39" i="8"/>
  <c r="AS39" i="8"/>
  <c r="AT39" i="8"/>
  <c r="AR40" i="8"/>
  <c r="AS40" i="8"/>
  <c r="AT40" i="8"/>
  <c r="AR41" i="8"/>
  <c r="AS41" i="8"/>
  <c r="AT41" i="8"/>
  <c r="AR42" i="8"/>
  <c r="AS42" i="8"/>
  <c r="AT42" i="8"/>
  <c r="AR43" i="8"/>
  <c r="AS43" i="8"/>
  <c r="AT43" i="8"/>
  <c r="AR44" i="8"/>
  <c r="AS44" i="8"/>
  <c r="AT44" i="8"/>
  <c r="AR45" i="8"/>
  <c r="AS45" i="8"/>
  <c r="AT45" i="8"/>
  <c r="AR46" i="8"/>
  <c r="AS46" i="8"/>
  <c r="AT46" i="8"/>
  <c r="AR47" i="8"/>
  <c r="AS47" i="8"/>
  <c r="AT47" i="8"/>
  <c r="AR48" i="8"/>
  <c r="AS48" i="8"/>
  <c r="AT48" i="8"/>
  <c r="AR49" i="8"/>
  <c r="AS49" i="8"/>
  <c r="AT49" i="8"/>
  <c r="AR50" i="8"/>
  <c r="AS50" i="8"/>
  <c r="AT50" i="8"/>
  <c r="AR51" i="8"/>
  <c r="AS51" i="8"/>
  <c r="AT51" i="8"/>
  <c r="AR52" i="8"/>
  <c r="AS52" i="8"/>
  <c r="AT52" i="8"/>
  <c r="AR53" i="8"/>
  <c r="AS53" i="8"/>
  <c r="AT53" i="8"/>
  <c r="AR36" i="8"/>
  <c r="AS36" i="8"/>
  <c r="AT36" i="8"/>
  <c r="AR28" i="8"/>
  <c r="AS28" i="8"/>
  <c r="AT28" i="8"/>
  <c r="AR29" i="8"/>
  <c r="AS29" i="8"/>
  <c r="AT29" i="8"/>
  <c r="AR30" i="8"/>
  <c r="AS30" i="8"/>
  <c r="AT30" i="8"/>
  <c r="AR31" i="8"/>
  <c r="AS31" i="8"/>
  <c r="AT31" i="8"/>
  <c r="AR67" i="8"/>
  <c r="AS67" i="8"/>
  <c r="AT67" i="8"/>
  <c r="AR68" i="8"/>
  <c r="AS68" i="8"/>
  <c r="AT68" i="8"/>
  <c r="AR32" i="8"/>
  <c r="AS32" i="8"/>
  <c r="AT32" i="8"/>
  <c r="AR33" i="8"/>
  <c r="AS33" i="8"/>
  <c r="AT33" i="8"/>
  <c r="AR34" i="8"/>
  <c r="AS34" i="8"/>
  <c r="AT34" i="8"/>
  <c r="AR35" i="8"/>
  <c r="AS35" i="8"/>
  <c r="AT35" i="8"/>
  <c r="AR27" i="8"/>
  <c r="AS27" i="8"/>
  <c r="AT27" i="8"/>
  <c r="AR12" i="8"/>
  <c r="AS12" i="8"/>
  <c r="AT12" i="8"/>
  <c r="AR13" i="8"/>
  <c r="AS13" i="8"/>
  <c r="AT13" i="8"/>
  <c r="AR14" i="8"/>
  <c r="AS14" i="8"/>
  <c r="AT14" i="8"/>
  <c r="AR15" i="8"/>
  <c r="AS15" i="8"/>
  <c r="AT15" i="8"/>
  <c r="AR16" i="8"/>
  <c r="AS16" i="8"/>
  <c r="AT16" i="8"/>
  <c r="AR17" i="8"/>
  <c r="AS17" i="8"/>
  <c r="AT17" i="8"/>
  <c r="AR18" i="8"/>
  <c r="AS18" i="8"/>
  <c r="AT18" i="8"/>
  <c r="AR19" i="8"/>
  <c r="AS19" i="8"/>
  <c r="AT19" i="8"/>
  <c r="AR20" i="8"/>
  <c r="AS20" i="8"/>
  <c r="AT20" i="8"/>
  <c r="AR21" i="8"/>
  <c r="AS21" i="8"/>
  <c r="AT21" i="8"/>
  <c r="AR22" i="8"/>
  <c r="AS22" i="8"/>
  <c r="AT22" i="8"/>
  <c r="AR23" i="8"/>
  <c r="AS23" i="8"/>
  <c r="AT23" i="8"/>
  <c r="AR24" i="8"/>
  <c r="AS24" i="8"/>
  <c r="AT24" i="8"/>
  <c r="AR25" i="8"/>
  <c r="AS25" i="8"/>
  <c r="AT25" i="8"/>
  <c r="AR26" i="8"/>
  <c r="AS26" i="8"/>
  <c r="AT26" i="8"/>
  <c r="AT11" i="8"/>
  <c r="AS11" i="8"/>
  <c r="AR11" i="8"/>
  <c r="AL84" i="8"/>
  <c r="AM84" i="8"/>
  <c r="AN84" i="8"/>
  <c r="AL85" i="8"/>
  <c r="AM85" i="8"/>
  <c r="AN85" i="8"/>
  <c r="AL86" i="8"/>
  <c r="AM86" i="8"/>
  <c r="AN86" i="8"/>
  <c r="AL87" i="8"/>
  <c r="AM87" i="8"/>
  <c r="AN87" i="8"/>
  <c r="AL89" i="8"/>
  <c r="AM89" i="8"/>
  <c r="AN89" i="8"/>
  <c r="AL70" i="8"/>
  <c r="AM70" i="8"/>
  <c r="AN70" i="8"/>
  <c r="AL71" i="8"/>
  <c r="AM71" i="8"/>
  <c r="AN71" i="8"/>
  <c r="AL72" i="8"/>
  <c r="AM72" i="8"/>
  <c r="AN72" i="8"/>
  <c r="AL73" i="8"/>
  <c r="AM73" i="8"/>
  <c r="AN73" i="8"/>
  <c r="AL74" i="8"/>
  <c r="AM74" i="8"/>
  <c r="AN74" i="8"/>
  <c r="AL75" i="8"/>
  <c r="AM75" i="8"/>
  <c r="AN75" i="8"/>
  <c r="AL76" i="8"/>
  <c r="AM76" i="8"/>
  <c r="AN76" i="8"/>
  <c r="AL77" i="8"/>
  <c r="AM77" i="8"/>
  <c r="AN77" i="8"/>
  <c r="AL78" i="8"/>
  <c r="AM78" i="8"/>
  <c r="AN78" i="8"/>
  <c r="AL79" i="8"/>
  <c r="AM79" i="8"/>
  <c r="AN79" i="8"/>
  <c r="AL80" i="8"/>
  <c r="AM80" i="8"/>
  <c r="AN80" i="8"/>
  <c r="AL81" i="8"/>
  <c r="AM81" i="8"/>
  <c r="AN81" i="8"/>
  <c r="AL82" i="8"/>
  <c r="AM82" i="8"/>
  <c r="AN82" i="8"/>
  <c r="AL83" i="8"/>
  <c r="AM83" i="8"/>
  <c r="AN83" i="8"/>
  <c r="AL69" i="8"/>
  <c r="AM69" i="8"/>
  <c r="AN69" i="8"/>
  <c r="AL56" i="8"/>
  <c r="AM56" i="8"/>
  <c r="AN56" i="8"/>
  <c r="AL57" i="8"/>
  <c r="AM57" i="8"/>
  <c r="AN57" i="8"/>
  <c r="AL58" i="8"/>
  <c r="AM58" i="8"/>
  <c r="AN58" i="8"/>
  <c r="AL88" i="8"/>
  <c r="AM88" i="8"/>
  <c r="AN88" i="8"/>
  <c r="AL59" i="8"/>
  <c r="AM59" i="8"/>
  <c r="AN59" i="8"/>
  <c r="AL60" i="8"/>
  <c r="AM60" i="8"/>
  <c r="AN60" i="8"/>
  <c r="AL61" i="8"/>
  <c r="AM61" i="8"/>
  <c r="AN61" i="8"/>
  <c r="AL62" i="8"/>
  <c r="AM62" i="8"/>
  <c r="AN62" i="8"/>
  <c r="AL63" i="8"/>
  <c r="AM63" i="8"/>
  <c r="AN63" i="8"/>
  <c r="AL64" i="8"/>
  <c r="AM64" i="8"/>
  <c r="AN64" i="8"/>
  <c r="AL65" i="8"/>
  <c r="AM65" i="8"/>
  <c r="AN65" i="8"/>
  <c r="AL66" i="8"/>
  <c r="AM66" i="8"/>
  <c r="AN66" i="8"/>
  <c r="AL37" i="8"/>
  <c r="AM37" i="8"/>
  <c r="AN37" i="8"/>
  <c r="AL38" i="8"/>
  <c r="AM38" i="8"/>
  <c r="AN38" i="8"/>
  <c r="AL39" i="8"/>
  <c r="AM39" i="8"/>
  <c r="AN39" i="8"/>
  <c r="AL40" i="8"/>
  <c r="AM40" i="8"/>
  <c r="AN40" i="8"/>
  <c r="AL41" i="8"/>
  <c r="AM41" i="8"/>
  <c r="AN41" i="8"/>
  <c r="AL42" i="8"/>
  <c r="AM42" i="8"/>
  <c r="AN42" i="8"/>
  <c r="AL43" i="8"/>
  <c r="AM43" i="8"/>
  <c r="AN43" i="8"/>
  <c r="AL44" i="8"/>
  <c r="AM44" i="8"/>
  <c r="AN44" i="8"/>
  <c r="AL45" i="8"/>
  <c r="AM45" i="8"/>
  <c r="AN45" i="8"/>
  <c r="AL46" i="8"/>
  <c r="AM46" i="8"/>
  <c r="AN46" i="8"/>
  <c r="AL47" i="8"/>
  <c r="AM47" i="8"/>
  <c r="AN47" i="8"/>
  <c r="AL48" i="8"/>
  <c r="AM48" i="8"/>
  <c r="AN48" i="8"/>
  <c r="AL49" i="8"/>
  <c r="AM49" i="8"/>
  <c r="AN49" i="8"/>
  <c r="AL50" i="8"/>
  <c r="AM50" i="8"/>
  <c r="AN50" i="8"/>
  <c r="AL51" i="8"/>
  <c r="AM51" i="8"/>
  <c r="AN51" i="8"/>
  <c r="AL52" i="8"/>
  <c r="AM52" i="8"/>
  <c r="AN52" i="8"/>
  <c r="AL53" i="8"/>
  <c r="AM53" i="8"/>
  <c r="AN53" i="8"/>
  <c r="AL54" i="8"/>
  <c r="AM54" i="8"/>
  <c r="AN54" i="8"/>
  <c r="AL55" i="8"/>
  <c r="AM55" i="8"/>
  <c r="AN55" i="8"/>
  <c r="AL36" i="8"/>
  <c r="AM36" i="8"/>
  <c r="AN36" i="8"/>
  <c r="AL27" i="8"/>
  <c r="AM27" i="8"/>
  <c r="AN27" i="8"/>
  <c r="AL28" i="8"/>
  <c r="AM28" i="8"/>
  <c r="AN28" i="8"/>
  <c r="AL29" i="8"/>
  <c r="AM29" i="8"/>
  <c r="AN29" i="8"/>
  <c r="AL30" i="8"/>
  <c r="AM30" i="8"/>
  <c r="AN30" i="8"/>
  <c r="AL31" i="8"/>
  <c r="AM31" i="8"/>
  <c r="AN31" i="8"/>
  <c r="AL67" i="8"/>
  <c r="AM67" i="8"/>
  <c r="AN67" i="8"/>
  <c r="AL68" i="8"/>
  <c r="AM68" i="8"/>
  <c r="AN68" i="8"/>
  <c r="AL32" i="8"/>
  <c r="AM32" i="8"/>
  <c r="AN32" i="8"/>
  <c r="AL33" i="8"/>
  <c r="AM33" i="8"/>
  <c r="AN33" i="8"/>
  <c r="AL34" i="8"/>
  <c r="AM34" i="8"/>
  <c r="AN34" i="8"/>
  <c r="AL35" i="8"/>
  <c r="AM35" i="8"/>
  <c r="AN35" i="8"/>
  <c r="AL12" i="8"/>
  <c r="AM12" i="8"/>
  <c r="AN12" i="8"/>
  <c r="AL13" i="8"/>
  <c r="AM13" i="8"/>
  <c r="AN13" i="8"/>
  <c r="AL14" i="8"/>
  <c r="AM14" i="8"/>
  <c r="AN14" i="8"/>
  <c r="AL15" i="8"/>
  <c r="AM15" i="8"/>
  <c r="AN15" i="8"/>
  <c r="AL16" i="8"/>
  <c r="AM16" i="8"/>
  <c r="AN16" i="8"/>
  <c r="AL17" i="8"/>
  <c r="AM17" i="8"/>
  <c r="AN17" i="8"/>
  <c r="AL18" i="8"/>
  <c r="AM18" i="8"/>
  <c r="AN18" i="8"/>
  <c r="AL19" i="8"/>
  <c r="AM19" i="8"/>
  <c r="AN19" i="8"/>
  <c r="AL20" i="8"/>
  <c r="AM20" i="8"/>
  <c r="AN20" i="8"/>
  <c r="AL21" i="8"/>
  <c r="AM21" i="8"/>
  <c r="AN21" i="8"/>
  <c r="AL22" i="8"/>
  <c r="AM22" i="8"/>
  <c r="AN22" i="8"/>
  <c r="AL23" i="8"/>
  <c r="AM23" i="8"/>
  <c r="AN23" i="8"/>
  <c r="AL24" i="8"/>
  <c r="AM24" i="8"/>
  <c r="AN24" i="8"/>
  <c r="AL25" i="8"/>
  <c r="AM25" i="8"/>
  <c r="AN25" i="8"/>
  <c r="AL26" i="8"/>
  <c r="AM26" i="8"/>
  <c r="AN26" i="8"/>
  <c r="AN11" i="8"/>
  <c r="AF11" i="8"/>
  <c r="AG11" i="8"/>
  <c r="B9" i="5"/>
  <c r="P11" i="8"/>
  <c r="O11" i="8"/>
  <c r="N11" i="8"/>
  <c r="H31" i="8"/>
  <c r="J11" i="8"/>
  <c r="I11" i="8"/>
  <c r="D42" i="9"/>
  <c r="D41" i="9"/>
  <c r="C43" i="9"/>
  <c r="C39" i="9"/>
  <c r="C38" i="9"/>
  <c r="C37" i="9"/>
  <c r="B38" i="9"/>
  <c r="B37" i="9"/>
  <c r="F25" i="9"/>
  <c r="C25" i="9"/>
  <c r="C71" i="9"/>
  <c r="B71" i="9"/>
  <c r="C29" i="9"/>
  <c r="D29" i="9" s="1"/>
  <c r="C28" i="9"/>
  <c r="C27" i="9"/>
  <c r="D27" i="9" s="1"/>
  <c r="R26" i="9"/>
  <c r="C26" i="9"/>
  <c r="R25" i="9"/>
  <c r="R24" i="9"/>
  <c r="D20" i="9"/>
  <c r="D19" i="9"/>
  <c r="R18" i="9"/>
  <c r="D18" i="9"/>
  <c r="R17" i="9"/>
  <c r="C17" i="9"/>
  <c r="D17" i="9" s="1"/>
  <c r="R16" i="9"/>
  <c r="C16" i="9"/>
  <c r="D16" i="9" s="1"/>
  <c r="B38" i="13" l="1"/>
  <c r="G145" i="8"/>
  <c r="H145" i="8" s="1"/>
  <c r="G153" i="8"/>
  <c r="H153" i="8" s="1"/>
  <c r="D28" i="9"/>
  <c r="R28" i="9"/>
  <c r="F26" i="9"/>
  <c r="B39" i="9" s="1"/>
  <c r="D25" i="9"/>
  <c r="D26" i="9"/>
  <c r="R20" i="9"/>
  <c r="E38" i="8"/>
  <c r="N66" i="8"/>
  <c r="O66" i="8"/>
  <c r="P66" i="8"/>
  <c r="H66" i="8"/>
  <c r="I66" i="8"/>
  <c r="J66" i="8"/>
  <c r="C38" i="13" l="1"/>
  <c r="F30" i="14"/>
  <c r="B39" i="13"/>
  <c r="C39" i="13"/>
  <c r="G155" i="8"/>
  <c r="Q166" i="8"/>
  <c r="G154" i="8"/>
  <c r="G147" i="8"/>
  <c r="H147" i="8" s="1"/>
  <c r="G146" i="8"/>
  <c r="H146" i="8" s="1"/>
  <c r="H148" i="8" s="1"/>
  <c r="B43" i="9"/>
  <c r="E30" i="8"/>
  <c r="E29" i="8"/>
  <c r="E28" i="8"/>
  <c r="E27" i="8"/>
  <c r="B182" i="8"/>
  <c r="O168" i="8"/>
  <c r="D90" i="8"/>
  <c r="AH89" i="8"/>
  <c r="AG89" i="8"/>
  <c r="AF89" i="8"/>
  <c r="AB89" i="8"/>
  <c r="AA89" i="8"/>
  <c r="Z89" i="8"/>
  <c r="V89" i="8"/>
  <c r="U89" i="8"/>
  <c r="T89" i="8"/>
  <c r="P89" i="8"/>
  <c r="O89" i="8"/>
  <c r="N89" i="8"/>
  <c r="J89" i="8"/>
  <c r="I89" i="8"/>
  <c r="H89" i="8"/>
  <c r="E89" i="8"/>
  <c r="AH87" i="8"/>
  <c r="AG87" i="8"/>
  <c r="AF87" i="8"/>
  <c r="AB87" i="8"/>
  <c r="AA87" i="8"/>
  <c r="Z87" i="8"/>
  <c r="V87" i="8"/>
  <c r="U87" i="8"/>
  <c r="T87" i="8"/>
  <c r="P87" i="8"/>
  <c r="O87" i="8"/>
  <c r="N87" i="8"/>
  <c r="J87" i="8"/>
  <c r="I87" i="8"/>
  <c r="H87" i="8"/>
  <c r="E87" i="8"/>
  <c r="AH86" i="8"/>
  <c r="AG86" i="8"/>
  <c r="AF86" i="8"/>
  <c r="AB86" i="8"/>
  <c r="AA86" i="8"/>
  <c r="Z86" i="8"/>
  <c r="V86" i="8"/>
  <c r="U86" i="8"/>
  <c r="T86" i="8"/>
  <c r="P86" i="8"/>
  <c r="O86" i="8"/>
  <c r="N86" i="8"/>
  <c r="J86" i="8"/>
  <c r="I86" i="8"/>
  <c r="H86" i="8"/>
  <c r="E86" i="8"/>
  <c r="AH85" i="8"/>
  <c r="AG85" i="8"/>
  <c r="AF85" i="8"/>
  <c r="AB85" i="8"/>
  <c r="AA85" i="8"/>
  <c r="Z85" i="8"/>
  <c r="V85" i="8"/>
  <c r="U85" i="8"/>
  <c r="T85" i="8"/>
  <c r="P85" i="8"/>
  <c r="O85" i="8"/>
  <c r="N85" i="8"/>
  <c r="J85" i="8"/>
  <c r="I85" i="8"/>
  <c r="H85" i="8"/>
  <c r="E85" i="8"/>
  <c r="AH84" i="8"/>
  <c r="AG84" i="8"/>
  <c r="AF84" i="8"/>
  <c r="AB84" i="8"/>
  <c r="AA84" i="8"/>
  <c r="Z84" i="8"/>
  <c r="V84" i="8"/>
  <c r="U84" i="8"/>
  <c r="T84" i="8"/>
  <c r="P84" i="8"/>
  <c r="O84" i="8"/>
  <c r="N84" i="8"/>
  <c r="J84" i="8"/>
  <c r="I84" i="8"/>
  <c r="H84" i="8"/>
  <c r="E84" i="8"/>
  <c r="AH83" i="8"/>
  <c r="AG83" i="8"/>
  <c r="AF83" i="8"/>
  <c r="AB83" i="8"/>
  <c r="AA83" i="8"/>
  <c r="Z83" i="8"/>
  <c r="V83" i="8"/>
  <c r="U83" i="8"/>
  <c r="T83" i="8"/>
  <c r="P83" i="8"/>
  <c r="O83" i="8"/>
  <c r="N83" i="8"/>
  <c r="J83" i="8"/>
  <c r="I83" i="8"/>
  <c r="H83" i="8"/>
  <c r="E83" i="8"/>
  <c r="AH82" i="8"/>
  <c r="AG82" i="8"/>
  <c r="AF82" i="8"/>
  <c r="AB82" i="8"/>
  <c r="AA82" i="8"/>
  <c r="Z82" i="8"/>
  <c r="V82" i="8"/>
  <c r="U82" i="8"/>
  <c r="T82" i="8"/>
  <c r="P82" i="8"/>
  <c r="O82" i="8"/>
  <c r="N82" i="8"/>
  <c r="J82" i="8"/>
  <c r="I82" i="8"/>
  <c r="H82" i="8"/>
  <c r="E82" i="8"/>
  <c r="AH81" i="8"/>
  <c r="AG81" i="8"/>
  <c r="AF81" i="8"/>
  <c r="AB81" i="8"/>
  <c r="AA81" i="8"/>
  <c r="Z81" i="8"/>
  <c r="V81" i="8"/>
  <c r="U81" i="8"/>
  <c r="T81" i="8"/>
  <c r="P81" i="8"/>
  <c r="O81" i="8"/>
  <c r="N81" i="8"/>
  <c r="J81" i="8"/>
  <c r="I81" i="8"/>
  <c r="H81" i="8"/>
  <c r="E81" i="8"/>
  <c r="AH80" i="8"/>
  <c r="AG80" i="8"/>
  <c r="AF80" i="8"/>
  <c r="AB80" i="8"/>
  <c r="AA80" i="8"/>
  <c r="Z80" i="8"/>
  <c r="V80" i="8"/>
  <c r="U80" i="8"/>
  <c r="T80" i="8"/>
  <c r="P80" i="8"/>
  <c r="O80" i="8"/>
  <c r="N80" i="8"/>
  <c r="J80" i="8"/>
  <c r="I80" i="8"/>
  <c r="H80" i="8"/>
  <c r="E80" i="8"/>
  <c r="AH79" i="8"/>
  <c r="AG79" i="8"/>
  <c r="AF79" i="8"/>
  <c r="AB79" i="8"/>
  <c r="AA79" i="8"/>
  <c r="Z79" i="8"/>
  <c r="V79" i="8"/>
  <c r="U79" i="8"/>
  <c r="T79" i="8"/>
  <c r="P79" i="8"/>
  <c r="O79" i="8"/>
  <c r="N79" i="8"/>
  <c r="J79" i="8"/>
  <c r="I79" i="8"/>
  <c r="H79" i="8"/>
  <c r="E79" i="8"/>
  <c r="AH78" i="8"/>
  <c r="AG78" i="8"/>
  <c r="AF78" i="8"/>
  <c r="AB78" i="8"/>
  <c r="AA78" i="8"/>
  <c r="Z78" i="8"/>
  <c r="V78" i="8"/>
  <c r="U78" i="8"/>
  <c r="T78" i="8"/>
  <c r="P78" i="8"/>
  <c r="O78" i="8"/>
  <c r="N78" i="8"/>
  <c r="J78" i="8"/>
  <c r="I78" i="8"/>
  <c r="H78" i="8"/>
  <c r="E78" i="8"/>
  <c r="AH77" i="8"/>
  <c r="AG77" i="8"/>
  <c r="AF77" i="8"/>
  <c r="AB77" i="8"/>
  <c r="AA77" i="8"/>
  <c r="Z77" i="8"/>
  <c r="V77" i="8"/>
  <c r="U77" i="8"/>
  <c r="T77" i="8"/>
  <c r="P77" i="8"/>
  <c r="O77" i="8"/>
  <c r="N77" i="8"/>
  <c r="J77" i="8"/>
  <c r="I77" i="8"/>
  <c r="H77" i="8"/>
  <c r="E77" i="8"/>
  <c r="AH76" i="8"/>
  <c r="AG76" i="8"/>
  <c r="AF76" i="8"/>
  <c r="AB76" i="8"/>
  <c r="AA76" i="8"/>
  <c r="Z76" i="8"/>
  <c r="V76" i="8"/>
  <c r="U76" i="8"/>
  <c r="T76" i="8"/>
  <c r="P76" i="8"/>
  <c r="O76" i="8"/>
  <c r="N76" i="8"/>
  <c r="J76" i="8"/>
  <c r="I76" i="8"/>
  <c r="H76" i="8"/>
  <c r="E76" i="8"/>
  <c r="AH75" i="8"/>
  <c r="AG75" i="8"/>
  <c r="AF75" i="8"/>
  <c r="AB75" i="8"/>
  <c r="AA75" i="8"/>
  <c r="Z75" i="8"/>
  <c r="V75" i="8"/>
  <c r="U75" i="8"/>
  <c r="T75" i="8"/>
  <c r="P75" i="8"/>
  <c r="O75" i="8"/>
  <c r="N75" i="8"/>
  <c r="J75" i="8"/>
  <c r="I75" i="8"/>
  <c r="H75" i="8"/>
  <c r="E75" i="8"/>
  <c r="AH74" i="8"/>
  <c r="AG74" i="8"/>
  <c r="AF74" i="8"/>
  <c r="AB74" i="8"/>
  <c r="AA74" i="8"/>
  <c r="Z74" i="8"/>
  <c r="V74" i="8"/>
  <c r="U74" i="8"/>
  <c r="T74" i="8"/>
  <c r="P74" i="8"/>
  <c r="O74" i="8"/>
  <c r="N74" i="8"/>
  <c r="J74" i="8"/>
  <c r="I74" i="8"/>
  <c r="H74" i="8"/>
  <c r="E74" i="8"/>
  <c r="AH73" i="8"/>
  <c r="AG73" i="8"/>
  <c r="AF73" i="8"/>
  <c r="AB73" i="8"/>
  <c r="AA73" i="8"/>
  <c r="Z73" i="8"/>
  <c r="V73" i="8"/>
  <c r="U73" i="8"/>
  <c r="T73" i="8"/>
  <c r="P73" i="8"/>
  <c r="O73" i="8"/>
  <c r="N73" i="8"/>
  <c r="J73" i="8"/>
  <c r="I73" i="8"/>
  <c r="H73" i="8"/>
  <c r="E73" i="8"/>
  <c r="AH72" i="8"/>
  <c r="AG72" i="8"/>
  <c r="AF72" i="8"/>
  <c r="AB72" i="8"/>
  <c r="AA72" i="8"/>
  <c r="Z72" i="8"/>
  <c r="V72" i="8"/>
  <c r="U72" i="8"/>
  <c r="T72" i="8"/>
  <c r="P72" i="8"/>
  <c r="O72" i="8"/>
  <c r="N72" i="8"/>
  <c r="J72" i="8"/>
  <c r="I72" i="8"/>
  <c r="H72" i="8"/>
  <c r="E72" i="8"/>
  <c r="AH71" i="8"/>
  <c r="AG71" i="8"/>
  <c r="AF71" i="8"/>
  <c r="AB71" i="8"/>
  <c r="AA71" i="8"/>
  <c r="Z71" i="8"/>
  <c r="V71" i="8"/>
  <c r="U71" i="8"/>
  <c r="T71" i="8"/>
  <c r="P71" i="8"/>
  <c r="O71" i="8"/>
  <c r="N71" i="8"/>
  <c r="J71" i="8"/>
  <c r="I71" i="8"/>
  <c r="H71" i="8"/>
  <c r="E71" i="8"/>
  <c r="AH70" i="8"/>
  <c r="AG70" i="8"/>
  <c r="AF70" i="8"/>
  <c r="AB70" i="8"/>
  <c r="AA70" i="8"/>
  <c r="Z70" i="8"/>
  <c r="V70" i="8"/>
  <c r="U70" i="8"/>
  <c r="T70" i="8"/>
  <c r="P70" i="8"/>
  <c r="O70" i="8"/>
  <c r="N70" i="8"/>
  <c r="J70" i="8"/>
  <c r="I70" i="8"/>
  <c r="H70" i="8"/>
  <c r="E70" i="8"/>
  <c r="AH69" i="8"/>
  <c r="AG69" i="8"/>
  <c r="AF69" i="8"/>
  <c r="AB69" i="8"/>
  <c r="AA69" i="8"/>
  <c r="Z69" i="8"/>
  <c r="V69" i="8"/>
  <c r="U69" i="8"/>
  <c r="T69" i="8"/>
  <c r="P69" i="8"/>
  <c r="O69" i="8"/>
  <c r="N69" i="8"/>
  <c r="J69" i="8"/>
  <c r="I69" i="8"/>
  <c r="H69" i="8"/>
  <c r="E69" i="8"/>
  <c r="AH66" i="8"/>
  <c r="AG66" i="8"/>
  <c r="AF66" i="8"/>
  <c r="AB66" i="8"/>
  <c r="AA66" i="8"/>
  <c r="Z66" i="8"/>
  <c r="V66" i="8"/>
  <c r="U66" i="8"/>
  <c r="T66" i="8"/>
  <c r="E66" i="8"/>
  <c r="AH65" i="8"/>
  <c r="AG65" i="8"/>
  <c r="AF65" i="8"/>
  <c r="AB65" i="8"/>
  <c r="AA65" i="8"/>
  <c r="Z65" i="8"/>
  <c r="V65" i="8"/>
  <c r="U65" i="8"/>
  <c r="T65" i="8"/>
  <c r="P65" i="8"/>
  <c r="O65" i="8"/>
  <c r="N65" i="8"/>
  <c r="J65" i="8"/>
  <c r="I65" i="8"/>
  <c r="H65" i="8"/>
  <c r="E65" i="8"/>
  <c r="AH64" i="8"/>
  <c r="AG64" i="8"/>
  <c r="AF64" i="8"/>
  <c r="AB64" i="8"/>
  <c r="AA64" i="8"/>
  <c r="Z64" i="8"/>
  <c r="V64" i="8"/>
  <c r="U64" i="8"/>
  <c r="T64" i="8"/>
  <c r="P64" i="8"/>
  <c r="O64" i="8"/>
  <c r="N64" i="8"/>
  <c r="J64" i="8"/>
  <c r="I64" i="8"/>
  <c r="H64" i="8"/>
  <c r="E64" i="8"/>
  <c r="AH63" i="8"/>
  <c r="AG63" i="8"/>
  <c r="AF63" i="8"/>
  <c r="AB63" i="8"/>
  <c r="AA63" i="8"/>
  <c r="Z63" i="8"/>
  <c r="V63" i="8"/>
  <c r="U63" i="8"/>
  <c r="T63" i="8"/>
  <c r="P63" i="8"/>
  <c r="O63" i="8"/>
  <c r="N63" i="8"/>
  <c r="J63" i="8"/>
  <c r="I63" i="8"/>
  <c r="H63" i="8"/>
  <c r="E63" i="8"/>
  <c r="AH62" i="8"/>
  <c r="AG62" i="8"/>
  <c r="AF62" i="8"/>
  <c r="AB62" i="8"/>
  <c r="AA62" i="8"/>
  <c r="Z62" i="8"/>
  <c r="V62" i="8"/>
  <c r="U62" i="8"/>
  <c r="T62" i="8"/>
  <c r="P62" i="8"/>
  <c r="O62" i="8"/>
  <c r="N62" i="8"/>
  <c r="J62" i="8"/>
  <c r="I62" i="8"/>
  <c r="H62" i="8"/>
  <c r="E62" i="8"/>
  <c r="AH35" i="8"/>
  <c r="AG35" i="8"/>
  <c r="AF35" i="8"/>
  <c r="AB35" i="8"/>
  <c r="AA35" i="8"/>
  <c r="Z35" i="8"/>
  <c r="V35" i="8"/>
  <c r="U35" i="8"/>
  <c r="T35" i="8"/>
  <c r="P35" i="8"/>
  <c r="O35" i="8"/>
  <c r="N35" i="8"/>
  <c r="J35" i="8"/>
  <c r="I35" i="8"/>
  <c r="H35" i="8"/>
  <c r="E35" i="8"/>
  <c r="AH61" i="8"/>
  <c r="AG61" i="8"/>
  <c r="AF61" i="8"/>
  <c r="AB61" i="8"/>
  <c r="AA61" i="8"/>
  <c r="Z61" i="8"/>
  <c r="V61" i="8"/>
  <c r="U61" i="8"/>
  <c r="T61" i="8"/>
  <c r="P61" i="8"/>
  <c r="O61" i="8"/>
  <c r="N61" i="8"/>
  <c r="J61" i="8"/>
  <c r="I61" i="8"/>
  <c r="H61" i="8"/>
  <c r="E61" i="8"/>
  <c r="AH60" i="8"/>
  <c r="AG60" i="8"/>
  <c r="AF60" i="8"/>
  <c r="AB60" i="8"/>
  <c r="AA60" i="8"/>
  <c r="Z60" i="8"/>
  <c r="V60" i="8"/>
  <c r="U60" i="8"/>
  <c r="T60" i="8"/>
  <c r="P60" i="8"/>
  <c r="O60" i="8"/>
  <c r="N60" i="8"/>
  <c r="J60" i="8"/>
  <c r="I60" i="8"/>
  <c r="H60" i="8"/>
  <c r="E60" i="8"/>
  <c r="AH59" i="8"/>
  <c r="AG59" i="8"/>
  <c r="AF59" i="8"/>
  <c r="AB59" i="8"/>
  <c r="AA59" i="8"/>
  <c r="Z59" i="8"/>
  <c r="V59" i="8"/>
  <c r="U59" i="8"/>
  <c r="T59" i="8"/>
  <c r="P59" i="8"/>
  <c r="O59" i="8"/>
  <c r="N59" i="8"/>
  <c r="J59" i="8"/>
  <c r="I59" i="8"/>
  <c r="H59" i="8"/>
  <c r="E59" i="8"/>
  <c r="AH88" i="8"/>
  <c r="AG88" i="8"/>
  <c r="AF88" i="8"/>
  <c r="AB88" i="8"/>
  <c r="AA88" i="8"/>
  <c r="Z88" i="8"/>
  <c r="V88" i="8"/>
  <c r="U88" i="8"/>
  <c r="T88" i="8"/>
  <c r="P88" i="8"/>
  <c r="O88" i="8"/>
  <c r="N88" i="8"/>
  <c r="J88" i="8"/>
  <c r="I88" i="8"/>
  <c r="H88" i="8"/>
  <c r="E88" i="8"/>
  <c r="AH34" i="8"/>
  <c r="AG34" i="8"/>
  <c r="AF34" i="8"/>
  <c r="AB34" i="8"/>
  <c r="AA34" i="8"/>
  <c r="Z34" i="8"/>
  <c r="V34" i="8"/>
  <c r="U34" i="8"/>
  <c r="T34" i="8"/>
  <c r="P34" i="8"/>
  <c r="O34" i="8"/>
  <c r="N34" i="8"/>
  <c r="J34" i="8"/>
  <c r="I34" i="8"/>
  <c r="H34" i="8"/>
  <c r="E34" i="8"/>
  <c r="AH58" i="8"/>
  <c r="AG58" i="8"/>
  <c r="AF58" i="8"/>
  <c r="AB58" i="8"/>
  <c r="AA58" i="8"/>
  <c r="Z58" i="8"/>
  <c r="V58" i="8"/>
  <c r="U58" i="8"/>
  <c r="T58" i="8"/>
  <c r="P58" i="8"/>
  <c r="O58" i="8"/>
  <c r="N58" i="8"/>
  <c r="J58" i="8"/>
  <c r="I58" i="8"/>
  <c r="H58" i="8"/>
  <c r="E58" i="8"/>
  <c r="AH33" i="8"/>
  <c r="AG33" i="8"/>
  <c r="AF33" i="8"/>
  <c r="AB33" i="8"/>
  <c r="AA33" i="8"/>
  <c r="Z33" i="8"/>
  <c r="V33" i="8"/>
  <c r="U33" i="8"/>
  <c r="T33" i="8"/>
  <c r="P33" i="8"/>
  <c r="O33" i="8"/>
  <c r="N33" i="8"/>
  <c r="J33" i="8"/>
  <c r="I33" i="8"/>
  <c r="H33" i="8"/>
  <c r="E33" i="8"/>
  <c r="AH57" i="8"/>
  <c r="AG57" i="8"/>
  <c r="AF57" i="8"/>
  <c r="AB57" i="8"/>
  <c r="AA57" i="8"/>
  <c r="Z57" i="8"/>
  <c r="V57" i="8"/>
  <c r="U57" i="8"/>
  <c r="T57" i="8"/>
  <c r="P57" i="8"/>
  <c r="O57" i="8"/>
  <c r="N57" i="8"/>
  <c r="J57" i="8"/>
  <c r="I57" i="8"/>
  <c r="H57" i="8"/>
  <c r="E57" i="8"/>
  <c r="AH56" i="8"/>
  <c r="AG56" i="8"/>
  <c r="AF56" i="8"/>
  <c r="AB56" i="8"/>
  <c r="AA56" i="8"/>
  <c r="Z56" i="8"/>
  <c r="V56" i="8"/>
  <c r="U56" i="8"/>
  <c r="T56" i="8"/>
  <c r="P56" i="8"/>
  <c r="O56" i="8"/>
  <c r="N56" i="8"/>
  <c r="J56" i="8"/>
  <c r="I56" i="8"/>
  <c r="H56" i="8"/>
  <c r="E56" i="8"/>
  <c r="AH55" i="8"/>
  <c r="AG55" i="8"/>
  <c r="AF55" i="8"/>
  <c r="AB55" i="8"/>
  <c r="AA55" i="8"/>
  <c r="Z55" i="8"/>
  <c r="V55" i="8"/>
  <c r="U55" i="8"/>
  <c r="T55" i="8"/>
  <c r="P55" i="8"/>
  <c r="O55" i="8"/>
  <c r="N55" i="8"/>
  <c r="J55" i="8"/>
  <c r="I55" i="8"/>
  <c r="H55" i="8"/>
  <c r="E55" i="8"/>
  <c r="AH32" i="8"/>
  <c r="AG32" i="8"/>
  <c r="AF32" i="8"/>
  <c r="AB32" i="8"/>
  <c r="AA32" i="8"/>
  <c r="Z32" i="8"/>
  <c r="V32" i="8"/>
  <c r="U32" i="8"/>
  <c r="T32" i="8"/>
  <c r="P32" i="8"/>
  <c r="O32" i="8"/>
  <c r="N32" i="8"/>
  <c r="J32" i="8"/>
  <c r="I32" i="8"/>
  <c r="H32" i="8"/>
  <c r="E32" i="8"/>
  <c r="AH68" i="8"/>
  <c r="AG68" i="8"/>
  <c r="AF68" i="8"/>
  <c r="AB68" i="8"/>
  <c r="AA68" i="8"/>
  <c r="Z68" i="8"/>
  <c r="V68" i="8"/>
  <c r="U68" i="8"/>
  <c r="T68" i="8"/>
  <c r="P68" i="8"/>
  <c r="O68" i="8"/>
  <c r="N68" i="8"/>
  <c r="J68" i="8"/>
  <c r="I68" i="8"/>
  <c r="H68" i="8"/>
  <c r="E68" i="8"/>
  <c r="AH54" i="8"/>
  <c r="AG54" i="8"/>
  <c r="AF54" i="8"/>
  <c r="AB54" i="8"/>
  <c r="AA54" i="8"/>
  <c r="Z54" i="8"/>
  <c r="V54" i="8"/>
  <c r="U54" i="8"/>
  <c r="T54" i="8"/>
  <c r="P54" i="8"/>
  <c r="O54" i="8"/>
  <c r="N54" i="8"/>
  <c r="J54" i="8"/>
  <c r="I54" i="8"/>
  <c r="H54" i="8"/>
  <c r="E54" i="8"/>
  <c r="AH53" i="8"/>
  <c r="AG53" i="8"/>
  <c r="AF53" i="8"/>
  <c r="AB53" i="8"/>
  <c r="AA53" i="8"/>
  <c r="Z53" i="8"/>
  <c r="V53" i="8"/>
  <c r="U53" i="8"/>
  <c r="T53" i="8"/>
  <c r="P53" i="8"/>
  <c r="O53" i="8"/>
  <c r="N53" i="8"/>
  <c r="J53" i="8"/>
  <c r="I53" i="8"/>
  <c r="H53" i="8"/>
  <c r="E53" i="8"/>
  <c r="AH67" i="8"/>
  <c r="AG67" i="8"/>
  <c r="AF67" i="8"/>
  <c r="AB67" i="8"/>
  <c r="AA67" i="8"/>
  <c r="Z67" i="8"/>
  <c r="V67" i="8"/>
  <c r="U67" i="8"/>
  <c r="T67" i="8"/>
  <c r="P67" i="8"/>
  <c r="O67" i="8"/>
  <c r="N67" i="8"/>
  <c r="J67" i="8"/>
  <c r="I67" i="8"/>
  <c r="H67" i="8"/>
  <c r="E67" i="8"/>
  <c r="AH52" i="8"/>
  <c r="AG52" i="8"/>
  <c r="AF52" i="8"/>
  <c r="AB52" i="8"/>
  <c r="AA52" i="8"/>
  <c r="Z52" i="8"/>
  <c r="V52" i="8"/>
  <c r="U52" i="8"/>
  <c r="T52" i="8"/>
  <c r="P52" i="8"/>
  <c r="O52" i="8"/>
  <c r="N52" i="8"/>
  <c r="J52" i="8"/>
  <c r="I52" i="8"/>
  <c r="H52" i="8"/>
  <c r="E52" i="8"/>
  <c r="AH51" i="8"/>
  <c r="AG51" i="8"/>
  <c r="AF51" i="8"/>
  <c r="AB51" i="8"/>
  <c r="AA51" i="8"/>
  <c r="Z51" i="8"/>
  <c r="V51" i="8"/>
  <c r="U51" i="8"/>
  <c r="T51" i="8"/>
  <c r="P51" i="8"/>
  <c r="O51" i="8"/>
  <c r="N51" i="8"/>
  <c r="J51" i="8"/>
  <c r="I51" i="8"/>
  <c r="H51" i="8"/>
  <c r="E51" i="8"/>
  <c r="AH31" i="8"/>
  <c r="AG31" i="8"/>
  <c r="AF31" i="8"/>
  <c r="AB31" i="8"/>
  <c r="AA31" i="8"/>
  <c r="Z31" i="8"/>
  <c r="V31" i="8"/>
  <c r="U31" i="8"/>
  <c r="T31" i="8"/>
  <c r="P31" i="8"/>
  <c r="O31" i="8"/>
  <c r="N31" i="8"/>
  <c r="J31" i="8"/>
  <c r="I31" i="8"/>
  <c r="E31" i="8"/>
  <c r="AH50" i="8"/>
  <c r="AG50" i="8"/>
  <c r="AF50" i="8"/>
  <c r="AB50" i="8"/>
  <c r="AA50" i="8"/>
  <c r="Z50" i="8"/>
  <c r="V50" i="8"/>
  <c r="U50" i="8"/>
  <c r="T50" i="8"/>
  <c r="P50" i="8"/>
  <c r="O50" i="8"/>
  <c r="N50" i="8"/>
  <c r="J50" i="8"/>
  <c r="I50" i="8"/>
  <c r="H50" i="8"/>
  <c r="E50" i="8"/>
  <c r="AH49" i="8"/>
  <c r="AG49" i="8"/>
  <c r="AF49" i="8"/>
  <c r="AB49" i="8"/>
  <c r="AA49" i="8"/>
  <c r="Z49" i="8"/>
  <c r="V49" i="8"/>
  <c r="U49" i="8"/>
  <c r="T49" i="8"/>
  <c r="P49" i="8"/>
  <c r="O49" i="8"/>
  <c r="N49" i="8"/>
  <c r="J49" i="8"/>
  <c r="I49" i="8"/>
  <c r="H49" i="8"/>
  <c r="E49" i="8"/>
  <c r="AH48" i="8"/>
  <c r="AG48" i="8"/>
  <c r="AF48" i="8"/>
  <c r="AB48" i="8"/>
  <c r="AA48" i="8"/>
  <c r="Z48" i="8"/>
  <c r="V48" i="8"/>
  <c r="U48" i="8"/>
  <c r="T48" i="8"/>
  <c r="P48" i="8"/>
  <c r="O48" i="8"/>
  <c r="N48" i="8"/>
  <c r="J48" i="8"/>
  <c r="I48" i="8"/>
  <c r="H48" i="8"/>
  <c r="E48" i="8"/>
  <c r="AH47" i="8"/>
  <c r="AG47" i="8"/>
  <c r="AF47" i="8"/>
  <c r="AB47" i="8"/>
  <c r="AA47" i="8"/>
  <c r="Z47" i="8"/>
  <c r="V47" i="8"/>
  <c r="U47" i="8"/>
  <c r="T47" i="8"/>
  <c r="P47" i="8"/>
  <c r="O47" i="8"/>
  <c r="N47" i="8"/>
  <c r="J47" i="8"/>
  <c r="I47" i="8"/>
  <c r="H47" i="8"/>
  <c r="E47" i="8"/>
  <c r="AH46" i="8"/>
  <c r="AG46" i="8"/>
  <c r="AF46" i="8"/>
  <c r="AB46" i="8"/>
  <c r="AA46" i="8"/>
  <c r="Z46" i="8"/>
  <c r="V46" i="8"/>
  <c r="U46" i="8"/>
  <c r="T46" i="8"/>
  <c r="P46" i="8"/>
  <c r="O46" i="8"/>
  <c r="N46" i="8"/>
  <c r="J46" i="8"/>
  <c r="I46" i="8"/>
  <c r="H46" i="8"/>
  <c r="E46" i="8"/>
  <c r="AH45" i="8"/>
  <c r="AG45" i="8"/>
  <c r="AF45" i="8"/>
  <c r="AB45" i="8"/>
  <c r="AA45" i="8"/>
  <c r="Z45" i="8"/>
  <c r="V45" i="8"/>
  <c r="U45" i="8"/>
  <c r="T45" i="8"/>
  <c r="P45" i="8"/>
  <c r="O45" i="8"/>
  <c r="N45" i="8"/>
  <c r="J45" i="8"/>
  <c r="I45" i="8"/>
  <c r="H45" i="8"/>
  <c r="E45" i="8"/>
  <c r="AH44" i="8"/>
  <c r="AG44" i="8"/>
  <c r="AF44" i="8"/>
  <c r="AB44" i="8"/>
  <c r="AA44" i="8"/>
  <c r="Z44" i="8"/>
  <c r="V44" i="8"/>
  <c r="U44" i="8"/>
  <c r="T44" i="8"/>
  <c r="P44" i="8"/>
  <c r="O44" i="8"/>
  <c r="N44" i="8"/>
  <c r="J44" i="8"/>
  <c r="I44" i="8"/>
  <c r="H44" i="8"/>
  <c r="E44" i="8"/>
  <c r="AH43" i="8"/>
  <c r="AG43" i="8"/>
  <c r="AF43" i="8"/>
  <c r="AB43" i="8"/>
  <c r="AA43" i="8"/>
  <c r="Z43" i="8"/>
  <c r="V43" i="8"/>
  <c r="U43" i="8"/>
  <c r="T43" i="8"/>
  <c r="P43" i="8"/>
  <c r="O43" i="8"/>
  <c r="N43" i="8"/>
  <c r="J43" i="8"/>
  <c r="I43" i="8"/>
  <c r="H43" i="8"/>
  <c r="E43" i="8"/>
  <c r="AH30" i="8"/>
  <c r="AG30" i="8"/>
  <c r="AF30" i="8"/>
  <c r="AB30" i="8"/>
  <c r="AA30" i="8"/>
  <c r="Z30" i="8"/>
  <c r="V30" i="8"/>
  <c r="U30" i="8"/>
  <c r="T30" i="8"/>
  <c r="P30" i="8"/>
  <c r="O30" i="8"/>
  <c r="N30" i="8"/>
  <c r="J30" i="8"/>
  <c r="I30" i="8"/>
  <c r="H30" i="8"/>
  <c r="AH42" i="8"/>
  <c r="AG42" i="8"/>
  <c r="AF42" i="8"/>
  <c r="AB42" i="8"/>
  <c r="AA42" i="8"/>
  <c r="Z42" i="8"/>
  <c r="V42" i="8"/>
  <c r="U42" i="8"/>
  <c r="T42" i="8"/>
  <c r="P42" i="8"/>
  <c r="O42" i="8"/>
  <c r="N42" i="8"/>
  <c r="J42" i="8"/>
  <c r="I42" i="8"/>
  <c r="H42" i="8"/>
  <c r="E42" i="8"/>
  <c r="AH29" i="8"/>
  <c r="AG29" i="8"/>
  <c r="AF29" i="8"/>
  <c r="AB29" i="8"/>
  <c r="AA29" i="8"/>
  <c r="Z29" i="8"/>
  <c r="V29" i="8"/>
  <c r="U29" i="8"/>
  <c r="T29" i="8"/>
  <c r="P29" i="8"/>
  <c r="O29" i="8"/>
  <c r="N29" i="8"/>
  <c r="J29" i="8"/>
  <c r="I29" i="8"/>
  <c r="H29" i="8"/>
  <c r="AH41" i="8"/>
  <c r="AG41" i="8"/>
  <c r="AF41" i="8"/>
  <c r="AB41" i="8"/>
  <c r="AA41" i="8"/>
  <c r="Z41" i="8"/>
  <c r="V41" i="8"/>
  <c r="U41" i="8"/>
  <c r="T41" i="8"/>
  <c r="P41" i="8"/>
  <c r="O41" i="8"/>
  <c r="N41" i="8"/>
  <c r="J41" i="8"/>
  <c r="I41" i="8"/>
  <c r="H41" i="8"/>
  <c r="E41" i="8"/>
  <c r="AH40" i="8"/>
  <c r="AG40" i="8"/>
  <c r="AF40" i="8"/>
  <c r="AB40" i="8"/>
  <c r="AA40" i="8"/>
  <c r="Z40" i="8"/>
  <c r="V40" i="8"/>
  <c r="U40" i="8"/>
  <c r="T40" i="8"/>
  <c r="P40" i="8"/>
  <c r="O40" i="8"/>
  <c r="N40" i="8"/>
  <c r="J40" i="8"/>
  <c r="I40" i="8"/>
  <c r="H40" i="8"/>
  <c r="E40" i="8"/>
  <c r="AH39" i="8"/>
  <c r="AG39" i="8"/>
  <c r="AF39" i="8"/>
  <c r="AB39" i="8"/>
  <c r="AA39" i="8"/>
  <c r="Z39" i="8"/>
  <c r="V39" i="8"/>
  <c r="U39" i="8"/>
  <c r="T39" i="8"/>
  <c r="P39" i="8"/>
  <c r="O39" i="8"/>
  <c r="N39" i="8"/>
  <c r="J39" i="8"/>
  <c r="I39" i="8"/>
  <c r="H39" i="8"/>
  <c r="E39" i="8"/>
  <c r="AH38" i="8"/>
  <c r="AG38" i="8"/>
  <c r="AF38" i="8"/>
  <c r="AB38" i="8"/>
  <c r="AA38" i="8"/>
  <c r="Z38" i="8"/>
  <c r="V38" i="8"/>
  <c r="U38" i="8"/>
  <c r="T38" i="8"/>
  <c r="P38" i="8"/>
  <c r="O38" i="8"/>
  <c r="N38" i="8"/>
  <c r="J38" i="8"/>
  <c r="I38" i="8"/>
  <c r="H38" i="8"/>
  <c r="AH28" i="8"/>
  <c r="AG28" i="8"/>
  <c r="AF28" i="8"/>
  <c r="AB28" i="8"/>
  <c r="AA28" i="8"/>
  <c r="Z28" i="8"/>
  <c r="V28" i="8"/>
  <c r="U28" i="8"/>
  <c r="T28" i="8"/>
  <c r="P28" i="8"/>
  <c r="O28" i="8"/>
  <c r="N28" i="8"/>
  <c r="J28" i="8"/>
  <c r="I28" i="8"/>
  <c r="H28" i="8"/>
  <c r="AH27" i="8"/>
  <c r="AG27" i="8"/>
  <c r="AF27" i="8"/>
  <c r="AB27" i="8"/>
  <c r="AA27" i="8"/>
  <c r="Z27" i="8"/>
  <c r="V27" i="8"/>
  <c r="U27" i="8"/>
  <c r="T27" i="8"/>
  <c r="P27" i="8"/>
  <c r="O27" i="8"/>
  <c r="N27" i="8"/>
  <c r="J27" i="8"/>
  <c r="I27" i="8"/>
  <c r="H27" i="8"/>
  <c r="AH37" i="8"/>
  <c r="AG37" i="8"/>
  <c r="AF37" i="8"/>
  <c r="AB37" i="8"/>
  <c r="AA37" i="8"/>
  <c r="Z37" i="8"/>
  <c r="V37" i="8"/>
  <c r="U37" i="8"/>
  <c r="T37" i="8"/>
  <c r="P37" i="8"/>
  <c r="O37" i="8"/>
  <c r="N37" i="8"/>
  <c r="J37" i="8"/>
  <c r="I37" i="8"/>
  <c r="H37" i="8"/>
  <c r="E37" i="8"/>
  <c r="AH36" i="8"/>
  <c r="AG36" i="8"/>
  <c r="AF36" i="8"/>
  <c r="AB36" i="8"/>
  <c r="AA36" i="8"/>
  <c r="Z36" i="8"/>
  <c r="V36" i="8"/>
  <c r="U36" i="8"/>
  <c r="T36" i="8"/>
  <c r="P36" i="8"/>
  <c r="O36" i="8"/>
  <c r="N36" i="8"/>
  <c r="J36" i="8"/>
  <c r="I36" i="8"/>
  <c r="H36" i="8"/>
  <c r="E36" i="8"/>
  <c r="AH26" i="8"/>
  <c r="AG26" i="8"/>
  <c r="AF26" i="8"/>
  <c r="AB26" i="8"/>
  <c r="AA26" i="8"/>
  <c r="Z26" i="8"/>
  <c r="V26" i="8"/>
  <c r="U26" i="8"/>
  <c r="T26" i="8"/>
  <c r="P26" i="8"/>
  <c r="O26" i="8"/>
  <c r="N26" i="8"/>
  <c r="J26" i="8"/>
  <c r="I26" i="8"/>
  <c r="H26" i="8"/>
  <c r="E26" i="8"/>
  <c r="AH25" i="8"/>
  <c r="AG25" i="8"/>
  <c r="AF25" i="8"/>
  <c r="AB25" i="8"/>
  <c r="AA25" i="8"/>
  <c r="Z25" i="8"/>
  <c r="V25" i="8"/>
  <c r="U25" i="8"/>
  <c r="T25" i="8"/>
  <c r="P25" i="8"/>
  <c r="O25" i="8"/>
  <c r="N25" i="8"/>
  <c r="J25" i="8"/>
  <c r="I25" i="8"/>
  <c r="H25" i="8"/>
  <c r="E25" i="8"/>
  <c r="AH24" i="8"/>
  <c r="AG24" i="8"/>
  <c r="AF24" i="8"/>
  <c r="AB24" i="8"/>
  <c r="AA24" i="8"/>
  <c r="Z24" i="8"/>
  <c r="V24" i="8"/>
  <c r="U24" i="8"/>
  <c r="T24" i="8"/>
  <c r="P24" i="8"/>
  <c r="O24" i="8"/>
  <c r="N24" i="8"/>
  <c r="J24" i="8"/>
  <c r="I24" i="8"/>
  <c r="H24" i="8"/>
  <c r="E24" i="8"/>
  <c r="AH23" i="8"/>
  <c r="AG23" i="8"/>
  <c r="AF23" i="8"/>
  <c r="AB23" i="8"/>
  <c r="AA23" i="8"/>
  <c r="Z23" i="8"/>
  <c r="V23" i="8"/>
  <c r="U23" i="8"/>
  <c r="T23" i="8"/>
  <c r="P23" i="8"/>
  <c r="O23" i="8"/>
  <c r="N23" i="8"/>
  <c r="J23" i="8"/>
  <c r="I23" i="8"/>
  <c r="H23" i="8"/>
  <c r="E23" i="8"/>
  <c r="AH22" i="8"/>
  <c r="AG22" i="8"/>
  <c r="AF22" i="8"/>
  <c r="AB22" i="8"/>
  <c r="AA22" i="8"/>
  <c r="Z22" i="8"/>
  <c r="V22" i="8"/>
  <c r="U22" i="8"/>
  <c r="T22" i="8"/>
  <c r="P22" i="8"/>
  <c r="O22" i="8"/>
  <c r="N22" i="8"/>
  <c r="J22" i="8"/>
  <c r="I22" i="8"/>
  <c r="H22" i="8"/>
  <c r="E22" i="8"/>
  <c r="AH21" i="8"/>
  <c r="AG21" i="8"/>
  <c r="AF21" i="8"/>
  <c r="AB21" i="8"/>
  <c r="AA21" i="8"/>
  <c r="Z21" i="8"/>
  <c r="V21" i="8"/>
  <c r="U21" i="8"/>
  <c r="T21" i="8"/>
  <c r="P21" i="8"/>
  <c r="O21" i="8"/>
  <c r="N21" i="8"/>
  <c r="J21" i="8"/>
  <c r="I21" i="8"/>
  <c r="H21" i="8"/>
  <c r="E21" i="8"/>
  <c r="AH20" i="8"/>
  <c r="AG20" i="8"/>
  <c r="AF20" i="8"/>
  <c r="AB20" i="8"/>
  <c r="AA20" i="8"/>
  <c r="Z20" i="8"/>
  <c r="V20" i="8"/>
  <c r="U20" i="8"/>
  <c r="T20" i="8"/>
  <c r="P20" i="8"/>
  <c r="O20" i="8"/>
  <c r="N20" i="8"/>
  <c r="J20" i="8"/>
  <c r="I20" i="8"/>
  <c r="H20" i="8"/>
  <c r="E20" i="8"/>
  <c r="AH19" i="8"/>
  <c r="AG19" i="8"/>
  <c r="AF19" i="8"/>
  <c r="AB19" i="8"/>
  <c r="AA19" i="8"/>
  <c r="Z19" i="8"/>
  <c r="V19" i="8"/>
  <c r="U19" i="8"/>
  <c r="T19" i="8"/>
  <c r="P19" i="8"/>
  <c r="O19" i="8"/>
  <c r="N19" i="8"/>
  <c r="J19" i="8"/>
  <c r="I19" i="8"/>
  <c r="H19" i="8"/>
  <c r="E19" i="8"/>
  <c r="AH18" i="8"/>
  <c r="AG18" i="8"/>
  <c r="AF18" i="8"/>
  <c r="AB18" i="8"/>
  <c r="AA18" i="8"/>
  <c r="Z18" i="8"/>
  <c r="V18" i="8"/>
  <c r="U18" i="8"/>
  <c r="T18" i="8"/>
  <c r="P18" i="8"/>
  <c r="O18" i="8"/>
  <c r="N18" i="8"/>
  <c r="J18" i="8"/>
  <c r="I18" i="8"/>
  <c r="H18" i="8"/>
  <c r="E18" i="8"/>
  <c r="AH17" i="8"/>
  <c r="AG17" i="8"/>
  <c r="AF17" i="8"/>
  <c r="AB17" i="8"/>
  <c r="AA17" i="8"/>
  <c r="Z17" i="8"/>
  <c r="V17" i="8"/>
  <c r="U17" i="8"/>
  <c r="T17" i="8"/>
  <c r="P17" i="8"/>
  <c r="O17" i="8"/>
  <c r="N17" i="8"/>
  <c r="J17" i="8"/>
  <c r="I17" i="8"/>
  <c r="H17" i="8"/>
  <c r="E17" i="8"/>
  <c r="AH16" i="8"/>
  <c r="AG16" i="8"/>
  <c r="AF16" i="8"/>
  <c r="AB16" i="8"/>
  <c r="AA16" i="8"/>
  <c r="Z16" i="8"/>
  <c r="V16" i="8"/>
  <c r="U16" i="8"/>
  <c r="T16" i="8"/>
  <c r="P16" i="8"/>
  <c r="O16" i="8"/>
  <c r="N16" i="8"/>
  <c r="J16" i="8"/>
  <c r="I16" i="8"/>
  <c r="H16" i="8"/>
  <c r="E16" i="8"/>
  <c r="AH15" i="8"/>
  <c r="AG15" i="8"/>
  <c r="AF15" i="8"/>
  <c r="AB15" i="8"/>
  <c r="AA15" i="8"/>
  <c r="Z15" i="8"/>
  <c r="V15" i="8"/>
  <c r="U15" i="8"/>
  <c r="T15" i="8"/>
  <c r="P15" i="8"/>
  <c r="O15" i="8"/>
  <c r="N15" i="8"/>
  <c r="J15" i="8"/>
  <c r="I15" i="8"/>
  <c r="H15" i="8"/>
  <c r="E15" i="8"/>
  <c r="AH14" i="8"/>
  <c r="AG14" i="8"/>
  <c r="AF14" i="8"/>
  <c r="AB14" i="8"/>
  <c r="AA14" i="8"/>
  <c r="Z14" i="8"/>
  <c r="V14" i="8"/>
  <c r="U14" i="8"/>
  <c r="T14" i="8"/>
  <c r="P14" i="8"/>
  <c r="O14" i="8"/>
  <c r="N14" i="8"/>
  <c r="J14" i="8"/>
  <c r="I14" i="8"/>
  <c r="H14" i="8"/>
  <c r="E14" i="8"/>
  <c r="AH13" i="8"/>
  <c r="AG13" i="8"/>
  <c r="AF13" i="8"/>
  <c r="AB13" i="8"/>
  <c r="AA13" i="8"/>
  <c r="Z13" i="8"/>
  <c r="V13" i="8"/>
  <c r="U13" i="8"/>
  <c r="T13" i="8"/>
  <c r="P13" i="8"/>
  <c r="O13" i="8"/>
  <c r="N13" i="8"/>
  <c r="J13" i="8"/>
  <c r="I13" i="8"/>
  <c r="H13" i="8"/>
  <c r="E13" i="8"/>
  <c r="AH12" i="8"/>
  <c r="AG12" i="8"/>
  <c r="AF12" i="8"/>
  <c r="AB12" i="8"/>
  <c r="AA12" i="8"/>
  <c r="Z12" i="8"/>
  <c r="V12" i="8"/>
  <c r="U12" i="8"/>
  <c r="T12" i="8"/>
  <c r="P12" i="8"/>
  <c r="O12" i="8"/>
  <c r="N12" i="8"/>
  <c r="J12" i="8"/>
  <c r="I12" i="8"/>
  <c r="H12" i="8"/>
  <c r="E12" i="8"/>
  <c r="AH11" i="8"/>
  <c r="AB11" i="8"/>
  <c r="AA11" i="8"/>
  <c r="Z11" i="8"/>
  <c r="V11" i="8"/>
  <c r="U11" i="8"/>
  <c r="T11" i="8"/>
  <c r="E11" i="8"/>
  <c r="C6" i="8"/>
  <c r="C5" i="8"/>
  <c r="C4" i="8"/>
  <c r="C32" i="13" l="1"/>
  <c r="D32" i="13" s="1"/>
  <c r="E32" i="13" s="1"/>
  <c r="F34" i="14"/>
  <c r="G99" i="8"/>
  <c r="G97" i="8"/>
  <c r="H97" i="8" s="1"/>
  <c r="G11" i="8"/>
  <c r="K11" i="8" s="1"/>
  <c r="G67" i="8"/>
  <c r="M24" i="8"/>
  <c r="AW11" i="8"/>
  <c r="BA11" i="8" s="1"/>
  <c r="C145" i="8"/>
  <c r="C146" i="8"/>
  <c r="AW67" i="8"/>
  <c r="AW68" i="8"/>
  <c r="BA68" i="8" s="1"/>
  <c r="AQ67" i="8"/>
  <c r="AQ68" i="8"/>
  <c r="H154" i="8"/>
  <c r="H155" i="8"/>
  <c r="Q168" i="8" s="1"/>
  <c r="AQ88" i="8"/>
  <c r="C147" i="8"/>
  <c r="AW88" i="8"/>
  <c r="G105" i="8"/>
  <c r="C97" i="8"/>
  <c r="E97" i="8" s="1"/>
  <c r="F97" i="8" s="1"/>
  <c r="J97" i="8" s="1"/>
  <c r="AE35" i="8"/>
  <c r="AW35" i="8"/>
  <c r="BA35" i="8" s="1"/>
  <c r="AW33" i="8"/>
  <c r="BA33" i="8" s="1"/>
  <c r="AW31" i="8"/>
  <c r="BA31" i="8" s="1"/>
  <c r="AW29" i="8"/>
  <c r="BA29" i="8" s="1"/>
  <c r="AW27" i="8"/>
  <c r="BA27" i="8" s="1"/>
  <c r="AW25" i="8"/>
  <c r="BA25" i="8" s="1"/>
  <c r="AW23" i="8"/>
  <c r="BA23" i="8" s="1"/>
  <c r="AW21" i="8"/>
  <c r="BA21" i="8" s="1"/>
  <c r="AW19" i="8"/>
  <c r="BA19" i="8" s="1"/>
  <c r="AW17" i="8"/>
  <c r="BA17" i="8" s="1"/>
  <c r="AW15" i="8"/>
  <c r="BA15" i="8" s="1"/>
  <c r="AW13" i="8"/>
  <c r="BA13" i="8" s="1"/>
  <c r="AW32" i="8"/>
  <c r="BA32" i="8" s="1"/>
  <c r="AW28" i="8"/>
  <c r="BA28" i="8" s="1"/>
  <c r="AW24" i="8"/>
  <c r="BA24" i="8" s="1"/>
  <c r="AW18" i="8"/>
  <c r="BA18" i="8" s="1"/>
  <c r="AW12" i="8"/>
  <c r="BA12" i="8" s="1"/>
  <c r="Y11" i="8"/>
  <c r="BA67" i="8"/>
  <c r="AW26" i="8"/>
  <c r="BA26" i="8" s="1"/>
  <c r="AW20" i="8"/>
  <c r="BA20" i="8" s="1"/>
  <c r="AW14" i="8"/>
  <c r="BA14" i="8" s="1"/>
  <c r="M11" i="8"/>
  <c r="Q11" i="8" s="1"/>
  <c r="S11" i="8"/>
  <c r="W11" i="8" s="1"/>
  <c r="AW34" i="8"/>
  <c r="BA34" i="8" s="1"/>
  <c r="AW30" i="8"/>
  <c r="BA30" i="8" s="1"/>
  <c r="AW22" i="8"/>
  <c r="BA22" i="8" s="1"/>
  <c r="AW16" i="8"/>
  <c r="BA16" i="8" s="1"/>
  <c r="AK11" i="8"/>
  <c r="AE11" i="8"/>
  <c r="S67" i="8"/>
  <c r="W67" i="8" s="1"/>
  <c r="G31" i="8"/>
  <c r="K31" i="8" s="1"/>
  <c r="M36" i="8"/>
  <c r="AW54" i="8"/>
  <c r="BA54" i="8" s="1"/>
  <c r="AW66" i="8"/>
  <c r="BA66" i="8" s="1"/>
  <c r="AW64" i="8"/>
  <c r="BA64" i="8" s="1"/>
  <c r="AW62" i="8"/>
  <c r="BA62" i="8" s="1"/>
  <c r="AW60" i="8"/>
  <c r="BA60" i="8" s="1"/>
  <c r="BA88" i="8"/>
  <c r="AW57" i="8"/>
  <c r="BA57" i="8" s="1"/>
  <c r="AW55" i="8"/>
  <c r="BA55" i="8" s="1"/>
  <c r="AW53" i="8"/>
  <c r="BA53" i="8" s="1"/>
  <c r="AW51" i="8"/>
  <c r="BA51" i="8" s="1"/>
  <c r="AW49" i="8"/>
  <c r="BA49" i="8" s="1"/>
  <c r="AW47" i="8"/>
  <c r="BA47" i="8" s="1"/>
  <c r="AW45" i="8"/>
  <c r="BA45" i="8" s="1"/>
  <c r="AW43" i="8"/>
  <c r="BA43" i="8" s="1"/>
  <c r="AW41" i="8"/>
  <c r="BA41" i="8" s="1"/>
  <c r="AW39" i="8"/>
  <c r="BA39" i="8" s="1"/>
  <c r="AW37" i="8"/>
  <c r="BA37" i="8" s="1"/>
  <c r="AW42" i="8"/>
  <c r="BA42" i="8" s="1"/>
  <c r="AQ66" i="8"/>
  <c r="AU66" i="8" s="1"/>
  <c r="Y36" i="8"/>
  <c r="AW48" i="8"/>
  <c r="BA48" i="8" s="1"/>
  <c r="AW38" i="8"/>
  <c r="BA38" i="8" s="1"/>
  <c r="AE66" i="8"/>
  <c r="AI66" i="8" s="1"/>
  <c r="AW61" i="8"/>
  <c r="BA61" i="8" s="1"/>
  <c r="AW52" i="8"/>
  <c r="BA52" i="8" s="1"/>
  <c r="AW44" i="8"/>
  <c r="BA44" i="8" s="1"/>
  <c r="AW36" i="8"/>
  <c r="BA36" i="8" s="1"/>
  <c r="AE65" i="8"/>
  <c r="AW65" i="8"/>
  <c r="BA65" i="8" s="1"/>
  <c r="AW63" i="8"/>
  <c r="BA63" i="8" s="1"/>
  <c r="AW59" i="8"/>
  <c r="BA59" i="8" s="1"/>
  <c r="AW56" i="8"/>
  <c r="BA56" i="8" s="1"/>
  <c r="AW50" i="8"/>
  <c r="BA50" i="8" s="1"/>
  <c r="AW46" i="8"/>
  <c r="BA46" i="8" s="1"/>
  <c r="AW40" i="8"/>
  <c r="BA40" i="8" s="1"/>
  <c r="S36" i="8"/>
  <c r="Y66" i="8"/>
  <c r="AW58" i="8"/>
  <c r="BA58" i="8" s="1"/>
  <c r="AE36" i="8"/>
  <c r="AI36" i="8" s="1"/>
  <c r="Y69" i="8"/>
  <c r="AC69" i="8" s="1"/>
  <c r="M69" i="8"/>
  <c r="Q69" i="8" s="1"/>
  <c r="AW89" i="8"/>
  <c r="BA89" i="8" s="1"/>
  <c r="AW86" i="8"/>
  <c r="BA86" i="8" s="1"/>
  <c r="AW84" i="8"/>
  <c r="BA84" i="8" s="1"/>
  <c r="AW82" i="8"/>
  <c r="BA82" i="8" s="1"/>
  <c r="AW80" i="8"/>
  <c r="BA80" i="8" s="1"/>
  <c r="AW78" i="8"/>
  <c r="BA78" i="8" s="1"/>
  <c r="AW76" i="8"/>
  <c r="BA76" i="8" s="1"/>
  <c r="AW74" i="8"/>
  <c r="BA74" i="8" s="1"/>
  <c r="AW72" i="8"/>
  <c r="BA72" i="8" s="1"/>
  <c r="AW70" i="8"/>
  <c r="BA70" i="8" s="1"/>
  <c r="AE70" i="8"/>
  <c r="AW85" i="8"/>
  <c r="BA85" i="8" s="1"/>
  <c r="S69" i="8"/>
  <c r="W69" i="8" s="1"/>
  <c r="AW87" i="8"/>
  <c r="BA87" i="8" s="1"/>
  <c r="AW83" i="8"/>
  <c r="BA83" i="8" s="1"/>
  <c r="AW81" i="8"/>
  <c r="BA81" i="8" s="1"/>
  <c r="AW79" i="8"/>
  <c r="BA79" i="8" s="1"/>
  <c r="AW77" i="8"/>
  <c r="BA77" i="8" s="1"/>
  <c r="AW75" i="8"/>
  <c r="BA75" i="8" s="1"/>
  <c r="AW73" i="8"/>
  <c r="BA73" i="8" s="1"/>
  <c r="AW71" i="8"/>
  <c r="BA71" i="8" s="1"/>
  <c r="AW69" i="8"/>
  <c r="BA69" i="8" s="1"/>
  <c r="G107" i="8"/>
  <c r="H107" i="8" s="1"/>
  <c r="E168" i="8" s="1"/>
  <c r="G106" i="8"/>
  <c r="H106" i="8" s="1"/>
  <c r="E167" i="8" s="1"/>
  <c r="Y39" i="8"/>
  <c r="AC39" i="8" s="1"/>
  <c r="S66" i="8"/>
  <c r="M66" i="8"/>
  <c r="Q66" i="8" s="1"/>
  <c r="AK66" i="8"/>
  <c r="AO66" i="8" s="1"/>
  <c r="G66" i="8"/>
  <c r="K66" i="8" s="1"/>
  <c r="E129" i="8"/>
  <c r="F129" i="8" s="1"/>
  <c r="AQ27" i="8"/>
  <c r="AU27" i="8" s="1"/>
  <c r="AQ33" i="8"/>
  <c r="AU33" i="8" s="1"/>
  <c r="AK31" i="8"/>
  <c r="AO31" i="8" s="1"/>
  <c r="AE29" i="8"/>
  <c r="AI35" i="8"/>
  <c r="Y32" i="8"/>
  <c r="AC32" i="8" s="1"/>
  <c r="S31" i="8"/>
  <c r="W31" i="8" s="1"/>
  <c r="M28" i="8"/>
  <c r="Q28" i="8" s="1"/>
  <c r="M34" i="8"/>
  <c r="Q34" i="8" s="1"/>
  <c r="M31" i="8"/>
  <c r="Q31" i="8" s="1"/>
  <c r="AK33" i="8"/>
  <c r="AO33" i="8" s="1"/>
  <c r="S33" i="8"/>
  <c r="W33" i="8" s="1"/>
  <c r="G33" i="8"/>
  <c r="G28" i="8"/>
  <c r="K28" i="8" s="1"/>
  <c r="AK29" i="8"/>
  <c r="AO29" i="8" s="1"/>
  <c r="S26" i="8"/>
  <c r="W26" i="8" s="1"/>
  <c r="AE28" i="8"/>
  <c r="AI28" i="8" s="1"/>
  <c r="AQ28" i="8"/>
  <c r="AU28" i="8" s="1"/>
  <c r="AQ34" i="8"/>
  <c r="AU34" i="8" s="1"/>
  <c r="AK67" i="8"/>
  <c r="AO67" i="8" s="1"/>
  <c r="AE30" i="8"/>
  <c r="Y27" i="8"/>
  <c r="AC27" i="8" s="1"/>
  <c r="Y33" i="8"/>
  <c r="AC33" i="8" s="1"/>
  <c r="M29" i="8"/>
  <c r="Q29" i="8" s="1"/>
  <c r="M35" i="8"/>
  <c r="Q35" i="8" s="1"/>
  <c r="K67" i="8"/>
  <c r="G32" i="8"/>
  <c r="AE68" i="8"/>
  <c r="M67" i="8"/>
  <c r="Q67" i="8" s="1"/>
  <c r="S28" i="8"/>
  <c r="W28" i="8" s="1"/>
  <c r="S29" i="8"/>
  <c r="W29" i="8" s="1"/>
  <c r="AQ32" i="8"/>
  <c r="AU32" i="8" s="1"/>
  <c r="S30" i="8"/>
  <c r="W30" i="8" s="1"/>
  <c r="AQ29" i="8"/>
  <c r="AU29" i="8" s="1"/>
  <c r="AQ35" i="8"/>
  <c r="AU35" i="8" s="1"/>
  <c r="AK68" i="8"/>
  <c r="AE31" i="8"/>
  <c r="Y28" i="8"/>
  <c r="AC28" i="8" s="1"/>
  <c r="Y34" i="8"/>
  <c r="AC34" i="8" s="1"/>
  <c r="S68" i="8"/>
  <c r="W68" i="8" s="1"/>
  <c r="M30" i="8"/>
  <c r="Q30" i="8" s="1"/>
  <c r="M26" i="8"/>
  <c r="Q26" i="8" s="1"/>
  <c r="G68" i="8"/>
  <c r="K68" i="8" s="1"/>
  <c r="G35" i="8"/>
  <c r="S27" i="8"/>
  <c r="G27" i="8"/>
  <c r="K27" i="8" s="1"/>
  <c r="M68" i="8"/>
  <c r="Q68" i="8" s="1"/>
  <c r="AE27" i="8"/>
  <c r="AI27" i="8" s="1"/>
  <c r="G29" i="8"/>
  <c r="K29" i="8" s="1"/>
  <c r="Y68" i="8"/>
  <c r="AC68" i="8" s="1"/>
  <c r="AQ30" i="8"/>
  <c r="AU30" i="8" s="1"/>
  <c r="AK35" i="8"/>
  <c r="AK32" i="8"/>
  <c r="AO32" i="8" s="1"/>
  <c r="AE67" i="8"/>
  <c r="AI67" i="8" s="1"/>
  <c r="Y29" i="8"/>
  <c r="AC29" i="8" s="1"/>
  <c r="Y35" i="8"/>
  <c r="AC35" i="8" s="1"/>
  <c r="S32" i="8"/>
  <c r="W32" i="8" s="1"/>
  <c r="Y31" i="8"/>
  <c r="AC31" i="8" s="1"/>
  <c r="G34" i="8"/>
  <c r="K34" i="8" s="1"/>
  <c r="AE33" i="8"/>
  <c r="M32" i="8"/>
  <c r="AK30" i="8"/>
  <c r="AO30" i="8" s="1"/>
  <c r="M33" i="8"/>
  <c r="Q33" i="8" s="1"/>
  <c r="AQ31" i="8"/>
  <c r="AU31" i="8" s="1"/>
  <c r="AK27" i="8"/>
  <c r="AO27" i="8" s="1"/>
  <c r="Y30" i="8"/>
  <c r="AC30" i="8" s="1"/>
  <c r="Y67" i="8"/>
  <c r="AC67" i="8" s="1"/>
  <c r="M27" i="8"/>
  <c r="AU67" i="8"/>
  <c r="AK28" i="8"/>
  <c r="AO28" i="8" s="1"/>
  <c r="AK34" i="8"/>
  <c r="AO34" i="8" s="1"/>
  <c r="AE32" i="8"/>
  <c r="AI32" i="8" s="1"/>
  <c r="S34" i="8"/>
  <c r="W34" i="8" s="1"/>
  <c r="AU68" i="8"/>
  <c r="S35" i="8"/>
  <c r="W35" i="8" s="1"/>
  <c r="AE34" i="8"/>
  <c r="G30" i="8"/>
  <c r="G113" i="8"/>
  <c r="Y37" i="8"/>
  <c r="AC37" i="8" s="1"/>
  <c r="H105" i="8"/>
  <c r="E166" i="8" s="1"/>
  <c r="AC11" i="8"/>
  <c r="G121" i="8"/>
  <c r="Y23" i="8"/>
  <c r="AC23" i="8" s="1"/>
  <c r="M49" i="8"/>
  <c r="Q49" i="8" s="1"/>
  <c r="Y13" i="8"/>
  <c r="AC13" i="8" s="1"/>
  <c r="G137" i="8"/>
  <c r="M43" i="8"/>
  <c r="Q43" i="8" s="1"/>
  <c r="M55" i="8"/>
  <c r="Q55" i="8" s="1"/>
  <c r="Y17" i="8"/>
  <c r="AC17" i="8" s="1"/>
  <c r="M52" i="8"/>
  <c r="Q52" i="8" s="1"/>
  <c r="Y26" i="8"/>
  <c r="AC26" i="8" s="1"/>
  <c r="M47" i="8"/>
  <c r="Q47" i="8" s="1"/>
  <c r="M58" i="8"/>
  <c r="Q58" i="8" s="1"/>
  <c r="Y21" i="8"/>
  <c r="AC21" i="8" s="1"/>
  <c r="M42" i="8"/>
  <c r="Q42" i="8" s="1"/>
  <c r="Y15" i="8"/>
  <c r="AC15" i="8" s="1"/>
  <c r="M45" i="8"/>
  <c r="Q45" i="8" s="1"/>
  <c r="M57" i="8"/>
  <c r="Q57" i="8" s="1"/>
  <c r="Y19" i="8"/>
  <c r="AC19" i="8" s="1"/>
  <c r="M41" i="8"/>
  <c r="Q41" i="8" s="1"/>
  <c r="M53" i="8"/>
  <c r="Q53" i="8" s="1"/>
  <c r="G129" i="8"/>
  <c r="AQ11" i="8"/>
  <c r="AU11" i="8" s="1"/>
  <c r="S12" i="8"/>
  <c r="W12" i="8" s="1"/>
  <c r="AQ13" i="8"/>
  <c r="AU13" i="8" s="1"/>
  <c r="S14" i="8"/>
  <c r="W14" i="8" s="1"/>
  <c r="AQ15" i="8"/>
  <c r="AU15" i="8" s="1"/>
  <c r="S16" i="8"/>
  <c r="W16" i="8" s="1"/>
  <c r="AQ17" i="8"/>
  <c r="AU17" i="8" s="1"/>
  <c r="S18" i="8"/>
  <c r="W18" i="8" s="1"/>
  <c r="AQ19" i="8"/>
  <c r="AU19" i="8" s="1"/>
  <c r="S20" i="8"/>
  <c r="W20" i="8" s="1"/>
  <c r="AQ21" i="8"/>
  <c r="AU21" i="8" s="1"/>
  <c r="S22" i="8"/>
  <c r="W22" i="8" s="1"/>
  <c r="AQ23" i="8"/>
  <c r="AU23" i="8" s="1"/>
  <c r="S24" i="8"/>
  <c r="W24" i="8" s="1"/>
  <c r="S25" i="8"/>
  <c r="W25" i="8" s="1"/>
  <c r="AQ26" i="8"/>
  <c r="AU26" i="8" s="1"/>
  <c r="W36" i="8"/>
  <c r="M38" i="8"/>
  <c r="Q38" i="8" s="1"/>
  <c r="AQ38" i="8"/>
  <c r="AU38" i="8" s="1"/>
  <c r="S39" i="8"/>
  <c r="W39" i="8" s="1"/>
  <c r="AE12" i="8"/>
  <c r="AI12" i="8" s="1"/>
  <c r="G13" i="8"/>
  <c r="K13" i="8" s="1"/>
  <c r="AE14" i="8"/>
  <c r="AI14" i="8" s="1"/>
  <c r="G15" i="8"/>
  <c r="K15" i="8" s="1"/>
  <c r="AE16" i="8"/>
  <c r="AI16" i="8" s="1"/>
  <c r="G17" i="8"/>
  <c r="K17" i="8" s="1"/>
  <c r="AE18" i="8"/>
  <c r="AI18" i="8" s="1"/>
  <c r="G19" i="8"/>
  <c r="K19" i="8" s="1"/>
  <c r="AE20" i="8"/>
  <c r="AI20" i="8" s="1"/>
  <c r="G21" i="8"/>
  <c r="K21" i="8" s="1"/>
  <c r="AE22" i="8"/>
  <c r="AI22" i="8" s="1"/>
  <c r="G23" i="8"/>
  <c r="K23" i="8" s="1"/>
  <c r="AE24" i="8"/>
  <c r="AI24" i="8" s="1"/>
  <c r="AE25" i="8"/>
  <c r="AI25" i="8" s="1"/>
  <c r="G26" i="8"/>
  <c r="K26" i="8" s="1"/>
  <c r="G37" i="8"/>
  <c r="K37" i="8" s="1"/>
  <c r="AK37" i="8"/>
  <c r="AO37" i="8" s="1"/>
  <c r="Q27" i="8"/>
  <c r="AO11" i="8"/>
  <c r="M12" i="8"/>
  <c r="Q12" i="8" s="1"/>
  <c r="AK13" i="8"/>
  <c r="AO13" i="8" s="1"/>
  <c r="M14" i="8"/>
  <c r="Q14" i="8" s="1"/>
  <c r="AK15" i="8"/>
  <c r="AO15" i="8" s="1"/>
  <c r="M16" i="8"/>
  <c r="Q16" i="8" s="1"/>
  <c r="AK17" i="8"/>
  <c r="AO17" i="8" s="1"/>
  <c r="M18" i="8"/>
  <c r="Q18" i="8" s="1"/>
  <c r="AK19" i="8"/>
  <c r="AO19" i="8" s="1"/>
  <c r="M20" i="8"/>
  <c r="Q20" i="8" s="1"/>
  <c r="AK21" i="8"/>
  <c r="AO21" i="8" s="1"/>
  <c r="M22" i="8"/>
  <c r="Q22" i="8" s="1"/>
  <c r="AK23" i="8"/>
  <c r="AO23" i="8" s="1"/>
  <c r="Q24" i="8"/>
  <c r="M25" i="8"/>
  <c r="Q25" i="8" s="1"/>
  <c r="AK26" i="8"/>
  <c r="AO26" i="8" s="1"/>
  <c r="Q36" i="8"/>
  <c r="G38" i="8"/>
  <c r="K38" i="8" s="1"/>
  <c r="AK38" i="8"/>
  <c r="AO38" i="8" s="1"/>
  <c r="M39" i="8"/>
  <c r="Q39" i="8" s="1"/>
  <c r="AQ12" i="8"/>
  <c r="AU12" i="8" s="1"/>
  <c r="S13" i="8"/>
  <c r="W13" i="8" s="1"/>
  <c r="AQ14" i="8"/>
  <c r="AU14" i="8" s="1"/>
  <c r="S15" i="8"/>
  <c r="W15" i="8" s="1"/>
  <c r="AQ16" i="8"/>
  <c r="AU16" i="8" s="1"/>
  <c r="S17" i="8"/>
  <c r="W17" i="8" s="1"/>
  <c r="AQ18" i="8"/>
  <c r="AU18" i="8" s="1"/>
  <c r="S19" i="8"/>
  <c r="W19" i="8" s="1"/>
  <c r="AQ20" i="8"/>
  <c r="AU20" i="8" s="1"/>
  <c r="S21" i="8"/>
  <c r="W21" i="8" s="1"/>
  <c r="AQ22" i="8"/>
  <c r="AU22" i="8" s="1"/>
  <c r="S23" i="8"/>
  <c r="W23" i="8" s="1"/>
  <c r="AQ24" i="8"/>
  <c r="AU24" i="8" s="1"/>
  <c r="AQ25" i="8"/>
  <c r="AU25" i="8" s="1"/>
  <c r="AQ36" i="8"/>
  <c r="AU36" i="8" s="1"/>
  <c r="S37" i="8"/>
  <c r="W37" i="8" s="1"/>
  <c r="AK39" i="8"/>
  <c r="AO39" i="8" s="1"/>
  <c r="Y12" i="8"/>
  <c r="AC12" i="8" s="1"/>
  <c r="Y14" i="8"/>
  <c r="AC14" i="8" s="1"/>
  <c r="Y16" i="8"/>
  <c r="AC16" i="8" s="1"/>
  <c r="Y18" i="8"/>
  <c r="AC18" i="8" s="1"/>
  <c r="Y20" i="8"/>
  <c r="AC20" i="8" s="1"/>
  <c r="Y22" i="8"/>
  <c r="AC22" i="8" s="1"/>
  <c r="Y24" i="8"/>
  <c r="AC24" i="8" s="1"/>
  <c r="Y25" i="8"/>
  <c r="AC25" i="8" s="1"/>
  <c r="AC36" i="8"/>
  <c r="AE37" i="8"/>
  <c r="AI37" i="8" s="1"/>
  <c r="S38" i="8"/>
  <c r="W38" i="8" s="1"/>
  <c r="AI65" i="8"/>
  <c r="G64" i="8"/>
  <c r="K64" i="8" s="1"/>
  <c r="AE63" i="8"/>
  <c r="AI63" i="8" s="1"/>
  <c r="G62" i="8"/>
  <c r="K62" i="8" s="1"/>
  <c r="G61" i="8"/>
  <c r="K61" i="8" s="1"/>
  <c r="AE60" i="8"/>
  <c r="AI60" i="8" s="1"/>
  <c r="G59" i="8"/>
  <c r="K59" i="8" s="1"/>
  <c r="AE88" i="8"/>
  <c r="AI88" i="8" s="1"/>
  <c r="Y64" i="8"/>
  <c r="AC64" i="8" s="1"/>
  <c r="Y62" i="8"/>
  <c r="AC62" i="8" s="1"/>
  <c r="Y61" i="8"/>
  <c r="AC61" i="8" s="1"/>
  <c r="Y59" i="8"/>
  <c r="AC59" i="8" s="1"/>
  <c r="S65" i="8"/>
  <c r="W65" i="8" s="1"/>
  <c r="AQ64" i="8"/>
  <c r="AU64" i="8" s="1"/>
  <c r="S63" i="8"/>
  <c r="W63" i="8" s="1"/>
  <c r="AQ62" i="8"/>
  <c r="AU62" i="8" s="1"/>
  <c r="AQ61" i="8"/>
  <c r="AU61" i="8" s="1"/>
  <c r="S60" i="8"/>
  <c r="W60" i="8" s="1"/>
  <c r="AQ59" i="8"/>
  <c r="AU59" i="8" s="1"/>
  <c r="S88" i="8"/>
  <c r="W88" i="8" s="1"/>
  <c r="AK65" i="8"/>
  <c r="AO65" i="8" s="1"/>
  <c r="M64" i="8"/>
  <c r="Q64" i="8" s="1"/>
  <c r="AK63" i="8"/>
  <c r="AO63" i="8" s="1"/>
  <c r="M62" i="8"/>
  <c r="Q62" i="8" s="1"/>
  <c r="AO35" i="8"/>
  <c r="M61" i="8"/>
  <c r="Q61" i="8" s="1"/>
  <c r="AK60" i="8"/>
  <c r="AO60" i="8" s="1"/>
  <c r="M59" i="8"/>
  <c r="Q59" i="8" s="1"/>
  <c r="AK88" i="8"/>
  <c r="AO88" i="8" s="1"/>
  <c r="G65" i="8"/>
  <c r="K65" i="8" s="1"/>
  <c r="AE64" i="8"/>
  <c r="AI64" i="8" s="1"/>
  <c r="G63" i="8"/>
  <c r="K63" i="8" s="1"/>
  <c r="AE62" i="8"/>
  <c r="AI62" i="8" s="1"/>
  <c r="K35" i="8"/>
  <c r="AE61" i="8"/>
  <c r="AI61" i="8" s="1"/>
  <c r="G60" i="8"/>
  <c r="K60" i="8" s="1"/>
  <c r="AE59" i="8"/>
  <c r="AI59" i="8" s="1"/>
  <c r="G88" i="8"/>
  <c r="K88" i="8" s="1"/>
  <c r="AI34" i="8"/>
  <c r="C98" i="8"/>
  <c r="E98" i="8" s="1"/>
  <c r="Y65" i="8"/>
  <c r="AC65" i="8" s="1"/>
  <c r="Y63" i="8"/>
  <c r="AC63" i="8" s="1"/>
  <c r="Y60" i="8"/>
  <c r="AC60" i="8" s="1"/>
  <c r="Y88" i="8"/>
  <c r="AC88" i="8" s="1"/>
  <c r="M65" i="8"/>
  <c r="Q65" i="8" s="1"/>
  <c r="AK64" i="8"/>
  <c r="AO64" i="8" s="1"/>
  <c r="M63" i="8"/>
  <c r="Q63" i="8" s="1"/>
  <c r="AK62" i="8"/>
  <c r="AO62" i="8" s="1"/>
  <c r="AK61" i="8"/>
  <c r="AO61" i="8" s="1"/>
  <c r="M60" i="8"/>
  <c r="Q60" i="8" s="1"/>
  <c r="AK59" i="8"/>
  <c r="AO59" i="8" s="1"/>
  <c r="M88" i="8"/>
  <c r="Q88" i="8" s="1"/>
  <c r="Y56" i="8"/>
  <c r="AC56" i="8" s="1"/>
  <c r="Y54" i="8"/>
  <c r="AC54" i="8" s="1"/>
  <c r="Y51" i="8"/>
  <c r="AC51" i="8" s="1"/>
  <c r="Y50" i="8"/>
  <c r="AC50" i="8" s="1"/>
  <c r="Y48" i="8"/>
  <c r="AC48" i="8" s="1"/>
  <c r="Y46" i="8"/>
  <c r="AC46" i="8" s="1"/>
  <c r="Y44" i="8"/>
  <c r="AC44" i="8" s="1"/>
  <c r="Y40" i="8"/>
  <c r="AC40" i="8" s="1"/>
  <c r="Y38" i="8"/>
  <c r="AC38" i="8" s="1"/>
  <c r="S64" i="8"/>
  <c r="W64" i="8" s="1"/>
  <c r="S62" i="8"/>
  <c r="W62" i="8" s="1"/>
  <c r="S61" i="8"/>
  <c r="W61" i="8" s="1"/>
  <c r="S59" i="8"/>
  <c r="W59" i="8" s="1"/>
  <c r="S58" i="8"/>
  <c r="W58" i="8" s="1"/>
  <c r="S57" i="8"/>
  <c r="W57" i="8" s="1"/>
  <c r="AQ56" i="8"/>
  <c r="AU56" i="8" s="1"/>
  <c r="S55" i="8"/>
  <c r="W55" i="8" s="1"/>
  <c r="AQ54" i="8"/>
  <c r="AU54" i="8" s="1"/>
  <c r="S53" i="8"/>
  <c r="W53" i="8" s="1"/>
  <c r="S52" i="8"/>
  <c r="W52" i="8" s="1"/>
  <c r="AQ51" i="8"/>
  <c r="AU51" i="8" s="1"/>
  <c r="AQ50" i="8"/>
  <c r="AU50" i="8" s="1"/>
  <c r="S49" i="8"/>
  <c r="W49" i="8" s="1"/>
  <c r="AQ48" i="8"/>
  <c r="AU48" i="8" s="1"/>
  <c r="S47" i="8"/>
  <c r="W47" i="8" s="1"/>
  <c r="AQ46" i="8"/>
  <c r="AU46" i="8" s="1"/>
  <c r="S45" i="8"/>
  <c r="W45" i="8" s="1"/>
  <c r="AQ44" i="8"/>
  <c r="AU44" i="8" s="1"/>
  <c r="S43" i="8"/>
  <c r="W43" i="8" s="1"/>
  <c r="S42" i="8"/>
  <c r="W42" i="8" s="1"/>
  <c r="S41" i="8"/>
  <c r="W41" i="8" s="1"/>
  <c r="AQ40" i="8"/>
  <c r="AU40" i="8" s="1"/>
  <c r="AK58" i="8"/>
  <c r="AO58" i="8" s="1"/>
  <c r="AK57" i="8"/>
  <c r="AO57" i="8" s="1"/>
  <c r="M56" i="8"/>
  <c r="Q56" i="8" s="1"/>
  <c r="AK55" i="8"/>
  <c r="AO55" i="8" s="1"/>
  <c r="Q32" i="8"/>
  <c r="AO68" i="8"/>
  <c r="M54" i="8"/>
  <c r="Q54" i="8" s="1"/>
  <c r="AK53" i="8"/>
  <c r="AO53" i="8" s="1"/>
  <c r="AK52" i="8"/>
  <c r="AO52" i="8" s="1"/>
  <c r="M51" i="8"/>
  <c r="Q51" i="8" s="1"/>
  <c r="M50" i="8"/>
  <c r="Q50" i="8" s="1"/>
  <c r="AK49" i="8"/>
  <c r="AO49" i="8" s="1"/>
  <c r="M48" i="8"/>
  <c r="Q48" i="8" s="1"/>
  <c r="AK47" i="8"/>
  <c r="AO47" i="8" s="1"/>
  <c r="M46" i="8"/>
  <c r="Q46" i="8" s="1"/>
  <c r="AK45" i="8"/>
  <c r="AO45" i="8" s="1"/>
  <c r="M44" i="8"/>
  <c r="Q44" i="8" s="1"/>
  <c r="AK43" i="8"/>
  <c r="AO43" i="8" s="1"/>
  <c r="AK42" i="8"/>
  <c r="AO42" i="8" s="1"/>
  <c r="AK41" i="8"/>
  <c r="AO41" i="8" s="1"/>
  <c r="M40" i="8"/>
  <c r="Q40" i="8" s="1"/>
  <c r="G58" i="8"/>
  <c r="K58" i="8" s="1"/>
  <c r="AI33" i="8"/>
  <c r="G57" i="8"/>
  <c r="K57" i="8" s="1"/>
  <c r="AE56" i="8"/>
  <c r="AI56" i="8" s="1"/>
  <c r="G55" i="8"/>
  <c r="K55" i="8" s="1"/>
  <c r="AE54" i="8"/>
  <c r="AI54" i="8" s="1"/>
  <c r="G53" i="8"/>
  <c r="K53" i="8" s="1"/>
  <c r="G52" i="8"/>
  <c r="K52" i="8" s="1"/>
  <c r="AE51" i="8"/>
  <c r="AI51" i="8" s="1"/>
  <c r="AE50" i="8"/>
  <c r="AI50" i="8" s="1"/>
  <c r="G49" i="8"/>
  <c r="K49" i="8" s="1"/>
  <c r="AE48" i="8"/>
  <c r="AI48" i="8" s="1"/>
  <c r="G47" i="8"/>
  <c r="K47" i="8" s="1"/>
  <c r="AE46" i="8"/>
  <c r="AI46" i="8" s="1"/>
  <c r="G45" i="8"/>
  <c r="K45" i="8" s="1"/>
  <c r="AE44" i="8"/>
  <c r="AI44" i="8" s="1"/>
  <c r="G43" i="8"/>
  <c r="K43" i="8" s="1"/>
  <c r="AI30" i="8"/>
  <c r="G42" i="8"/>
  <c r="K42" i="8" s="1"/>
  <c r="AI29" i="8"/>
  <c r="G41" i="8"/>
  <c r="K41" i="8" s="1"/>
  <c r="AE40" i="8"/>
  <c r="AI40" i="8" s="1"/>
  <c r="AQ65" i="8"/>
  <c r="AU65" i="8" s="1"/>
  <c r="AQ63" i="8"/>
  <c r="AU63" i="8" s="1"/>
  <c r="AQ60" i="8"/>
  <c r="AU60" i="8" s="1"/>
  <c r="AU88" i="8"/>
  <c r="Y58" i="8"/>
  <c r="AC58" i="8" s="1"/>
  <c r="Y57" i="8"/>
  <c r="AC57" i="8" s="1"/>
  <c r="Y55" i="8"/>
  <c r="AC55" i="8" s="1"/>
  <c r="Y53" i="8"/>
  <c r="AC53" i="8" s="1"/>
  <c r="Y52" i="8"/>
  <c r="AC52" i="8" s="1"/>
  <c r="Y49" i="8"/>
  <c r="AC49" i="8" s="1"/>
  <c r="Y47" i="8"/>
  <c r="AC47" i="8" s="1"/>
  <c r="Y45" i="8"/>
  <c r="AC45" i="8" s="1"/>
  <c r="Y43" i="8"/>
  <c r="AC43" i="8" s="1"/>
  <c r="Y42" i="8"/>
  <c r="AC42" i="8" s="1"/>
  <c r="Y41" i="8"/>
  <c r="AC41" i="8" s="1"/>
  <c r="AQ58" i="8"/>
  <c r="AU58" i="8" s="1"/>
  <c r="AQ57" i="8"/>
  <c r="AU57" i="8" s="1"/>
  <c r="S56" i="8"/>
  <c r="W56" i="8" s="1"/>
  <c r="AQ55" i="8"/>
  <c r="AU55" i="8" s="1"/>
  <c r="S54" i="8"/>
  <c r="W54" i="8" s="1"/>
  <c r="AQ53" i="8"/>
  <c r="AU53" i="8" s="1"/>
  <c r="AQ52" i="8"/>
  <c r="AU52" i="8" s="1"/>
  <c r="S51" i="8"/>
  <c r="W51" i="8" s="1"/>
  <c r="S50" i="8"/>
  <c r="W50" i="8" s="1"/>
  <c r="AQ49" i="8"/>
  <c r="AU49" i="8" s="1"/>
  <c r="S48" i="8"/>
  <c r="W48" i="8" s="1"/>
  <c r="AQ47" i="8"/>
  <c r="AU47" i="8" s="1"/>
  <c r="S46" i="8"/>
  <c r="W46" i="8" s="1"/>
  <c r="AQ45" i="8"/>
  <c r="AU45" i="8" s="1"/>
  <c r="S44" i="8"/>
  <c r="W44" i="8" s="1"/>
  <c r="AQ43" i="8"/>
  <c r="AU43" i="8" s="1"/>
  <c r="AQ42" i="8"/>
  <c r="AU42" i="8" s="1"/>
  <c r="AQ41" i="8"/>
  <c r="AU41" i="8" s="1"/>
  <c r="S40" i="8"/>
  <c r="W40" i="8" s="1"/>
  <c r="AQ39" i="8"/>
  <c r="AU39" i="8" s="1"/>
  <c r="AE58" i="8"/>
  <c r="AI58" i="8" s="1"/>
  <c r="K33" i="8"/>
  <c r="AE57" i="8"/>
  <c r="AI57" i="8" s="1"/>
  <c r="G56" i="8"/>
  <c r="K56" i="8" s="1"/>
  <c r="AE55" i="8"/>
  <c r="AI55" i="8" s="1"/>
  <c r="K32" i="8"/>
  <c r="AI68" i="8"/>
  <c r="G54" i="8"/>
  <c r="K54" i="8" s="1"/>
  <c r="AE53" i="8"/>
  <c r="AI53" i="8" s="1"/>
  <c r="AE52" i="8"/>
  <c r="AI52" i="8" s="1"/>
  <c r="G51" i="8"/>
  <c r="K51" i="8" s="1"/>
  <c r="AI31" i="8"/>
  <c r="G50" i="8"/>
  <c r="K50" i="8" s="1"/>
  <c r="AE49" i="8"/>
  <c r="AI49" i="8" s="1"/>
  <c r="G48" i="8"/>
  <c r="K48" i="8" s="1"/>
  <c r="AE47" i="8"/>
  <c r="AI47" i="8" s="1"/>
  <c r="G46" i="8"/>
  <c r="K46" i="8" s="1"/>
  <c r="AE45" i="8"/>
  <c r="AI45" i="8" s="1"/>
  <c r="G44" i="8"/>
  <c r="K44" i="8" s="1"/>
  <c r="AE43" i="8"/>
  <c r="AI43" i="8" s="1"/>
  <c r="K30" i="8"/>
  <c r="AE42" i="8"/>
  <c r="AI42" i="8" s="1"/>
  <c r="AE41" i="8"/>
  <c r="AI41" i="8" s="1"/>
  <c r="G40" i="8"/>
  <c r="K40" i="8" s="1"/>
  <c r="AE39" i="8"/>
  <c r="AI39" i="8" s="1"/>
  <c r="AI11" i="8"/>
  <c r="G12" i="8"/>
  <c r="AE13" i="8"/>
  <c r="AI13" i="8" s="1"/>
  <c r="G14" i="8"/>
  <c r="K14" i="8" s="1"/>
  <c r="AE15" i="8"/>
  <c r="AI15" i="8" s="1"/>
  <c r="G16" i="8"/>
  <c r="K16" i="8" s="1"/>
  <c r="AE17" i="8"/>
  <c r="AI17" i="8" s="1"/>
  <c r="G18" i="8"/>
  <c r="K18" i="8" s="1"/>
  <c r="AE19" i="8"/>
  <c r="AI19" i="8" s="1"/>
  <c r="G20" i="8"/>
  <c r="K20" i="8" s="1"/>
  <c r="AE21" i="8"/>
  <c r="AI21" i="8" s="1"/>
  <c r="G22" i="8"/>
  <c r="K22" i="8" s="1"/>
  <c r="AE23" i="8"/>
  <c r="AI23" i="8" s="1"/>
  <c r="G24" i="8"/>
  <c r="K24" i="8" s="1"/>
  <c r="G25" i="8"/>
  <c r="K25" i="8" s="1"/>
  <c r="AE26" i="8"/>
  <c r="AI26" i="8" s="1"/>
  <c r="G36" i="8"/>
  <c r="K36" i="8" s="1"/>
  <c r="AE38" i="8"/>
  <c r="AI38" i="8" s="1"/>
  <c r="G39" i="8"/>
  <c r="K39" i="8" s="1"/>
  <c r="AK40" i="8"/>
  <c r="AO40" i="8" s="1"/>
  <c r="AK44" i="8"/>
  <c r="AO44" i="8" s="1"/>
  <c r="AK46" i="8"/>
  <c r="AO46" i="8" s="1"/>
  <c r="AK48" i="8"/>
  <c r="AO48" i="8" s="1"/>
  <c r="AK50" i="8"/>
  <c r="AO50" i="8" s="1"/>
  <c r="AK51" i="8"/>
  <c r="AO51" i="8" s="1"/>
  <c r="AK54" i="8"/>
  <c r="AO54" i="8" s="1"/>
  <c r="AK56" i="8"/>
  <c r="AO56" i="8" s="1"/>
  <c r="C99" i="8"/>
  <c r="G89" i="8"/>
  <c r="K89" i="8" s="1"/>
  <c r="AE87" i="8"/>
  <c r="AI87" i="8" s="1"/>
  <c r="G86" i="8"/>
  <c r="K86" i="8" s="1"/>
  <c r="AE85" i="8"/>
  <c r="AI85" i="8" s="1"/>
  <c r="G84" i="8"/>
  <c r="K84" i="8" s="1"/>
  <c r="AE83" i="8"/>
  <c r="AI83" i="8" s="1"/>
  <c r="G82" i="8"/>
  <c r="K82" i="8" s="1"/>
  <c r="AE81" i="8"/>
  <c r="AI81" i="8" s="1"/>
  <c r="G80" i="8"/>
  <c r="K80" i="8" s="1"/>
  <c r="AE79" i="8"/>
  <c r="AI79" i="8" s="1"/>
  <c r="G78" i="8"/>
  <c r="K78" i="8" s="1"/>
  <c r="AE77" i="8"/>
  <c r="AI77" i="8" s="1"/>
  <c r="G76" i="8"/>
  <c r="K76" i="8" s="1"/>
  <c r="AE75" i="8"/>
  <c r="AI75" i="8" s="1"/>
  <c r="G74" i="8"/>
  <c r="K74" i="8" s="1"/>
  <c r="AE73" i="8"/>
  <c r="AI73" i="8" s="1"/>
  <c r="G72" i="8"/>
  <c r="K72" i="8" s="1"/>
  <c r="AE71" i="8"/>
  <c r="AI71" i="8" s="1"/>
  <c r="G70" i="8"/>
  <c r="K70" i="8" s="1"/>
  <c r="AE69" i="8"/>
  <c r="AI69" i="8" s="1"/>
  <c r="Y89" i="8"/>
  <c r="AC89" i="8" s="1"/>
  <c r="Y86" i="8"/>
  <c r="AC86" i="8" s="1"/>
  <c r="Y84" i="8"/>
  <c r="AC84" i="8" s="1"/>
  <c r="Y82" i="8"/>
  <c r="AC82" i="8" s="1"/>
  <c r="Y80" i="8"/>
  <c r="AC80" i="8" s="1"/>
  <c r="Y78" i="8"/>
  <c r="AC78" i="8" s="1"/>
  <c r="Y76" i="8"/>
  <c r="AC76" i="8" s="1"/>
  <c r="Y74" i="8"/>
  <c r="AC74" i="8" s="1"/>
  <c r="Y72" i="8"/>
  <c r="AC72" i="8" s="1"/>
  <c r="Y70" i="8"/>
  <c r="AC70" i="8" s="1"/>
  <c r="AC66" i="8"/>
  <c r="AQ89" i="8"/>
  <c r="AU89" i="8" s="1"/>
  <c r="S87" i="8"/>
  <c r="W87" i="8" s="1"/>
  <c r="AQ86" i="8"/>
  <c r="AU86" i="8" s="1"/>
  <c r="S85" i="8"/>
  <c r="W85" i="8" s="1"/>
  <c r="AQ84" i="8"/>
  <c r="AU84" i="8" s="1"/>
  <c r="S83" i="8"/>
  <c r="W83" i="8" s="1"/>
  <c r="AQ82" i="8"/>
  <c r="AU82" i="8" s="1"/>
  <c r="S81" i="8"/>
  <c r="W81" i="8" s="1"/>
  <c r="AQ80" i="8"/>
  <c r="AU80" i="8" s="1"/>
  <c r="S79" i="8"/>
  <c r="W79" i="8" s="1"/>
  <c r="AQ78" i="8"/>
  <c r="AU78" i="8" s="1"/>
  <c r="S77" i="8"/>
  <c r="W77" i="8" s="1"/>
  <c r="AQ76" i="8"/>
  <c r="AU76" i="8" s="1"/>
  <c r="S75" i="8"/>
  <c r="W75" i="8" s="1"/>
  <c r="AQ74" i="8"/>
  <c r="AU74" i="8" s="1"/>
  <c r="S73" i="8"/>
  <c r="W73" i="8" s="1"/>
  <c r="AQ72" i="8"/>
  <c r="AU72" i="8" s="1"/>
  <c r="S71" i="8"/>
  <c r="W71" i="8" s="1"/>
  <c r="AQ70" i="8"/>
  <c r="AU70" i="8" s="1"/>
  <c r="M89" i="8"/>
  <c r="Q89" i="8" s="1"/>
  <c r="AK87" i="8"/>
  <c r="AO87" i="8" s="1"/>
  <c r="M86" i="8"/>
  <c r="Q86" i="8" s="1"/>
  <c r="AK85" i="8"/>
  <c r="AO85" i="8" s="1"/>
  <c r="M84" i="8"/>
  <c r="Q84" i="8" s="1"/>
  <c r="AK83" i="8"/>
  <c r="AO83" i="8" s="1"/>
  <c r="M82" i="8"/>
  <c r="Q82" i="8" s="1"/>
  <c r="AK81" i="8"/>
  <c r="AO81" i="8" s="1"/>
  <c r="M80" i="8"/>
  <c r="Q80" i="8" s="1"/>
  <c r="AK79" i="8"/>
  <c r="AO79" i="8" s="1"/>
  <c r="M78" i="8"/>
  <c r="Q78" i="8" s="1"/>
  <c r="AK77" i="8"/>
  <c r="AO77" i="8" s="1"/>
  <c r="M76" i="8"/>
  <c r="Q76" i="8" s="1"/>
  <c r="AK75" i="8"/>
  <c r="AO75" i="8" s="1"/>
  <c r="M74" i="8"/>
  <c r="Q74" i="8" s="1"/>
  <c r="AK73" i="8"/>
  <c r="AO73" i="8" s="1"/>
  <c r="M72" i="8"/>
  <c r="Q72" i="8" s="1"/>
  <c r="AK71" i="8"/>
  <c r="AO71" i="8" s="1"/>
  <c r="M70" i="8"/>
  <c r="Q70" i="8" s="1"/>
  <c r="AK69" i="8"/>
  <c r="AO69" i="8" s="1"/>
  <c r="AE89" i="8"/>
  <c r="AI89" i="8" s="1"/>
  <c r="G87" i="8"/>
  <c r="K87" i="8" s="1"/>
  <c r="AE86" i="8"/>
  <c r="AI86" i="8" s="1"/>
  <c r="G85" i="8"/>
  <c r="K85" i="8" s="1"/>
  <c r="AE84" i="8"/>
  <c r="AI84" i="8" s="1"/>
  <c r="G83" i="8"/>
  <c r="K83" i="8" s="1"/>
  <c r="AE82" i="8"/>
  <c r="AI82" i="8" s="1"/>
  <c r="G81" i="8"/>
  <c r="K81" i="8" s="1"/>
  <c r="AE80" i="8"/>
  <c r="AI80" i="8" s="1"/>
  <c r="G79" i="8"/>
  <c r="K79" i="8" s="1"/>
  <c r="AE78" i="8"/>
  <c r="AI78" i="8" s="1"/>
  <c r="G77" i="8"/>
  <c r="K77" i="8" s="1"/>
  <c r="AE76" i="8"/>
  <c r="AI76" i="8" s="1"/>
  <c r="G75" i="8"/>
  <c r="K75" i="8" s="1"/>
  <c r="AE74" i="8"/>
  <c r="AI74" i="8" s="1"/>
  <c r="G73" i="8"/>
  <c r="K73" i="8" s="1"/>
  <c r="AE72" i="8"/>
  <c r="AI72" i="8" s="1"/>
  <c r="G71" i="8"/>
  <c r="K71" i="8" s="1"/>
  <c r="AI70" i="8"/>
  <c r="G69" i="8"/>
  <c r="K69" i="8" s="1"/>
  <c r="Y87" i="8"/>
  <c r="AC87" i="8" s="1"/>
  <c r="Y85" i="8"/>
  <c r="AC85" i="8" s="1"/>
  <c r="Y83" i="8"/>
  <c r="AC83" i="8" s="1"/>
  <c r="Y81" i="8"/>
  <c r="AC81" i="8" s="1"/>
  <c r="Y79" i="8"/>
  <c r="AC79" i="8" s="1"/>
  <c r="Y77" i="8"/>
  <c r="AC77" i="8" s="1"/>
  <c r="Y75" i="8"/>
  <c r="AC75" i="8" s="1"/>
  <c r="Y73" i="8"/>
  <c r="AC73" i="8" s="1"/>
  <c r="Y71" i="8"/>
  <c r="AC71" i="8" s="1"/>
  <c r="AK89" i="8"/>
  <c r="AO89" i="8" s="1"/>
  <c r="M87" i="8"/>
  <c r="Q87" i="8" s="1"/>
  <c r="AK86" i="8"/>
  <c r="AO86" i="8" s="1"/>
  <c r="M85" i="8"/>
  <c r="Q85" i="8" s="1"/>
  <c r="AK84" i="8"/>
  <c r="AO84" i="8" s="1"/>
  <c r="M83" i="8"/>
  <c r="Q83" i="8" s="1"/>
  <c r="AK82" i="8"/>
  <c r="AO82" i="8" s="1"/>
  <c r="M81" i="8"/>
  <c r="Q81" i="8" s="1"/>
  <c r="AK80" i="8"/>
  <c r="AO80" i="8" s="1"/>
  <c r="M79" i="8"/>
  <c r="Q79" i="8" s="1"/>
  <c r="AK78" i="8"/>
  <c r="AO78" i="8" s="1"/>
  <c r="M77" i="8"/>
  <c r="Q77" i="8" s="1"/>
  <c r="AK76" i="8"/>
  <c r="AO76" i="8" s="1"/>
  <c r="M75" i="8"/>
  <c r="Q75" i="8" s="1"/>
  <c r="AK74" i="8"/>
  <c r="AO74" i="8" s="1"/>
  <c r="M73" i="8"/>
  <c r="Q73" i="8" s="1"/>
  <c r="AK72" i="8"/>
  <c r="AO72" i="8" s="1"/>
  <c r="M71" i="8"/>
  <c r="Q71" i="8" s="1"/>
  <c r="AK70" i="8"/>
  <c r="AO70" i="8" s="1"/>
  <c r="S89" i="8"/>
  <c r="W89" i="8" s="1"/>
  <c r="S86" i="8"/>
  <c r="W86" i="8" s="1"/>
  <c r="S84" i="8"/>
  <c r="W84" i="8" s="1"/>
  <c r="S82" i="8"/>
  <c r="W82" i="8" s="1"/>
  <c r="S80" i="8"/>
  <c r="W80" i="8" s="1"/>
  <c r="S78" i="8"/>
  <c r="W78" i="8" s="1"/>
  <c r="S76" i="8"/>
  <c r="W76" i="8" s="1"/>
  <c r="S74" i="8"/>
  <c r="W74" i="8" s="1"/>
  <c r="S72" i="8"/>
  <c r="W72" i="8" s="1"/>
  <c r="S70" i="8"/>
  <c r="W70" i="8" s="1"/>
  <c r="W66" i="8"/>
  <c r="AQ87" i="8"/>
  <c r="AU87" i="8" s="1"/>
  <c r="AQ85" i="8"/>
  <c r="AU85" i="8" s="1"/>
  <c r="AQ83" i="8"/>
  <c r="AU83" i="8" s="1"/>
  <c r="AQ81" i="8"/>
  <c r="AU81" i="8" s="1"/>
  <c r="AQ79" i="8"/>
  <c r="AU79" i="8" s="1"/>
  <c r="AQ77" i="8"/>
  <c r="AU77" i="8" s="1"/>
  <c r="AQ75" i="8"/>
  <c r="AU75" i="8" s="1"/>
  <c r="AQ73" i="8"/>
  <c r="AU73" i="8" s="1"/>
  <c r="AQ71" i="8"/>
  <c r="AU71" i="8" s="1"/>
  <c r="AQ69" i="8"/>
  <c r="AU69" i="8" s="1"/>
  <c r="AK12" i="8"/>
  <c r="AO12" i="8" s="1"/>
  <c r="M13" i="8"/>
  <c r="Q13" i="8" s="1"/>
  <c r="AK14" i="8"/>
  <c r="AO14" i="8" s="1"/>
  <c r="M15" i="8"/>
  <c r="Q15" i="8" s="1"/>
  <c r="AK16" i="8"/>
  <c r="AO16" i="8" s="1"/>
  <c r="M17" i="8"/>
  <c r="Q17" i="8" s="1"/>
  <c r="AK18" i="8"/>
  <c r="AO18" i="8" s="1"/>
  <c r="M19" i="8"/>
  <c r="Q19" i="8" s="1"/>
  <c r="AK20" i="8"/>
  <c r="AO20" i="8" s="1"/>
  <c r="M21" i="8"/>
  <c r="Q21" i="8" s="1"/>
  <c r="AK22" i="8"/>
  <c r="AO22" i="8" s="1"/>
  <c r="M23" i="8"/>
  <c r="Q23" i="8" s="1"/>
  <c r="AK24" i="8"/>
  <c r="AO24" i="8" s="1"/>
  <c r="AK25" i="8"/>
  <c r="AO25" i="8" s="1"/>
  <c r="AK36" i="8"/>
  <c r="AO36" i="8" s="1"/>
  <c r="M37" i="8"/>
  <c r="Q37" i="8" s="1"/>
  <c r="AQ37" i="8"/>
  <c r="AU37" i="8" s="1"/>
  <c r="W27" i="8"/>
  <c r="O166" i="8"/>
  <c r="O167" i="8"/>
  <c r="H99" i="8"/>
  <c r="G98" i="8"/>
  <c r="H98" i="8" s="1"/>
  <c r="C167" i="8" s="1"/>
  <c r="F100" i="2"/>
  <c r="E100" i="2"/>
  <c r="E145" i="8" l="1"/>
  <c r="F145" i="8" s="1"/>
  <c r="E153" i="8"/>
  <c r="F153" i="8" s="1"/>
  <c r="H156" i="8"/>
  <c r="Q167" i="8"/>
  <c r="Q169" i="8" s="1"/>
  <c r="E147" i="8"/>
  <c r="F147" i="8" s="1"/>
  <c r="N168" i="8" s="1"/>
  <c r="E155" i="8"/>
  <c r="F155" i="8" s="1"/>
  <c r="P168" i="8" s="1"/>
  <c r="E146" i="8"/>
  <c r="F146" i="8" s="1"/>
  <c r="N167" i="8" s="1"/>
  <c r="E154" i="8"/>
  <c r="F154" i="8" s="1"/>
  <c r="C168" i="8"/>
  <c r="E169" i="8"/>
  <c r="H121" i="8"/>
  <c r="I166" i="8" s="1"/>
  <c r="G123" i="8"/>
  <c r="H123" i="8" s="1"/>
  <c r="I168" i="8" s="1"/>
  <c r="G122" i="8"/>
  <c r="H122" i="8" s="1"/>
  <c r="I167" i="8" s="1"/>
  <c r="BA90" i="8"/>
  <c r="H129" i="8"/>
  <c r="K166" i="8" s="1"/>
  <c r="G131" i="8"/>
  <c r="H131" i="8" s="1"/>
  <c r="K168" i="8" s="1"/>
  <c r="G130" i="8"/>
  <c r="H130" i="8" s="1"/>
  <c r="K167" i="8" s="1"/>
  <c r="H137" i="8"/>
  <c r="M166" i="8" s="1"/>
  <c r="G139" i="8"/>
  <c r="H139" i="8" s="1"/>
  <c r="M168" i="8" s="1"/>
  <c r="G138" i="8"/>
  <c r="H138" i="8" s="1"/>
  <c r="M167" i="8" s="1"/>
  <c r="M169" i="8" s="1"/>
  <c r="H113" i="8"/>
  <c r="G115" i="8"/>
  <c r="H115" i="8" s="1"/>
  <c r="G168" i="8" s="1"/>
  <c r="G114" i="8"/>
  <c r="H114" i="8" s="1"/>
  <c r="G167" i="8" s="1"/>
  <c r="P167" i="8"/>
  <c r="E137" i="8"/>
  <c r="P166" i="8"/>
  <c r="W90" i="8"/>
  <c r="AI90" i="8"/>
  <c r="AC90" i="8"/>
  <c r="AU90" i="8"/>
  <c r="AO90" i="8"/>
  <c r="Q90" i="8"/>
  <c r="E105" i="8"/>
  <c r="F105" i="8" s="1"/>
  <c r="D166" i="8" s="1"/>
  <c r="E121" i="8"/>
  <c r="F121" i="8" s="1"/>
  <c r="H166" i="8" s="1"/>
  <c r="E113" i="8"/>
  <c r="F113" i="8" s="1"/>
  <c r="F166" i="8" s="1"/>
  <c r="O169" i="8"/>
  <c r="C166" i="8"/>
  <c r="C169" i="8" s="1"/>
  <c r="H100" i="8"/>
  <c r="J166" i="8"/>
  <c r="E139" i="8"/>
  <c r="F139" i="8" s="1"/>
  <c r="L168" i="8" s="1"/>
  <c r="E123" i="8"/>
  <c r="F123" i="8" s="1"/>
  <c r="H168" i="8" s="1"/>
  <c r="E107" i="8"/>
  <c r="F107" i="8" s="1"/>
  <c r="D168" i="8" s="1"/>
  <c r="E131" i="8"/>
  <c r="F131" i="8" s="1"/>
  <c r="J168" i="8" s="1"/>
  <c r="E115" i="8"/>
  <c r="F115" i="8" s="1"/>
  <c r="F168" i="8" s="1"/>
  <c r="E99" i="8"/>
  <c r="K12" i="8"/>
  <c r="K90" i="8" s="1"/>
  <c r="G7" i="8"/>
  <c r="B166" i="8"/>
  <c r="E130" i="8"/>
  <c r="F130" i="8" s="1"/>
  <c r="J167" i="8" s="1"/>
  <c r="E114" i="8"/>
  <c r="F114" i="8" s="1"/>
  <c r="F167" i="8" s="1"/>
  <c r="E138" i="8"/>
  <c r="F138" i="8" s="1"/>
  <c r="L167" i="8" s="1"/>
  <c r="E122" i="8"/>
  <c r="F122" i="8" s="1"/>
  <c r="H167" i="8" s="1"/>
  <c r="E106" i="8"/>
  <c r="F106" i="8" s="1"/>
  <c r="D167" i="8" s="1"/>
  <c r="H108" i="8"/>
  <c r="E11" i="2"/>
  <c r="F137" i="8" l="1"/>
  <c r="L166" i="8" s="1"/>
  <c r="L169" i="8" s="1"/>
  <c r="L170" i="8" s="1"/>
  <c r="P169" i="8"/>
  <c r="P170" i="8" s="1"/>
  <c r="F156" i="8"/>
  <c r="I153" i="8" s="1"/>
  <c r="F148" i="8"/>
  <c r="I145" i="8" s="1"/>
  <c r="N166" i="8"/>
  <c r="I169" i="8"/>
  <c r="H140" i="8"/>
  <c r="H124" i="8"/>
  <c r="H132" i="8"/>
  <c r="K169" i="8"/>
  <c r="H116" i="8"/>
  <c r="F99" i="8"/>
  <c r="G166" i="8"/>
  <c r="G169" i="8" s="1"/>
  <c r="B174" i="8" s="1"/>
  <c r="B181" i="8" s="1"/>
  <c r="F98" i="8"/>
  <c r="J98" i="8" s="1"/>
  <c r="F132" i="8"/>
  <c r="J169" i="8"/>
  <c r="F124" i="8"/>
  <c r="I121" i="8" s="1"/>
  <c r="F169" i="8"/>
  <c r="F116" i="8"/>
  <c r="H169" i="8"/>
  <c r="N169" i="8"/>
  <c r="F108" i="8"/>
  <c r="I105" i="8" s="1"/>
  <c r="F140" i="8"/>
  <c r="I137" i="8" s="1"/>
  <c r="D169" i="8"/>
  <c r="D170" i="8" s="1"/>
  <c r="E30" i="2"/>
  <c r="E28" i="2"/>
  <c r="B168" i="8" l="1"/>
  <c r="J99" i="8"/>
  <c r="H170" i="8"/>
  <c r="I113" i="8"/>
  <c r="F100" i="8"/>
  <c r="I97" i="8" s="1"/>
  <c r="I129" i="8"/>
  <c r="J170" i="8"/>
  <c r="N170" i="8"/>
  <c r="F170" i="8"/>
  <c r="B167" i="8"/>
  <c r="B169" i="8" s="1"/>
  <c r="B173" i="8" s="1"/>
  <c r="B180" i="8" s="1"/>
  <c r="E4" i="2"/>
  <c r="B183" i="8" l="1"/>
  <c r="B184" i="8" s="1"/>
  <c r="B175" i="8"/>
  <c r="B170" i="8"/>
  <c r="C6" i="2"/>
  <c r="C4" i="2"/>
  <c r="G11" i="2"/>
  <c r="C25" i="1" l="1"/>
  <c r="I31" i="7"/>
  <c r="I29" i="7"/>
  <c r="I30" i="7"/>
  <c r="I28" i="7"/>
  <c r="G29" i="7"/>
  <c r="G30" i="7"/>
  <c r="G28" i="7"/>
  <c r="E138" i="2"/>
  <c r="G24" i="7"/>
  <c r="G25" i="7"/>
  <c r="G23" i="7"/>
  <c r="G19" i="7"/>
  <c r="G20" i="7"/>
  <c r="G18" i="7"/>
  <c r="D13" i="7"/>
  <c r="D14" i="7"/>
  <c r="D12" i="7"/>
  <c r="B28" i="1"/>
  <c r="C177" i="2"/>
  <c r="B185" i="8" l="1"/>
  <c r="AL90" i="2"/>
  <c r="AM90" i="2"/>
  <c r="AN90" i="2"/>
  <c r="AL82" i="2"/>
  <c r="AM82" i="2"/>
  <c r="AN82" i="2"/>
  <c r="AL83" i="2"/>
  <c r="AM83" i="2"/>
  <c r="AN83" i="2"/>
  <c r="AL84" i="2"/>
  <c r="AM84" i="2"/>
  <c r="AN84" i="2"/>
  <c r="AL85" i="2"/>
  <c r="AM85" i="2"/>
  <c r="AN85" i="2"/>
  <c r="AL86" i="2"/>
  <c r="AM86" i="2"/>
  <c r="AN86" i="2"/>
  <c r="AL87" i="2"/>
  <c r="AM87" i="2"/>
  <c r="AN87" i="2"/>
  <c r="AL88" i="2"/>
  <c r="AM88" i="2"/>
  <c r="AN88" i="2"/>
  <c r="AL89" i="2"/>
  <c r="AM89" i="2"/>
  <c r="AN89" i="2"/>
  <c r="AL71" i="2"/>
  <c r="AM71" i="2"/>
  <c r="AN71" i="2"/>
  <c r="AL72" i="2"/>
  <c r="AM72" i="2"/>
  <c r="AN72" i="2"/>
  <c r="AL73" i="2"/>
  <c r="AM73" i="2"/>
  <c r="AN73" i="2"/>
  <c r="AL74" i="2"/>
  <c r="AM74" i="2"/>
  <c r="AN74" i="2"/>
  <c r="AL75" i="2"/>
  <c r="AM75" i="2"/>
  <c r="AN75" i="2"/>
  <c r="AL76" i="2"/>
  <c r="AM76" i="2"/>
  <c r="AN76" i="2"/>
  <c r="AL77" i="2"/>
  <c r="AM77" i="2"/>
  <c r="AN77" i="2"/>
  <c r="AL78" i="2"/>
  <c r="AM78" i="2"/>
  <c r="AN78" i="2"/>
  <c r="AL79" i="2"/>
  <c r="AM79" i="2"/>
  <c r="AN79" i="2"/>
  <c r="AL80" i="2"/>
  <c r="AM80" i="2"/>
  <c r="AN80" i="2"/>
  <c r="AL81" i="2"/>
  <c r="AM81" i="2"/>
  <c r="AN81" i="2"/>
  <c r="AN70" i="2"/>
  <c r="AM70" i="2"/>
  <c r="AL70" i="2"/>
  <c r="AL69" i="2"/>
  <c r="AM69" i="2"/>
  <c r="AN69" i="2"/>
  <c r="AL55" i="2"/>
  <c r="AM55" i="2"/>
  <c r="AN55" i="2"/>
  <c r="AL56" i="2"/>
  <c r="AM56" i="2"/>
  <c r="AN56" i="2"/>
  <c r="AL57" i="2"/>
  <c r="AM57" i="2"/>
  <c r="AN57" i="2"/>
  <c r="AL58" i="2"/>
  <c r="AM58" i="2"/>
  <c r="AN58" i="2"/>
  <c r="AL59" i="2"/>
  <c r="AM59" i="2"/>
  <c r="AN59" i="2"/>
  <c r="AL60" i="2"/>
  <c r="AM60" i="2"/>
  <c r="AN60" i="2"/>
  <c r="AL61" i="2"/>
  <c r="AM61" i="2"/>
  <c r="AN61" i="2"/>
  <c r="AL62" i="2"/>
  <c r="AM62" i="2"/>
  <c r="AN62" i="2"/>
  <c r="AL63" i="2"/>
  <c r="AM63" i="2"/>
  <c r="AN63" i="2"/>
  <c r="AL64" i="2"/>
  <c r="AM64" i="2"/>
  <c r="AN64" i="2"/>
  <c r="AL65" i="2"/>
  <c r="AM65" i="2"/>
  <c r="AN65" i="2"/>
  <c r="AL66" i="2"/>
  <c r="AM66" i="2"/>
  <c r="AN66" i="2"/>
  <c r="AL67" i="2"/>
  <c r="AM67" i="2"/>
  <c r="AN67" i="2"/>
  <c r="AL68" i="2"/>
  <c r="AM68" i="2"/>
  <c r="AN68" i="2"/>
  <c r="AL45" i="2"/>
  <c r="AM45" i="2"/>
  <c r="AN45" i="2"/>
  <c r="AL46" i="2"/>
  <c r="AM46" i="2"/>
  <c r="AN46" i="2"/>
  <c r="AL47" i="2"/>
  <c r="AM47" i="2"/>
  <c r="AN47" i="2"/>
  <c r="AL48" i="2"/>
  <c r="AM48" i="2"/>
  <c r="AN48" i="2"/>
  <c r="AL49" i="2"/>
  <c r="AM49" i="2"/>
  <c r="AN49" i="2"/>
  <c r="AL50" i="2"/>
  <c r="AM50" i="2"/>
  <c r="AN50" i="2"/>
  <c r="AL51" i="2"/>
  <c r="AM51" i="2"/>
  <c r="AN51" i="2"/>
  <c r="AL52" i="2"/>
  <c r="AM52" i="2"/>
  <c r="AN52" i="2"/>
  <c r="AL53" i="2"/>
  <c r="AM53" i="2"/>
  <c r="AN53" i="2"/>
  <c r="AL54" i="2"/>
  <c r="AM54" i="2"/>
  <c r="AN54" i="2"/>
  <c r="AL29" i="2"/>
  <c r="AM29" i="2"/>
  <c r="AN29" i="2"/>
  <c r="AL30" i="2"/>
  <c r="AM30" i="2"/>
  <c r="AN30" i="2"/>
  <c r="AL31" i="2"/>
  <c r="AM31" i="2"/>
  <c r="AN31" i="2"/>
  <c r="AL32" i="2"/>
  <c r="AM32" i="2"/>
  <c r="AN32" i="2"/>
  <c r="AL33" i="2"/>
  <c r="AM33" i="2"/>
  <c r="AN33" i="2"/>
  <c r="AL34" i="2"/>
  <c r="AM34" i="2"/>
  <c r="AN34" i="2"/>
  <c r="AL35" i="2"/>
  <c r="AM35" i="2"/>
  <c r="AN35" i="2"/>
  <c r="AL36" i="2"/>
  <c r="AM36" i="2"/>
  <c r="AN36" i="2"/>
  <c r="AL37" i="2"/>
  <c r="AM37" i="2"/>
  <c r="AN37" i="2"/>
  <c r="AL38" i="2"/>
  <c r="AM38" i="2"/>
  <c r="AN38" i="2"/>
  <c r="AL39" i="2"/>
  <c r="AM39" i="2"/>
  <c r="AN39" i="2"/>
  <c r="AL40" i="2"/>
  <c r="AM40" i="2"/>
  <c r="AN40" i="2"/>
  <c r="AL41" i="2"/>
  <c r="AM41" i="2"/>
  <c r="AN41" i="2"/>
  <c r="AL42" i="2"/>
  <c r="AM42" i="2"/>
  <c r="AN42" i="2"/>
  <c r="AL43" i="2"/>
  <c r="AM43" i="2"/>
  <c r="AN43" i="2"/>
  <c r="AL44" i="2"/>
  <c r="AM44" i="2"/>
  <c r="AN44" i="2"/>
  <c r="AN28" i="2"/>
  <c r="AM28" i="2"/>
  <c r="AL28" i="2"/>
  <c r="AL12" i="2"/>
  <c r="AM12" i="2"/>
  <c r="AN12" i="2"/>
  <c r="AL13" i="2"/>
  <c r="AM13" i="2"/>
  <c r="AN13" i="2"/>
  <c r="AL14" i="2"/>
  <c r="AM14" i="2"/>
  <c r="AN14" i="2"/>
  <c r="AL15" i="2"/>
  <c r="AM15" i="2"/>
  <c r="AN15" i="2"/>
  <c r="AL16" i="2"/>
  <c r="AM16" i="2"/>
  <c r="AN16" i="2"/>
  <c r="AL17" i="2"/>
  <c r="AM17" i="2"/>
  <c r="AN17" i="2"/>
  <c r="AL18" i="2"/>
  <c r="AM18" i="2"/>
  <c r="AN18" i="2"/>
  <c r="AL19" i="2"/>
  <c r="AM19" i="2"/>
  <c r="AN19" i="2"/>
  <c r="AL20" i="2"/>
  <c r="AM20" i="2"/>
  <c r="AN20" i="2"/>
  <c r="AL21" i="2"/>
  <c r="AM21" i="2"/>
  <c r="AN21" i="2"/>
  <c r="AL22" i="2"/>
  <c r="AM22" i="2"/>
  <c r="AN22" i="2"/>
  <c r="AL23" i="2"/>
  <c r="AM23" i="2"/>
  <c r="AN23" i="2"/>
  <c r="AL24" i="2"/>
  <c r="AM24" i="2"/>
  <c r="AN24" i="2"/>
  <c r="AL25" i="2"/>
  <c r="AM25" i="2"/>
  <c r="AN25" i="2"/>
  <c r="AL26" i="2"/>
  <c r="AM26" i="2"/>
  <c r="AN26" i="2"/>
  <c r="AL27" i="2"/>
  <c r="AM27" i="2"/>
  <c r="AN27" i="2"/>
  <c r="AN11" i="2"/>
  <c r="AT11" i="2"/>
  <c r="AS11" i="2"/>
  <c r="AM11" i="2"/>
  <c r="AL11" i="2"/>
  <c r="AR11" i="2"/>
  <c r="AR85" i="2"/>
  <c r="AS85" i="2"/>
  <c r="AT85" i="2"/>
  <c r="AR86" i="2"/>
  <c r="AS86" i="2"/>
  <c r="AT86" i="2"/>
  <c r="AR87" i="2"/>
  <c r="AS87" i="2"/>
  <c r="AT87" i="2"/>
  <c r="AR88" i="2"/>
  <c r="AS88" i="2"/>
  <c r="AT88" i="2"/>
  <c r="AR89" i="2"/>
  <c r="AS89" i="2"/>
  <c r="AT89" i="2"/>
  <c r="AR90" i="2"/>
  <c r="AS90" i="2"/>
  <c r="AT90" i="2"/>
  <c r="AR71" i="2"/>
  <c r="AS71" i="2"/>
  <c r="AT71" i="2"/>
  <c r="AR72" i="2"/>
  <c r="AS72" i="2"/>
  <c r="AT72" i="2"/>
  <c r="AR73" i="2"/>
  <c r="AS73" i="2"/>
  <c r="AT73" i="2"/>
  <c r="AR74" i="2"/>
  <c r="AS74" i="2"/>
  <c r="AT74" i="2"/>
  <c r="AR75" i="2"/>
  <c r="AS75" i="2"/>
  <c r="AT75" i="2"/>
  <c r="AR76" i="2"/>
  <c r="AS76" i="2"/>
  <c r="AT76" i="2"/>
  <c r="AR77" i="2"/>
  <c r="AS77" i="2"/>
  <c r="AT77" i="2"/>
  <c r="AR78" i="2"/>
  <c r="AS78" i="2"/>
  <c r="AT78" i="2"/>
  <c r="AR79" i="2"/>
  <c r="AS79" i="2"/>
  <c r="AT79" i="2"/>
  <c r="AR80" i="2"/>
  <c r="AS80" i="2"/>
  <c r="AT80" i="2"/>
  <c r="AR81" i="2"/>
  <c r="AS81" i="2"/>
  <c r="AT81" i="2"/>
  <c r="AR82" i="2"/>
  <c r="AS82" i="2"/>
  <c r="AT82" i="2"/>
  <c r="AR83" i="2"/>
  <c r="AS83" i="2"/>
  <c r="AT83" i="2"/>
  <c r="AR84" i="2"/>
  <c r="AS84" i="2"/>
  <c r="AT84" i="2"/>
  <c r="AT70" i="2"/>
  <c r="AS70" i="2"/>
  <c r="AR70" i="2"/>
  <c r="AR29" i="2"/>
  <c r="AS29" i="2"/>
  <c r="AT29" i="2"/>
  <c r="AR30" i="2"/>
  <c r="AS30" i="2"/>
  <c r="AT30" i="2"/>
  <c r="AR31" i="2"/>
  <c r="AS31" i="2"/>
  <c r="AT31" i="2"/>
  <c r="AR32" i="2"/>
  <c r="AS32" i="2"/>
  <c r="AT32" i="2"/>
  <c r="AR33" i="2"/>
  <c r="AS33" i="2"/>
  <c r="AT33" i="2"/>
  <c r="AR34" i="2"/>
  <c r="AS34" i="2"/>
  <c r="AT34" i="2"/>
  <c r="AR35" i="2"/>
  <c r="AS35" i="2"/>
  <c r="AT35" i="2"/>
  <c r="AR36" i="2"/>
  <c r="AS36" i="2"/>
  <c r="AT36" i="2"/>
  <c r="AR37" i="2"/>
  <c r="AS37" i="2"/>
  <c r="AT37" i="2"/>
  <c r="AR38" i="2"/>
  <c r="AS38" i="2"/>
  <c r="AT38" i="2"/>
  <c r="AR39" i="2"/>
  <c r="AS39" i="2"/>
  <c r="AT39" i="2"/>
  <c r="AR40" i="2"/>
  <c r="AS40" i="2"/>
  <c r="AT40" i="2"/>
  <c r="AR41" i="2"/>
  <c r="AS41" i="2"/>
  <c r="AT41" i="2"/>
  <c r="AR42" i="2"/>
  <c r="AS42" i="2"/>
  <c r="AT42" i="2"/>
  <c r="AR43" i="2"/>
  <c r="AS43" i="2"/>
  <c r="AT43" i="2"/>
  <c r="AR44" i="2"/>
  <c r="AS44" i="2"/>
  <c r="AT44" i="2"/>
  <c r="AR45" i="2"/>
  <c r="AS45" i="2"/>
  <c r="AT45" i="2"/>
  <c r="AR46" i="2"/>
  <c r="AS46" i="2"/>
  <c r="AT46" i="2"/>
  <c r="AR47" i="2"/>
  <c r="AS47" i="2"/>
  <c r="AT47" i="2"/>
  <c r="AR48" i="2"/>
  <c r="AS48" i="2"/>
  <c r="AT48" i="2"/>
  <c r="AR49" i="2"/>
  <c r="AS49" i="2"/>
  <c r="AT49" i="2"/>
  <c r="AR50" i="2"/>
  <c r="AS50" i="2"/>
  <c r="AT50" i="2"/>
  <c r="AR51" i="2"/>
  <c r="AS51" i="2"/>
  <c r="AT51" i="2"/>
  <c r="AR52" i="2"/>
  <c r="AS52" i="2"/>
  <c r="AT52" i="2"/>
  <c r="AR53" i="2"/>
  <c r="AS53" i="2"/>
  <c r="AT53" i="2"/>
  <c r="AR54" i="2"/>
  <c r="AS54" i="2"/>
  <c r="AT54" i="2"/>
  <c r="AR55" i="2"/>
  <c r="AS55" i="2"/>
  <c r="AT55" i="2"/>
  <c r="AR56" i="2"/>
  <c r="AS56" i="2"/>
  <c r="AT56" i="2"/>
  <c r="AR57" i="2"/>
  <c r="AS57" i="2"/>
  <c r="AT57" i="2"/>
  <c r="AR58" i="2"/>
  <c r="AS58" i="2"/>
  <c r="AT58" i="2"/>
  <c r="AR59" i="2"/>
  <c r="AS59" i="2"/>
  <c r="AT59" i="2"/>
  <c r="AR60" i="2"/>
  <c r="AS60" i="2"/>
  <c r="AT60" i="2"/>
  <c r="AR61" i="2"/>
  <c r="AS61" i="2"/>
  <c r="AT61" i="2"/>
  <c r="AR62" i="2"/>
  <c r="AS62" i="2"/>
  <c r="AT62" i="2"/>
  <c r="AR63" i="2"/>
  <c r="AS63" i="2"/>
  <c r="AT63" i="2"/>
  <c r="AR64" i="2"/>
  <c r="AS64" i="2"/>
  <c r="AT64" i="2"/>
  <c r="AR65" i="2"/>
  <c r="AS65" i="2"/>
  <c r="AT65" i="2"/>
  <c r="AR66" i="2"/>
  <c r="AS66" i="2"/>
  <c r="AT66" i="2"/>
  <c r="AR67" i="2"/>
  <c r="AS67" i="2"/>
  <c r="AT67" i="2"/>
  <c r="AR68" i="2"/>
  <c r="AS68" i="2"/>
  <c r="AT68" i="2"/>
  <c r="AR69" i="2"/>
  <c r="AS69" i="2"/>
  <c r="AT69" i="2"/>
  <c r="AT28" i="2"/>
  <c r="AS28" i="2"/>
  <c r="AR28" i="2"/>
  <c r="AR12" i="2"/>
  <c r="AS12" i="2"/>
  <c r="AT12" i="2"/>
  <c r="AR13" i="2"/>
  <c r="AS13" i="2"/>
  <c r="AT13" i="2"/>
  <c r="AR14" i="2"/>
  <c r="AS14" i="2"/>
  <c r="AT14" i="2"/>
  <c r="AR15" i="2"/>
  <c r="AS15" i="2"/>
  <c r="AT15" i="2"/>
  <c r="AR16" i="2"/>
  <c r="AS16" i="2"/>
  <c r="AT16" i="2"/>
  <c r="AR17" i="2"/>
  <c r="AS17" i="2"/>
  <c r="AT17" i="2"/>
  <c r="AR18" i="2"/>
  <c r="AS18" i="2"/>
  <c r="AT18" i="2"/>
  <c r="AR19" i="2"/>
  <c r="AS19" i="2"/>
  <c r="AT19" i="2"/>
  <c r="AR20" i="2"/>
  <c r="AS20" i="2"/>
  <c r="AT20" i="2"/>
  <c r="AR21" i="2"/>
  <c r="AS21" i="2"/>
  <c r="AT21" i="2"/>
  <c r="AR22" i="2"/>
  <c r="AS22" i="2"/>
  <c r="AT22" i="2"/>
  <c r="AR23" i="2"/>
  <c r="AS23" i="2"/>
  <c r="AT23" i="2"/>
  <c r="AR24" i="2"/>
  <c r="AS24" i="2"/>
  <c r="AT24" i="2"/>
  <c r="AR25" i="2"/>
  <c r="AS25" i="2"/>
  <c r="AT25" i="2"/>
  <c r="AR26" i="2"/>
  <c r="AS26" i="2"/>
  <c r="AT26" i="2"/>
  <c r="AR27" i="2"/>
  <c r="AS27" i="2"/>
  <c r="AT27" i="2"/>
  <c r="AQ70" i="2"/>
  <c r="AQ28" i="2"/>
  <c r="AQ11" i="2"/>
  <c r="B177" i="2"/>
  <c r="E177" i="2" s="1"/>
  <c r="D55" i="9" l="1"/>
  <c r="E39" i="9"/>
  <c r="D56" i="9"/>
  <c r="F63" i="9" s="1"/>
  <c r="F62" i="9" s="1"/>
  <c r="B192" i="8"/>
  <c r="D192" i="8" s="1"/>
  <c r="C185" i="8" s="1"/>
  <c r="D185" i="8" s="1"/>
  <c r="C26" i="1"/>
  <c r="D16" i="1"/>
  <c r="E43" i="9" l="1"/>
  <c r="F43" i="9" s="1"/>
  <c r="F39" i="9"/>
  <c r="G61" i="9"/>
  <c r="E56" i="9"/>
  <c r="B193" i="8"/>
  <c r="D25" i="1"/>
  <c r="D44" i="9" l="1"/>
  <c r="F44" i="9"/>
  <c r="B45" i="9"/>
  <c r="E185" i="8"/>
  <c r="M30" i="1"/>
  <c r="B171" i="2"/>
  <c r="B91" i="2" l="1"/>
  <c r="D18" i="1" l="1"/>
  <c r="C27" i="1" s="1"/>
  <c r="D19" i="1"/>
  <c r="C28" i="1" s="1"/>
  <c r="D20" i="1"/>
  <c r="C29" i="1" s="1"/>
  <c r="D29" i="1" s="1"/>
  <c r="C17" i="1"/>
  <c r="D17" i="1" s="1"/>
  <c r="C16" i="1"/>
  <c r="C3" i="7"/>
  <c r="D3" i="7"/>
  <c r="D5" i="7"/>
  <c r="D6" i="7"/>
  <c r="D7" i="7"/>
  <c r="C4" i="7"/>
  <c r="D4" i="7" s="1"/>
  <c r="B4" i="7"/>
  <c r="B3" i="7"/>
  <c r="F43" i="1"/>
  <c r="G43" i="1" s="1"/>
  <c r="F3" i="7" s="1"/>
  <c r="E4" i="7" s="1"/>
  <c r="C50" i="1" l="1"/>
  <c r="B50" i="1"/>
  <c r="D26" i="1" l="1"/>
  <c r="D27" i="1" l="1"/>
  <c r="B98" i="2" l="1"/>
  <c r="H146" i="2" l="1"/>
  <c r="O155" i="2" s="1"/>
  <c r="J4" i="6"/>
  <c r="J2" i="6"/>
  <c r="J3" i="6"/>
  <c r="J1" i="6"/>
  <c r="I4" i="6"/>
  <c r="H2" i="6"/>
  <c r="H3" i="6"/>
  <c r="H1" i="6"/>
  <c r="H90" i="2"/>
  <c r="J11" i="2" l="1"/>
  <c r="I11" i="2"/>
  <c r="M26" i="1" l="1"/>
  <c r="M25" i="1"/>
  <c r="M24" i="1"/>
  <c r="M17" i="1"/>
  <c r="M18" i="1"/>
  <c r="M16" i="1"/>
  <c r="D91" i="2"/>
  <c r="P12" i="2"/>
  <c r="P13" i="2"/>
  <c r="P14" i="2"/>
  <c r="P15" i="2"/>
  <c r="P16" i="2"/>
  <c r="P17" i="2"/>
  <c r="P18" i="2"/>
  <c r="P19" i="2"/>
  <c r="P20" i="2"/>
  <c r="P21" i="2"/>
  <c r="P22" i="2"/>
  <c r="P23" i="2"/>
  <c r="P24" i="2"/>
  <c r="P25" i="2"/>
  <c r="P26" i="2"/>
  <c r="P27" i="2"/>
  <c r="O12" i="2"/>
  <c r="O13" i="2"/>
  <c r="O14" i="2"/>
  <c r="O15" i="2"/>
  <c r="O16" i="2"/>
  <c r="O17" i="2"/>
  <c r="O18" i="2"/>
  <c r="O19" i="2"/>
  <c r="O20" i="2"/>
  <c r="O21" i="2"/>
  <c r="O22" i="2"/>
  <c r="O23" i="2"/>
  <c r="O24" i="2"/>
  <c r="O25" i="2"/>
  <c r="O26" i="2"/>
  <c r="O27" i="2"/>
  <c r="N12" i="2"/>
  <c r="N13" i="2"/>
  <c r="N14" i="2"/>
  <c r="N15" i="2"/>
  <c r="N16" i="2"/>
  <c r="N17" i="2"/>
  <c r="N18" i="2"/>
  <c r="N19" i="2"/>
  <c r="N20" i="2"/>
  <c r="N21" i="2"/>
  <c r="N22" i="2"/>
  <c r="N23" i="2"/>
  <c r="N24" i="2"/>
  <c r="N25" i="2"/>
  <c r="N26" i="2"/>
  <c r="N27" i="2"/>
  <c r="M12" i="2"/>
  <c r="M13" i="2"/>
  <c r="M14" i="2"/>
  <c r="M15" i="2"/>
  <c r="M16" i="2"/>
  <c r="M17" i="2"/>
  <c r="M18" i="2"/>
  <c r="M19" i="2"/>
  <c r="M20" i="2"/>
  <c r="M21" i="2"/>
  <c r="M22" i="2"/>
  <c r="M23" i="2"/>
  <c r="M24" i="2"/>
  <c r="M25" i="2"/>
  <c r="M26" i="2"/>
  <c r="M27" i="2"/>
  <c r="I12" i="2"/>
  <c r="I13" i="2"/>
  <c r="I14" i="2"/>
  <c r="I15" i="2"/>
  <c r="I16" i="2"/>
  <c r="I17" i="2"/>
  <c r="I18" i="2"/>
  <c r="I19" i="2"/>
  <c r="I20" i="2"/>
  <c r="I21" i="2"/>
  <c r="I22" i="2"/>
  <c r="I23" i="2"/>
  <c r="I24" i="2"/>
  <c r="I25" i="2"/>
  <c r="I26" i="2"/>
  <c r="I27" i="2"/>
  <c r="H12" i="2"/>
  <c r="H13" i="2"/>
  <c r="H14" i="2"/>
  <c r="H15" i="2"/>
  <c r="H16" i="2"/>
  <c r="H17" i="2"/>
  <c r="H18" i="2"/>
  <c r="H19" i="2"/>
  <c r="H20" i="2"/>
  <c r="H21" i="2"/>
  <c r="H22" i="2"/>
  <c r="H23" i="2"/>
  <c r="H24" i="2"/>
  <c r="H25" i="2"/>
  <c r="H26" i="2"/>
  <c r="H27" i="2"/>
  <c r="G12" i="2"/>
  <c r="G13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K11" i="2"/>
  <c r="M28" i="1" l="1"/>
  <c r="M20" i="1"/>
  <c r="G90" i="2"/>
  <c r="C5" i="2"/>
  <c r="AQ25" i="2"/>
  <c r="AK25" i="2"/>
  <c r="AF25" i="2"/>
  <c r="AG25" i="2"/>
  <c r="AH25" i="2"/>
  <c r="AE25" i="2"/>
  <c r="Y25" i="2"/>
  <c r="Z25" i="2"/>
  <c r="AA25" i="2"/>
  <c r="AB25" i="2"/>
  <c r="S25" i="2"/>
  <c r="T25" i="2"/>
  <c r="U25" i="2"/>
  <c r="V25" i="2"/>
  <c r="Q25" i="2"/>
  <c r="J25" i="2"/>
  <c r="K25" i="2" s="1"/>
  <c r="AQ34" i="2" l="1"/>
  <c r="AQ30" i="2"/>
  <c r="AQ38" i="2"/>
  <c r="AQ32" i="2"/>
  <c r="AQ33" i="2"/>
  <c r="AQ37" i="2"/>
  <c r="AQ36" i="2"/>
  <c r="AQ31" i="2"/>
  <c r="AQ35" i="2"/>
  <c r="AQ29" i="2"/>
  <c r="M31" i="1"/>
  <c r="M32" i="1" s="1"/>
  <c r="AO25" i="2"/>
  <c r="W25" i="2"/>
  <c r="AU25" i="2"/>
  <c r="AI25" i="2"/>
  <c r="AC25" i="2"/>
  <c r="E25" i="2"/>
  <c r="G7" i="2" l="1"/>
  <c r="C98" i="2"/>
  <c r="E98" i="2" l="1"/>
  <c r="F98" i="2" s="1"/>
  <c r="E106" i="2"/>
  <c r="E146" i="2"/>
  <c r="E130" i="2"/>
  <c r="E122" i="2"/>
  <c r="E114" i="2" l="1"/>
  <c r="H108" i="2" l="1"/>
  <c r="E157" i="2" s="1"/>
  <c r="B99" i="2"/>
  <c r="AH90" i="2"/>
  <c r="AG90" i="2"/>
  <c r="AF90" i="2"/>
  <c r="AB90" i="2"/>
  <c r="AA90" i="2"/>
  <c r="Z90" i="2"/>
  <c r="V90" i="2"/>
  <c r="U90" i="2"/>
  <c r="T90" i="2"/>
  <c r="P90" i="2"/>
  <c r="O90" i="2"/>
  <c r="N90" i="2"/>
  <c r="J90" i="2"/>
  <c r="I90" i="2"/>
  <c r="E90" i="2"/>
  <c r="AQ89" i="2"/>
  <c r="AU89" i="2" s="1"/>
  <c r="AH89" i="2"/>
  <c r="AG89" i="2"/>
  <c r="AF89" i="2"/>
  <c r="AE89" i="2"/>
  <c r="AB89" i="2"/>
  <c r="AA89" i="2"/>
  <c r="Z89" i="2"/>
  <c r="V89" i="2"/>
  <c r="U89" i="2"/>
  <c r="T89" i="2"/>
  <c r="S89" i="2"/>
  <c r="P89" i="2"/>
  <c r="O89" i="2"/>
  <c r="N89" i="2"/>
  <c r="J89" i="2"/>
  <c r="I89" i="2"/>
  <c r="H89" i="2"/>
  <c r="G89" i="2"/>
  <c r="E89" i="2"/>
  <c r="AK88" i="2"/>
  <c r="AH88" i="2"/>
  <c r="AG88" i="2"/>
  <c r="AF88" i="2"/>
  <c r="AB88" i="2"/>
  <c r="AA88" i="2"/>
  <c r="Z88" i="2"/>
  <c r="Y88" i="2"/>
  <c r="V88" i="2"/>
  <c r="U88" i="2"/>
  <c r="T88" i="2"/>
  <c r="P88" i="2"/>
  <c r="O88" i="2"/>
  <c r="N88" i="2"/>
  <c r="M88" i="2"/>
  <c r="J88" i="2"/>
  <c r="I88" i="2"/>
  <c r="H88" i="2"/>
  <c r="E88" i="2"/>
  <c r="AH87" i="2"/>
  <c r="AG87" i="2"/>
  <c r="AF87" i="2"/>
  <c r="AB87" i="2"/>
  <c r="AA87" i="2"/>
  <c r="Z87" i="2"/>
  <c r="V87" i="2"/>
  <c r="U87" i="2"/>
  <c r="T87" i="2"/>
  <c r="P87" i="2"/>
  <c r="O87" i="2"/>
  <c r="N87" i="2"/>
  <c r="J87" i="2"/>
  <c r="I87" i="2"/>
  <c r="H87" i="2"/>
  <c r="E87" i="2"/>
  <c r="AH86" i="2"/>
  <c r="AG86" i="2"/>
  <c r="AF86" i="2"/>
  <c r="AB86" i="2"/>
  <c r="AA86" i="2"/>
  <c r="Z86" i="2"/>
  <c r="V86" i="2"/>
  <c r="U86" i="2"/>
  <c r="T86" i="2"/>
  <c r="P86" i="2"/>
  <c r="O86" i="2"/>
  <c r="N86" i="2"/>
  <c r="J86" i="2"/>
  <c r="I86" i="2"/>
  <c r="H86" i="2"/>
  <c r="E86" i="2"/>
  <c r="AK85" i="2"/>
  <c r="AH85" i="2"/>
  <c r="AG85" i="2"/>
  <c r="AF85" i="2"/>
  <c r="AB85" i="2"/>
  <c r="AA85" i="2"/>
  <c r="Z85" i="2"/>
  <c r="Y85" i="2"/>
  <c r="V85" i="2"/>
  <c r="U85" i="2"/>
  <c r="T85" i="2"/>
  <c r="P85" i="2"/>
  <c r="O85" i="2"/>
  <c r="N85" i="2"/>
  <c r="M85" i="2"/>
  <c r="J85" i="2"/>
  <c r="I85" i="2"/>
  <c r="H85" i="2"/>
  <c r="E85" i="2"/>
  <c r="AQ84" i="2"/>
  <c r="AH84" i="2"/>
  <c r="AG84" i="2"/>
  <c r="AF84" i="2"/>
  <c r="AE84" i="2"/>
  <c r="AB84" i="2"/>
  <c r="AA84" i="2"/>
  <c r="Z84" i="2"/>
  <c r="V84" i="2"/>
  <c r="U84" i="2"/>
  <c r="T84" i="2"/>
  <c r="S84" i="2"/>
  <c r="P84" i="2"/>
  <c r="O84" i="2"/>
  <c r="N84" i="2"/>
  <c r="J84" i="2"/>
  <c r="I84" i="2"/>
  <c r="H84" i="2"/>
  <c r="G84" i="2"/>
  <c r="E84" i="2"/>
  <c r="AH83" i="2"/>
  <c r="AG83" i="2"/>
  <c r="AF83" i="2"/>
  <c r="AB83" i="2"/>
  <c r="AA83" i="2"/>
  <c r="Z83" i="2"/>
  <c r="V83" i="2"/>
  <c r="U83" i="2"/>
  <c r="T83" i="2"/>
  <c r="P83" i="2"/>
  <c r="O83" i="2"/>
  <c r="N83" i="2"/>
  <c r="J83" i="2"/>
  <c r="I83" i="2"/>
  <c r="H83" i="2"/>
  <c r="E83" i="2"/>
  <c r="AH82" i="2"/>
  <c r="AG82" i="2"/>
  <c r="AF82" i="2"/>
  <c r="AB82" i="2"/>
  <c r="AA82" i="2"/>
  <c r="Z82" i="2"/>
  <c r="V82" i="2"/>
  <c r="U82" i="2"/>
  <c r="T82" i="2"/>
  <c r="P82" i="2"/>
  <c r="O82" i="2"/>
  <c r="N82" i="2"/>
  <c r="J82" i="2"/>
  <c r="I82" i="2"/>
  <c r="H82" i="2"/>
  <c r="E82" i="2"/>
  <c r="AQ81" i="2"/>
  <c r="AH81" i="2"/>
  <c r="AG81" i="2"/>
  <c r="AF81" i="2"/>
  <c r="AE81" i="2"/>
  <c r="AB81" i="2"/>
  <c r="AA81" i="2"/>
  <c r="Z81" i="2"/>
  <c r="V81" i="2"/>
  <c r="U81" i="2"/>
  <c r="T81" i="2"/>
  <c r="S81" i="2"/>
  <c r="P81" i="2"/>
  <c r="O81" i="2"/>
  <c r="N81" i="2"/>
  <c r="J81" i="2"/>
  <c r="I81" i="2"/>
  <c r="H81" i="2"/>
  <c r="G81" i="2"/>
  <c r="E81" i="2"/>
  <c r="AH80" i="2"/>
  <c r="AG80" i="2"/>
  <c r="AF80" i="2"/>
  <c r="AB80" i="2"/>
  <c r="AA80" i="2"/>
  <c r="Z80" i="2"/>
  <c r="V80" i="2"/>
  <c r="U80" i="2"/>
  <c r="T80" i="2"/>
  <c r="P80" i="2"/>
  <c r="O80" i="2"/>
  <c r="N80" i="2"/>
  <c r="J80" i="2"/>
  <c r="I80" i="2"/>
  <c r="H80" i="2"/>
  <c r="E80" i="2"/>
  <c r="AH79" i="2"/>
  <c r="AG79" i="2"/>
  <c r="AF79" i="2"/>
  <c r="AB79" i="2"/>
  <c r="AA79" i="2"/>
  <c r="Z79" i="2"/>
  <c r="V79" i="2"/>
  <c r="U79" i="2"/>
  <c r="T79" i="2"/>
  <c r="P79" i="2"/>
  <c r="O79" i="2"/>
  <c r="N79" i="2"/>
  <c r="J79" i="2"/>
  <c r="I79" i="2"/>
  <c r="H79" i="2"/>
  <c r="E79" i="2"/>
  <c r="AQ78" i="2"/>
  <c r="AH78" i="2"/>
  <c r="AG78" i="2"/>
  <c r="AF78" i="2"/>
  <c r="AE78" i="2"/>
  <c r="AB78" i="2"/>
  <c r="AA78" i="2"/>
  <c r="Z78" i="2"/>
  <c r="V78" i="2"/>
  <c r="U78" i="2"/>
  <c r="T78" i="2"/>
  <c r="S78" i="2"/>
  <c r="P78" i="2"/>
  <c r="O78" i="2"/>
  <c r="N78" i="2"/>
  <c r="J78" i="2"/>
  <c r="I78" i="2"/>
  <c r="H78" i="2"/>
  <c r="G78" i="2"/>
  <c r="E78" i="2"/>
  <c r="AH77" i="2"/>
  <c r="AG77" i="2"/>
  <c r="AF77" i="2"/>
  <c r="AB77" i="2"/>
  <c r="AA77" i="2"/>
  <c r="Z77" i="2"/>
  <c r="V77" i="2"/>
  <c r="U77" i="2"/>
  <c r="T77" i="2"/>
  <c r="P77" i="2"/>
  <c r="O77" i="2"/>
  <c r="N77" i="2"/>
  <c r="J77" i="2"/>
  <c r="I77" i="2"/>
  <c r="H77" i="2"/>
  <c r="E77" i="2"/>
  <c r="AH76" i="2"/>
  <c r="AG76" i="2"/>
  <c r="AF76" i="2"/>
  <c r="AB76" i="2"/>
  <c r="AA76" i="2"/>
  <c r="Z76" i="2"/>
  <c r="V76" i="2"/>
  <c r="U76" i="2"/>
  <c r="T76" i="2"/>
  <c r="P76" i="2"/>
  <c r="O76" i="2"/>
  <c r="N76" i="2"/>
  <c r="J76" i="2"/>
  <c r="I76" i="2"/>
  <c r="H76" i="2"/>
  <c r="E76" i="2"/>
  <c r="AQ75" i="2"/>
  <c r="AH75" i="2"/>
  <c r="AG75" i="2"/>
  <c r="AF75" i="2"/>
  <c r="AE75" i="2"/>
  <c r="AB75" i="2"/>
  <c r="AA75" i="2"/>
  <c r="Z75" i="2"/>
  <c r="V75" i="2"/>
  <c r="U75" i="2"/>
  <c r="T75" i="2"/>
  <c r="S75" i="2"/>
  <c r="P75" i="2"/>
  <c r="O75" i="2"/>
  <c r="N75" i="2"/>
  <c r="J75" i="2"/>
  <c r="I75" i="2"/>
  <c r="H75" i="2"/>
  <c r="G75" i="2"/>
  <c r="E75" i="2"/>
  <c r="AK74" i="2"/>
  <c r="AH74" i="2"/>
  <c r="AG74" i="2"/>
  <c r="AF74" i="2"/>
  <c r="AB74" i="2"/>
  <c r="AA74" i="2"/>
  <c r="Z74" i="2"/>
  <c r="Y74" i="2"/>
  <c r="V74" i="2"/>
  <c r="U74" i="2"/>
  <c r="T74" i="2"/>
  <c r="P74" i="2"/>
  <c r="O74" i="2"/>
  <c r="N74" i="2"/>
  <c r="M74" i="2"/>
  <c r="J74" i="2"/>
  <c r="I74" i="2"/>
  <c r="H74" i="2"/>
  <c r="E74" i="2"/>
  <c r="AH73" i="2"/>
  <c r="AG73" i="2"/>
  <c r="AF73" i="2"/>
  <c r="AB73" i="2"/>
  <c r="AA73" i="2"/>
  <c r="Z73" i="2"/>
  <c r="V73" i="2"/>
  <c r="U73" i="2"/>
  <c r="T73" i="2"/>
  <c r="P73" i="2"/>
  <c r="O73" i="2"/>
  <c r="N73" i="2"/>
  <c r="J73" i="2"/>
  <c r="I73" i="2"/>
  <c r="H73" i="2"/>
  <c r="E73" i="2"/>
  <c r="AH72" i="2"/>
  <c r="AG72" i="2"/>
  <c r="AF72" i="2"/>
  <c r="AB72" i="2"/>
  <c r="AA72" i="2"/>
  <c r="Z72" i="2"/>
  <c r="V72" i="2"/>
  <c r="U72" i="2"/>
  <c r="T72" i="2"/>
  <c r="P72" i="2"/>
  <c r="O72" i="2"/>
  <c r="N72" i="2"/>
  <c r="J72" i="2"/>
  <c r="I72" i="2"/>
  <c r="H72" i="2"/>
  <c r="E72" i="2"/>
  <c r="AK71" i="2"/>
  <c r="AH71" i="2"/>
  <c r="AG71" i="2"/>
  <c r="AF71" i="2"/>
  <c r="AB71" i="2"/>
  <c r="AA71" i="2"/>
  <c r="Z71" i="2"/>
  <c r="Y71" i="2"/>
  <c r="V71" i="2"/>
  <c r="U71" i="2"/>
  <c r="T71" i="2"/>
  <c r="P71" i="2"/>
  <c r="O71" i="2"/>
  <c r="N71" i="2"/>
  <c r="M71" i="2"/>
  <c r="J71" i="2"/>
  <c r="I71" i="2"/>
  <c r="H71" i="2"/>
  <c r="E71" i="2"/>
  <c r="AH70" i="2"/>
  <c r="AG70" i="2"/>
  <c r="AF70" i="2"/>
  <c r="AE70" i="2"/>
  <c r="AB70" i="2"/>
  <c r="AA70" i="2"/>
  <c r="Z70" i="2"/>
  <c r="V70" i="2"/>
  <c r="U70" i="2"/>
  <c r="T70" i="2"/>
  <c r="S70" i="2"/>
  <c r="P70" i="2"/>
  <c r="O70" i="2"/>
  <c r="N70" i="2"/>
  <c r="J70" i="2"/>
  <c r="I70" i="2"/>
  <c r="H70" i="2"/>
  <c r="E70" i="2"/>
  <c r="AH69" i="2"/>
  <c r="AG69" i="2"/>
  <c r="AF69" i="2"/>
  <c r="AB69" i="2"/>
  <c r="AA69" i="2"/>
  <c r="Z69" i="2"/>
  <c r="V69" i="2"/>
  <c r="U69" i="2"/>
  <c r="T69" i="2"/>
  <c r="P69" i="2"/>
  <c r="O69" i="2"/>
  <c r="N69" i="2"/>
  <c r="J69" i="2"/>
  <c r="I69" i="2"/>
  <c r="H69" i="2"/>
  <c r="E69" i="2"/>
  <c r="AH68" i="2"/>
  <c r="AG68" i="2"/>
  <c r="AF68" i="2"/>
  <c r="AB68" i="2"/>
  <c r="AA68" i="2"/>
  <c r="Z68" i="2"/>
  <c r="Y68" i="2"/>
  <c r="V68" i="2"/>
  <c r="U68" i="2"/>
  <c r="T68" i="2"/>
  <c r="P68" i="2"/>
  <c r="O68" i="2"/>
  <c r="N68" i="2"/>
  <c r="M68" i="2"/>
  <c r="J68" i="2"/>
  <c r="I68" i="2"/>
  <c r="H68" i="2"/>
  <c r="E68" i="2"/>
  <c r="AH67" i="2"/>
  <c r="AG67" i="2"/>
  <c r="AF67" i="2"/>
  <c r="AB67" i="2"/>
  <c r="AA67" i="2"/>
  <c r="Z67" i="2"/>
  <c r="V67" i="2"/>
  <c r="U67" i="2"/>
  <c r="T67" i="2"/>
  <c r="P67" i="2"/>
  <c r="O67" i="2"/>
  <c r="N67" i="2"/>
  <c r="J67" i="2"/>
  <c r="I67" i="2"/>
  <c r="H67" i="2"/>
  <c r="E67" i="2"/>
  <c r="AH66" i="2"/>
  <c r="AG66" i="2"/>
  <c r="AF66" i="2"/>
  <c r="AB66" i="2"/>
  <c r="AA66" i="2"/>
  <c r="Z66" i="2"/>
  <c r="V66" i="2"/>
  <c r="U66" i="2"/>
  <c r="T66" i="2"/>
  <c r="P66" i="2"/>
  <c r="O66" i="2"/>
  <c r="N66" i="2"/>
  <c r="J66" i="2"/>
  <c r="I66" i="2"/>
  <c r="H66" i="2"/>
  <c r="E66" i="2"/>
  <c r="AK65" i="2"/>
  <c r="AH65" i="2"/>
  <c r="AG65" i="2"/>
  <c r="AF65" i="2"/>
  <c r="AB65" i="2"/>
  <c r="AA65" i="2"/>
  <c r="Z65" i="2"/>
  <c r="V65" i="2"/>
  <c r="U65" i="2"/>
  <c r="T65" i="2"/>
  <c r="P65" i="2"/>
  <c r="O65" i="2"/>
  <c r="N65" i="2"/>
  <c r="J65" i="2"/>
  <c r="I65" i="2"/>
  <c r="H65" i="2"/>
  <c r="E65" i="2"/>
  <c r="AH64" i="2"/>
  <c r="AG64" i="2"/>
  <c r="AF64" i="2"/>
  <c r="AB64" i="2"/>
  <c r="AA64" i="2"/>
  <c r="Z64" i="2"/>
  <c r="V64" i="2"/>
  <c r="U64" i="2"/>
  <c r="T64" i="2"/>
  <c r="P64" i="2"/>
  <c r="O64" i="2"/>
  <c r="N64" i="2"/>
  <c r="J64" i="2"/>
  <c r="I64" i="2"/>
  <c r="H64" i="2"/>
  <c r="E64" i="2"/>
  <c r="AH63" i="2"/>
  <c r="AG63" i="2"/>
  <c r="AF63" i="2"/>
  <c r="AB63" i="2"/>
  <c r="AA63" i="2"/>
  <c r="Z63" i="2"/>
  <c r="V63" i="2"/>
  <c r="U63" i="2"/>
  <c r="T63" i="2"/>
  <c r="P63" i="2"/>
  <c r="O63" i="2"/>
  <c r="N63" i="2"/>
  <c r="J63" i="2"/>
  <c r="I63" i="2"/>
  <c r="H63" i="2"/>
  <c r="E63" i="2"/>
  <c r="AH62" i="2"/>
  <c r="AG62" i="2"/>
  <c r="AF62" i="2"/>
  <c r="AB62" i="2"/>
  <c r="AA62" i="2"/>
  <c r="Z62" i="2"/>
  <c r="V62" i="2"/>
  <c r="U62" i="2"/>
  <c r="T62" i="2"/>
  <c r="P62" i="2"/>
  <c r="O62" i="2"/>
  <c r="N62" i="2"/>
  <c r="J62" i="2"/>
  <c r="I62" i="2"/>
  <c r="H62" i="2"/>
  <c r="E62" i="2"/>
  <c r="AH61" i="2"/>
  <c r="AG61" i="2"/>
  <c r="AF61" i="2"/>
  <c r="AB61" i="2"/>
  <c r="AA61" i="2"/>
  <c r="Z61" i="2"/>
  <c r="V61" i="2"/>
  <c r="U61" i="2"/>
  <c r="T61" i="2"/>
  <c r="P61" i="2"/>
  <c r="O61" i="2"/>
  <c r="N61" i="2"/>
  <c r="J61" i="2"/>
  <c r="I61" i="2"/>
  <c r="H61" i="2"/>
  <c r="G61" i="2"/>
  <c r="E61" i="2"/>
  <c r="AK60" i="2"/>
  <c r="AH60" i="2"/>
  <c r="AG60" i="2"/>
  <c r="AF60" i="2"/>
  <c r="AB60" i="2"/>
  <c r="AA60" i="2"/>
  <c r="Z60" i="2"/>
  <c r="Y60" i="2"/>
  <c r="V60" i="2"/>
  <c r="U60" i="2"/>
  <c r="T60" i="2"/>
  <c r="P60" i="2"/>
  <c r="O60" i="2"/>
  <c r="N60" i="2"/>
  <c r="J60" i="2"/>
  <c r="I60" i="2"/>
  <c r="H60" i="2"/>
  <c r="E60" i="2"/>
  <c r="AH59" i="2"/>
  <c r="AG59" i="2"/>
  <c r="AF59" i="2"/>
  <c r="AB59" i="2"/>
  <c r="AA59" i="2"/>
  <c r="Z59" i="2"/>
  <c r="V59" i="2"/>
  <c r="U59" i="2"/>
  <c r="T59" i="2"/>
  <c r="P59" i="2"/>
  <c r="O59" i="2"/>
  <c r="N59" i="2"/>
  <c r="J59" i="2"/>
  <c r="I59" i="2"/>
  <c r="H59" i="2"/>
  <c r="E59" i="2"/>
  <c r="AH58" i="2"/>
  <c r="AG58" i="2"/>
  <c r="AF58" i="2"/>
  <c r="AB58" i="2"/>
  <c r="AA58" i="2"/>
  <c r="Z58" i="2"/>
  <c r="V58" i="2"/>
  <c r="U58" i="2"/>
  <c r="T58" i="2"/>
  <c r="P58" i="2"/>
  <c r="O58" i="2"/>
  <c r="N58" i="2"/>
  <c r="J58" i="2"/>
  <c r="I58" i="2"/>
  <c r="H58" i="2"/>
  <c r="E58" i="2"/>
  <c r="AH57" i="2"/>
  <c r="AG57" i="2"/>
  <c r="AF57" i="2"/>
  <c r="AB57" i="2"/>
  <c r="AA57" i="2"/>
  <c r="Z57" i="2"/>
  <c r="V57" i="2"/>
  <c r="U57" i="2"/>
  <c r="T57" i="2"/>
  <c r="P57" i="2"/>
  <c r="O57" i="2"/>
  <c r="N57" i="2"/>
  <c r="J57" i="2"/>
  <c r="I57" i="2"/>
  <c r="H57" i="2"/>
  <c r="E57" i="2"/>
  <c r="AH56" i="2"/>
  <c r="AG56" i="2"/>
  <c r="AF56" i="2"/>
  <c r="AB56" i="2"/>
  <c r="AA56" i="2"/>
  <c r="Z56" i="2"/>
  <c r="V56" i="2"/>
  <c r="U56" i="2"/>
  <c r="T56" i="2"/>
  <c r="P56" i="2"/>
  <c r="O56" i="2"/>
  <c r="N56" i="2"/>
  <c r="J56" i="2"/>
  <c r="I56" i="2"/>
  <c r="H56" i="2"/>
  <c r="G56" i="2"/>
  <c r="E56" i="2"/>
  <c r="AH55" i="2"/>
  <c r="AG55" i="2"/>
  <c r="AF55" i="2"/>
  <c r="AB55" i="2"/>
  <c r="AA55" i="2"/>
  <c r="Z55" i="2"/>
  <c r="V55" i="2"/>
  <c r="U55" i="2"/>
  <c r="T55" i="2"/>
  <c r="P55" i="2"/>
  <c r="O55" i="2"/>
  <c r="N55" i="2"/>
  <c r="J55" i="2"/>
  <c r="I55" i="2"/>
  <c r="H55" i="2"/>
  <c r="E55" i="2"/>
  <c r="AH54" i="2"/>
  <c r="AG54" i="2"/>
  <c r="AF54" i="2"/>
  <c r="AB54" i="2"/>
  <c r="AA54" i="2"/>
  <c r="Z54" i="2"/>
  <c r="V54" i="2"/>
  <c r="U54" i="2"/>
  <c r="T54" i="2"/>
  <c r="P54" i="2"/>
  <c r="O54" i="2"/>
  <c r="N54" i="2"/>
  <c r="J54" i="2"/>
  <c r="I54" i="2"/>
  <c r="H54" i="2"/>
  <c r="E54" i="2"/>
  <c r="AH53" i="2"/>
  <c r="AG53" i="2"/>
  <c r="AF53" i="2"/>
  <c r="AB53" i="2"/>
  <c r="AA53" i="2"/>
  <c r="Z53" i="2"/>
  <c r="V53" i="2"/>
  <c r="U53" i="2"/>
  <c r="T53" i="2"/>
  <c r="P53" i="2"/>
  <c r="O53" i="2"/>
  <c r="N53" i="2"/>
  <c r="J53" i="2"/>
  <c r="I53" i="2"/>
  <c r="H53" i="2"/>
  <c r="E53" i="2"/>
  <c r="AH52" i="2"/>
  <c r="AG52" i="2"/>
  <c r="AF52" i="2"/>
  <c r="AB52" i="2"/>
  <c r="AA52" i="2"/>
  <c r="Z52" i="2"/>
  <c r="V52" i="2"/>
  <c r="U52" i="2"/>
  <c r="T52" i="2"/>
  <c r="P52" i="2"/>
  <c r="O52" i="2"/>
  <c r="N52" i="2"/>
  <c r="J52" i="2"/>
  <c r="I52" i="2"/>
  <c r="H52" i="2"/>
  <c r="E52" i="2"/>
  <c r="AH51" i="2"/>
  <c r="AG51" i="2"/>
  <c r="AF51" i="2"/>
  <c r="AB51" i="2"/>
  <c r="AA51" i="2"/>
  <c r="Z51" i="2"/>
  <c r="V51" i="2"/>
  <c r="U51" i="2"/>
  <c r="T51" i="2"/>
  <c r="P51" i="2"/>
  <c r="O51" i="2"/>
  <c r="N51" i="2"/>
  <c r="J51" i="2"/>
  <c r="I51" i="2"/>
  <c r="H51" i="2"/>
  <c r="E51" i="2"/>
  <c r="AH50" i="2"/>
  <c r="AG50" i="2"/>
  <c r="AF50" i="2"/>
  <c r="AE50" i="2"/>
  <c r="AB50" i="2"/>
  <c r="AA50" i="2"/>
  <c r="Z50" i="2"/>
  <c r="V50" i="2"/>
  <c r="U50" i="2"/>
  <c r="T50" i="2"/>
  <c r="S50" i="2"/>
  <c r="P50" i="2"/>
  <c r="O50" i="2"/>
  <c r="N50" i="2"/>
  <c r="J50" i="2"/>
  <c r="I50" i="2"/>
  <c r="H50" i="2"/>
  <c r="E50" i="2"/>
  <c r="AH49" i="2"/>
  <c r="AG49" i="2"/>
  <c r="AF49" i="2"/>
  <c r="AB49" i="2"/>
  <c r="AA49" i="2"/>
  <c r="Z49" i="2"/>
  <c r="V49" i="2"/>
  <c r="U49" i="2"/>
  <c r="T49" i="2"/>
  <c r="P49" i="2"/>
  <c r="O49" i="2"/>
  <c r="N49" i="2"/>
  <c r="J49" i="2"/>
  <c r="I49" i="2"/>
  <c r="H49" i="2"/>
  <c r="E49" i="2"/>
  <c r="AH48" i="2"/>
  <c r="AG48" i="2"/>
  <c r="AF48" i="2"/>
  <c r="AB48" i="2"/>
  <c r="AA48" i="2"/>
  <c r="Z48" i="2"/>
  <c r="V48" i="2"/>
  <c r="U48" i="2"/>
  <c r="T48" i="2"/>
  <c r="P48" i="2"/>
  <c r="O48" i="2"/>
  <c r="N48" i="2"/>
  <c r="J48" i="2"/>
  <c r="I48" i="2"/>
  <c r="H48" i="2"/>
  <c r="E48" i="2"/>
  <c r="AQ47" i="2"/>
  <c r="AH47" i="2"/>
  <c r="AG47" i="2"/>
  <c r="AF47" i="2"/>
  <c r="AB47" i="2"/>
  <c r="AA47" i="2"/>
  <c r="Z47" i="2"/>
  <c r="V47" i="2"/>
  <c r="U47" i="2"/>
  <c r="T47" i="2"/>
  <c r="P47" i="2"/>
  <c r="O47" i="2"/>
  <c r="N47" i="2"/>
  <c r="J47" i="2"/>
  <c r="I47" i="2"/>
  <c r="H47" i="2"/>
  <c r="E47" i="2"/>
  <c r="AH46" i="2"/>
  <c r="AG46" i="2"/>
  <c r="AF46" i="2"/>
  <c r="AB46" i="2"/>
  <c r="AA46" i="2"/>
  <c r="Z46" i="2"/>
  <c r="V46" i="2"/>
  <c r="U46" i="2"/>
  <c r="T46" i="2"/>
  <c r="P46" i="2"/>
  <c r="O46" i="2"/>
  <c r="N46" i="2"/>
  <c r="J46" i="2"/>
  <c r="I46" i="2"/>
  <c r="H46" i="2"/>
  <c r="E46" i="2"/>
  <c r="AH45" i="2"/>
  <c r="AG45" i="2"/>
  <c r="AF45" i="2"/>
  <c r="AB45" i="2"/>
  <c r="AA45" i="2"/>
  <c r="Z45" i="2"/>
  <c r="V45" i="2"/>
  <c r="U45" i="2"/>
  <c r="T45" i="2"/>
  <c r="P45" i="2"/>
  <c r="O45" i="2"/>
  <c r="N45" i="2"/>
  <c r="J45" i="2"/>
  <c r="I45" i="2"/>
  <c r="H45" i="2"/>
  <c r="E45" i="2"/>
  <c r="AH44" i="2"/>
  <c r="AG44" i="2"/>
  <c r="AF44" i="2"/>
  <c r="AB44" i="2"/>
  <c r="AA44" i="2"/>
  <c r="Z44" i="2"/>
  <c r="V44" i="2"/>
  <c r="U44" i="2"/>
  <c r="T44" i="2"/>
  <c r="P44" i="2"/>
  <c r="O44" i="2"/>
  <c r="N44" i="2"/>
  <c r="J44" i="2"/>
  <c r="I44" i="2"/>
  <c r="H44" i="2"/>
  <c r="E44" i="2"/>
  <c r="AH43" i="2"/>
  <c r="AG43" i="2"/>
  <c r="AF43" i="2"/>
  <c r="AB43" i="2"/>
  <c r="AA43" i="2"/>
  <c r="Z43" i="2"/>
  <c r="Y43" i="2"/>
  <c r="V43" i="2"/>
  <c r="U43" i="2"/>
  <c r="T43" i="2"/>
  <c r="P43" i="2"/>
  <c r="O43" i="2"/>
  <c r="N43" i="2"/>
  <c r="M43" i="2"/>
  <c r="J43" i="2"/>
  <c r="I43" i="2"/>
  <c r="H43" i="2"/>
  <c r="E43" i="2"/>
  <c r="AH42" i="2"/>
  <c r="AG42" i="2"/>
  <c r="AF42" i="2"/>
  <c r="AB42" i="2"/>
  <c r="AA42" i="2"/>
  <c r="Z42" i="2"/>
  <c r="V42" i="2"/>
  <c r="U42" i="2"/>
  <c r="T42" i="2"/>
  <c r="P42" i="2"/>
  <c r="O42" i="2"/>
  <c r="N42" i="2"/>
  <c r="J42" i="2"/>
  <c r="I42" i="2"/>
  <c r="H42" i="2"/>
  <c r="E42" i="2"/>
  <c r="AH41" i="2"/>
  <c r="AG41" i="2"/>
  <c r="AF41" i="2"/>
  <c r="AB41" i="2"/>
  <c r="AA41" i="2"/>
  <c r="Z41" i="2"/>
  <c r="V41" i="2"/>
  <c r="U41" i="2"/>
  <c r="T41" i="2"/>
  <c r="P41" i="2"/>
  <c r="O41" i="2"/>
  <c r="N41" i="2"/>
  <c r="J41" i="2"/>
  <c r="I41" i="2"/>
  <c r="H41" i="2"/>
  <c r="E41" i="2"/>
  <c r="AH40" i="2"/>
  <c r="AG40" i="2"/>
  <c r="AF40" i="2"/>
  <c r="AB40" i="2"/>
  <c r="AA40" i="2"/>
  <c r="Z40" i="2"/>
  <c r="V40" i="2"/>
  <c r="U40" i="2"/>
  <c r="T40" i="2"/>
  <c r="P40" i="2"/>
  <c r="O40" i="2"/>
  <c r="N40" i="2"/>
  <c r="J40" i="2"/>
  <c r="I40" i="2"/>
  <c r="H40" i="2"/>
  <c r="E40" i="2"/>
  <c r="AH39" i="2"/>
  <c r="AG39" i="2"/>
  <c r="AF39" i="2"/>
  <c r="AB39" i="2"/>
  <c r="AA39" i="2"/>
  <c r="Z39" i="2"/>
  <c r="V39" i="2"/>
  <c r="U39" i="2"/>
  <c r="T39" i="2"/>
  <c r="P39" i="2"/>
  <c r="O39" i="2"/>
  <c r="N39" i="2"/>
  <c r="J39" i="2"/>
  <c r="I39" i="2"/>
  <c r="H39" i="2"/>
  <c r="E39" i="2"/>
  <c r="AH38" i="2"/>
  <c r="AG38" i="2"/>
  <c r="AF38" i="2"/>
  <c r="AB38" i="2"/>
  <c r="AA38" i="2"/>
  <c r="Z38" i="2"/>
  <c r="V38" i="2"/>
  <c r="U38" i="2"/>
  <c r="T38" i="2"/>
  <c r="P38" i="2"/>
  <c r="O38" i="2"/>
  <c r="N38" i="2"/>
  <c r="J38" i="2"/>
  <c r="I38" i="2"/>
  <c r="H38" i="2"/>
  <c r="E38" i="2"/>
  <c r="AH37" i="2"/>
  <c r="AG37" i="2"/>
  <c r="AF37" i="2"/>
  <c r="AB37" i="2"/>
  <c r="AA37" i="2"/>
  <c r="Z37" i="2"/>
  <c r="V37" i="2"/>
  <c r="U37" i="2"/>
  <c r="T37" i="2"/>
  <c r="P37" i="2"/>
  <c r="O37" i="2"/>
  <c r="N37" i="2"/>
  <c r="J37" i="2"/>
  <c r="I37" i="2"/>
  <c r="H37" i="2"/>
  <c r="E37" i="2"/>
  <c r="AH36" i="2"/>
  <c r="AG36" i="2"/>
  <c r="AF36" i="2"/>
  <c r="AB36" i="2"/>
  <c r="AA36" i="2"/>
  <c r="Z36" i="2"/>
  <c r="V36" i="2"/>
  <c r="U36" i="2"/>
  <c r="T36" i="2"/>
  <c r="P36" i="2"/>
  <c r="O36" i="2"/>
  <c r="N36" i="2"/>
  <c r="J36" i="2"/>
  <c r="I36" i="2"/>
  <c r="H36" i="2"/>
  <c r="E36" i="2"/>
  <c r="AH35" i="2"/>
  <c r="AG35" i="2"/>
  <c r="AF35" i="2"/>
  <c r="AB35" i="2"/>
  <c r="AA35" i="2"/>
  <c r="Z35" i="2"/>
  <c r="V35" i="2"/>
  <c r="U35" i="2"/>
  <c r="T35" i="2"/>
  <c r="P35" i="2"/>
  <c r="O35" i="2"/>
  <c r="N35" i="2"/>
  <c r="J35" i="2"/>
  <c r="I35" i="2"/>
  <c r="H35" i="2"/>
  <c r="E35" i="2"/>
  <c r="AH34" i="2"/>
  <c r="AG34" i="2"/>
  <c r="AF34" i="2"/>
  <c r="AB34" i="2"/>
  <c r="AA34" i="2"/>
  <c r="Z34" i="2"/>
  <c r="Y34" i="2"/>
  <c r="V34" i="2"/>
  <c r="U34" i="2"/>
  <c r="T34" i="2"/>
  <c r="P34" i="2"/>
  <c r="O34" i="2"/>
  <c r="N34" i="2"/>
  <c r="M34" i="2"/>
  <c r="J34" i="2"/>
  <c r="I34" i="2"/>
  <c r="H34" i="2"/>
  <c r="E34" i="2"/>
  <c r="AH33" i="2"/>
  <c r="AG33" i="2"/>
  <c r="AF33" i="2"/>
  <c r="AB33" i="2"/>
  <c r="AA33" i="2"/>
  <c r="Z33" i="2"/>
  <c r="V33" i="2"/>
  <c r="U33" i="2"/>
  <c r="T33" i="2"/>
  <c r="P33" i="2"/>
  <c r="O33" i="2"/>
  <c r="N33" i="2"/>
  <c r="J33" i="2"/>
  <c r="I33" i="2"/>
  <c r="H33" i="2"/>
  <c r="E33" i="2"/>
  <c r="AH32" i="2"/>
  <c r="AG32" i="2"/>
  <c r="AF32" i="2"/>
  <c r="AB32" i="2"/>
  <c r="AA32" i="2"/>
  <c r="Z32" i="2"/>
  <c r="V32" i="2"/>
  <c r="U32" i="2"/>
  <c r="T32" i="2"/>
  <c r="P32" i="2"/>
  <c r="O32" i="2"/>
  <c r="N32" i="2"/>
  <c r="J32" i="2"/>
  <c r="I32" i="2"/>
  <c r="H32" i="2"/>
  <c r="E32" i="2"/>
  <c r="AH31" i="2"/>
  <c r="AG31" i="2"/>
  <c r="AF31" i="2"/>
  <c r="AB31" i="2"/>
  <c r="AA31" i="2"/>
  <c r="Z31" i="2"/>
  <c r="V31" i="2"/>
  <c r="U31" i="2"/>
  <c r="T31" i="2"/>
  <c r="P31" i="2"/>
  <c r="O31" i="2"/>
  <c r="N31" i="2"/>
  <c r="J31" i="2"/>
  <c r="I31" i="2"/>
  <c r="H31" i="2"/>
  <c r="E31" i="2"/>
  <c r="AH30" i="2"/>
  <c r="AG30" i="2"/>
  <c r="AF30" i="2"/>
  <c r="AB30" i="2"/>
  <c r="AA30" i="2"/>
  <c r="Z30" i="2"/>
  <c r="V30" i="2"/>
  <c r="U30" i="2"/>
  <c r="T30" i="2"/>
  <c r="P30" i="2"/>
  <c r="O30" i="2"/>
  <c r="N30" i="2"/>
  <c r="J30" i="2"/>
  <c r="I30" i="2"/>
  <c r="H30" i="2"/>
  <c r="AH29" i="2"/>
  <c r="AG29" i="2"/>
  <c r="AF29" i="2"/>
  <c r="AB29" i="2"/>
  <c r="AA29" i="2"/>
  <c r="Z29" i="2"/>
  <c r="V29" i="2"/>
  <c r="U29" i="2"/>
  <c r="T29" i="2"/>
  <c r="P29" i="2"/>
  <c r="O29" i="2"/>
  <c r="N29" i="2"/>
  <c r="J29" i="2"/>
  <c r="I29" i="2"/>
  <c r="H29" i="2"/>
  <c r="E29" i="2"/>
  <c r="AH28" i="2"/>
  <c r="AG28" i="2"/>
  <c r="AF28" i="2"/>
  <c r="AB28" i="2"/>
  <c r="AA28" i="2"/>
  <c r="Z28" i="2"/>
  <c r="V28" i="2"/>
  <c r="U28" i="2"/>
  <c r="T28" i="2"/>
  <c r="P28" i="2"/>
  <c r="O28" i="2"/>
  <c r="N28" i="2"/>
  <c r="J28" i="2"/>
  <c r="I28" i="2"/>
  <c r="H28" i="2"/>
  <c r="AQ27" i="2"/>
  <c r="AU27" i="2" s="1"/>
  <c r="AK27" i="2"/>
  <c r="AH27" i="2"/>
  <c r="AG27" i="2"/>
  <c r="AF27" i="2"/>
  <c r="AE27" i="2"/>
  <c r="AB27" i="2"/>
  <c r="AA27" i="2"/>
  <c r="Z27" i="2"/>
  <c r="Y27" i="2"/>
  <c r="V27" i="2"/>
  <c r="U27" i="2"/>
  <c r="T27" i="2"/>
  <c r="S27" i="2"/>
  <c r="J27" i="2"/>
  <c r="K27" i="2" s="1"/>
  <c r="E27" i="2"/>
  <c r="AQ26" i="2"/>
  <c r="AK26" i="2"/>
  <c r="AH26" i="2"/>
  <c r="AG26" i="2"/>
  <c r="AF26" i="2"/>
  <c r="AE26" i="2"/>
  <c r="AB26" i="2"/>
  <c r="AA26" i="2"/>
  <c r="Z26" i="2"/>
  <c r="Y26" i="2"/>
  <c r="V26" i="2"/>
  <c r="U26" i="2"/>
  <c r="T26" i="2"/>
  <c r="S26" i="2"/>
  <c r="J26" i="2"/>
  <c r="K26" i="2" s="1"/>
  <c r="E26" i="2"/>
  <c r="AQ24" i="2"/>
  <c r="AK24" i="2"/>
  <c r="AH24" i="2"/>
  <c r="AG24" i="2"/>
  <c r="AF24" i="2"/>
  <c r="AE24" i="2"/>
  <c r="AB24" i="2"/>
  <c r="AA24" i="2"/>
  <c r="Z24" i="2"/>
  <c r="Y24" i="2"/>
  <c r="V24" i="2"/>
  <c r="U24" i="2"/>
  <c r="T24" i="2"/>
  <c r="S24" i="2"/>
  <c r="J24" i="2"/>
  <c r="K24" i="2" s="1"/>
  <c r="E24" i="2"/>
  <c r="AQ23" i="2"/>
  <c r="AK23" i="2"/>
  <c r="AH23" i="2"/>
  <c r="AG23" i="2"/>
  <c r="AF23" i="2"/>
  <c r="AE23" i="2"/>
  <c r="AB23" i="2"/>
  <c r="AA23" i="2"/>
  <c r="Z23" i="2"/>
  <c r="Y23" i="2"/>
  <c r="V23" i="2"/>
  <c r="U23" i="2"/>
  <c r="T23" i="2"/>
  <c r="S23" i="2"/>
  <c r="Q23" i="2"/>
  <c r="J23" i="2"/>
  <c r="K23" i="2" s="1"/>
  <c r="E23" i="2"/>
  <c r="AQ22" i="2"/>
  <c r="AK22" i="2"/>
  <c r="AH22" i="2"/>
  <c r="AG22" i="2"/>
  <c r="AF22" i="2"/>
  <c r="AE22" i="2"/>
  <c r="AB22" i="2"/>
  <c r="AA22" i="2"/>
  <c r="Z22" i="2"/>
  <c r="Y22" i="2"/>
  <c r="V22" i="2"/>
  <c r="U22" i="2"/>
  <c r="T22" i="2"/>
  <c r="S22" i="2"/>
  <c r="J22" i="2"/>
  <c r="K22" i="2" s="1"/>
  <c r="E22" i="2"/>
  <c r="AQ21" i="2"/>
  <c r="AK21" i="2"/>
  <c r="AH21" i="2"/>
  <c r="AG21" i="2"/>
  <c r="AF21" i="2"/>
  <c r="AE21" i="2"/>
  <c r="AB21" i="2"/>
  <c r="AA21" i="2"/>
  <c r="Z21" i="2"/>
  <c r="Y21" i="2"/>
  <c r="V21" i="2"/>
  <c r="U21" i="2"/>
  <c r="T21" i="2"/>
  <c r="S21" i="2"/>
  <c r="J21" i="2"/>
  <c r="K21" i="2" s="1"/>
  <c r="E21" i="2"/>
  <c r="AQ20" i="2"/>
  <c r="AK20" i="2"/>
  <c r="AH20" i="2"/>
  <c r="AG20" i="2"/>
  <c r="AF20" i="2"/>
  <c r="AE20" i="2"/>
  <c r="AB20" i="2"/>
  <c r="AA20" i="2"/>
  <c r="Z20" i="2"/>
  <c r="Y20" i="2"/>
  <c r="V20" i="2"/>
  <c r="U20" i="2"/>
  <c r="T20" i="2"/>
  <c r="S20" i="2"/>
  <c r="J20" i="2"/>
  <c r="K20" i="2" s="1"/>
  <c r="E20" i="2"/>
  <c r="AQ19" i="2"/>
  <c r="AK19" i="2"/>
  <c r="AH19" i="2"/>
  <c r="AG19" i="2"/>
  <c r="AF19" i="2"/>
  <c r="AE19" i="2"/>
  <c r="AB19" i="2"/>
  <c r="AA19" i="2"/>
  <c r="Z19" i="2"/>
  <c r="Y19" i="2"/>
  <c r="V19" i="2"/>
  <c r="U19" i="2"/>
  <c r="T19" i="2"/>
  <c r="S19" i="2"/>
  <c r="J19" i="2"/>
  <c r="K19" i="2" s="1"/>
  <c r="E19" i="2"/>
  <c r="AQ18" i="2"/>
  <c r="AK18" i="2"/>
  <c r="AH18" i="2"/>
  <c r="AG18" i="2"/>
  <c r="AF18" i="2"/>
  <c r="AE18" i="2"/>
  <c r="AB18" i="2"/>
  <c r="AA18" i="2"/>
  <c r="Z18" i="2"/>
  <c r="Y18" i="2"/>
  <c r="V18" i="2"/>
  <c r="U18" i="2"/>
  <c r="T18" i="2"/>
  <c r="S18" i="2"/>
  <c r="J18" i="2"/>
  <c r="K18" i="2" s="1"/>
  <c r="E18" i="2"/>
  <c r="AQ17" i="2"/>
  <c r="AK17" i="2"/>
  <c r="AH17" i="2"/>
  <c r="AG17" i="2"/>
  <c r="AF17" i="2"/>
  <c r="AE17" i="2"/>
  <c r="AB17" i="2"/>
  <c r="AA17" i="2"/>
  <c r="Z17" i="2"/>
  <c r="Y17" i="2"/>
  <c r="V17" i="2"/>
  <c r="U17" i="2"/>
  <c r="T17" i="2"/>
  <c r="S17" i="2"/>
  <c r="J17" i="2"/>
  <c r="K17" i="2" s="1"/>
  <c r="E17" i="2"/>
  <c r="AQ16" i="2"/>
  <c r="AK16" i="2"/>
  <c r="AH16" i="2"/>
  <c r="AG16" i="2"/>
  <c r="AF16" i="2"/>
  <c r="AE16" i="2"/>
  <c r="AB16" i="2"/>
  <c r="AA16" i="2"/>
  <c r="Z16" i="2"/>
  <c r="Y16" i="2"/>
  <c r="V16" i="2"/>
  <c r="U16" i="2"/>
  <c r="T16" i="2"/>
  <c r="S16" i="2"/>
  <c r="J16" i="2"/>
  <c r="K16" i="2" s="1"/>
  <c r="E16" i="2"/>
  <c r="AQ15" i="2"/>
  <c r="AK15" i="2"/>
  <c r="AH15" i="2"/>
  <c r="AG15" i="2"/>
  <c r="AF15" i="2"/>
  <c r="AE15" i="2"/>
  <c r="AB15" i="2"/>
  <c r="AA15" i="2"/>
  <c r="Z15" i="2"/>
  <c r="Y15" i="2"/>
  <c r="V15" i="2"/>
  <c r="U15" i="2"/>
  <c r="T15" i="2"/>
  <c r="S15" i="2"/>
  <c r="J15" i="2"/>
  <c r="K15" i="2" s="1"/>
  <c r="E15" i="2"/>
  <c r="AQ14" i="2"/>
  <c r="AK14" i="2"/>
  <c r="AH14" i="2"/>
  <c r="AG14" i="2"/>
  <c r="AF14" i="2"/>
  <c r="AE14" i="2"/>
  <c r="AB14" i="2"/>
  <c r="AA14" i="2"/>
  <c r="Z14" i="2"/>
  <c r="Y14" i="2"/>
  <c r="V14" i="2"/>
  <c r="U14" i="2"/>
  <c r="T14" i="2"/>
  <c r="S14" i="2"/>
  <c r="J14" i="2"/>
  <c r="K14" i="2" s="1"/>
  <c r="E14" i="2"/>
  <c r="AQ13" i="2"/>
  <c r="AK13" i="2"/>
  <c r="AH13" i="2"/>
  <c r="AG13" i="2"/>
  <c r="AF13" i="2"/>
  <c r="AE13" i="2"/>
  <c r="AB13" i="2"/>
  <c r="AA13" i="2"/>
  <c r="Z13" i="2"/>
  <c r="Y13" i="2"/>
  <c r="V13" i="2"/>
  <c r="U13" i="2"/>
  <c r="T13" i="2"/>
  <c r="S13" i="2"/>
  <c r="J13" i="2"/>
  <c r="K13" i="2" s="1"/>
  <c r="E13" i="2"/>
  <c r="AQ12" i="2"/>
  <c r="AK12" i="2"/>
  <c r="AH12" i="2"/>
  <c r="AG12" i="2"/>
  <c r="AF12" i="2"/>
  <c r="AE12" i="2"/>
  <c r="AB12" i="2"/>
  <c r="AA12" i="2"/>
  <c r="Z12" i="2"/>
  <c r="Y12" i="2"/>
  <c r="V12" i="2"/>
  <c r="U12" i="2"/>
  <c r="T12" i="2"/>
  <c r="S12" i="2"/>
  <c r="J12" i="2"/>
  <c r="K12" i="2" s="1"/>
  <c r="E12" i="2"/>
  <c r="AK11" i="2"/>
  <c r="AO11" i="2" s="1"/>
  <c r="AH11" i="2"/>
  <c r="AG11" i="2"/>
  <c r="AF11" i="2"/>
  <c r="AE11" i="2"/>
  <c r="AB11" i="2"/>
  <c r="AA11" i="2"/>
  <c r="Z11" i="2"/>
  <c r="Y11" i="2"/>
  <c r="S11" i="2"/>
  <c r="P11" i="2"/>
  <c r="O11" i="2"/>
  <c r="M11" i="2"/>
  <c r="G64" i="2"/>
  <c r="D28" i="1"/>
  <c r="H107" i="2" l="1"/>
  <c r="E156" i="2" s="1"/>
  <c r="B101" i="2"/>
  <c r="G106" i="2"/>
  <c r="G98" i="2"/>
  <c r="H98" i="2" s="1"/>
  <c r="G130" i="2"/>
  <c r="H130" i="2" s="1"/>
  <c r="K155" i="2" s="1"/>
  <c r="W78" i="2"/>
  <c r="AO16" i="2"/>
  <c r="AO20" i="2"/>
  <c r="AI89" i="2"/>
  <c r="G114" i="2"/>
  <c r="H114" i="2" s="1"/>
  <c r="G155" i="2" s="1"/>
  <c r="F106" i="2"/>
  <c r="AI13" i="2"/>
  <c r="K89" i="2"/>
  <c r="K90" i="2"/>
  <c r="Q68" i="2"/>
  <c r="AE29" i="2"/>
  <c r="AI29" i="2" s="1"/>
  <c r="AE47" i="2"/>
  <c r="AC60" i="2"/>
  <c r="AU30" i="2"/>
  <c r="S33" i="2"/>
  <c r="W33" i="2" s="1"/>
  <c r="S38" i="2"/>
  <c r="W38" i="2" s="1"/>
  <c r="AE41" i="2"/>
  <c r="AI41" i="2" s="1"/>
  <c r="S47" i="2"/>
  <c r="W47" i="2" s="1"/>
  <c r="Y54" i="2"/>
  <c r="AC54" i="2" s="1"/>
  <c r="AK57" i="2"/>
  <c r="AO57" i="2" s="1"/>
  <c r="AQ64" i="2"/>
  <c r="M65" i="2"/>
  <c r="Q88" i="2"/>
  <c r="S29" i="2"/>
  <c r="W29" i="2" s="1"/>
  <c r="AE33" i="2"/>
  <c r="AI33" i="2" s="1"/>
  <c r="AE38" i="2"/>
  <c r="AI38" i="2" s="1"/>
  <c r="G50" i="2"/>
  <c r="K50" i="2" s="1"/>
  <c r="Y65" i="2"/>
  <c r="AE30" i="2"/>
  <c r="G33" i="2"/>
  <c r="AK37" i="2"/>
  <c r="AO37" i="2" s="1"/>
  <c r="G38" i="2"/>
  <c r="K38" i="2" s="1"/>
  <c r="S41" i="2"/>
  <c r="W41" i="2" s="1"/>
  <c r="AK46" i="2"/>
  <c r="AO46" i="2" s="1"/>
  <c r="G47" i="2"/>
  <c r="K47" i="2" s="1"/>
  <c r="M54" i="2"/>
  <c r="Y57" i="2"/>
  <c r="AE64" i="2"/>
  <c r="G29" i="2"/>
  <c r="K29" i="2" s="1"/>
  <c r="AK54" i="2"/>
  <c r="AO54" i="2" s="1"/>
  <c r="M60" i="2"/>
  <c r="Q60" i="2" s="1"/>
  <c r="S30" i="2"/>
  <c r="W30" i="2" s="1"/>
  <c r="Y37" i="2"/>
  <c r="AC37" i="2" s="1"/>
  <c r="AK40" i="2"/>
  <c r="G41" i="2"/>
  <c r="K41" i="2" s="1"/>
  <c r="Y46" i="2"/>
  <c r="AC46" i="2" s="1"/>
  <c r="AK51" i="2"/>
  <c r="AO51" i="2" s="1"/>
  <c r="AQ56" i="2"/>
  <c r="AU56" i="2" s="1"/>
  <c r="M57" i="2"/>
  <c r="Q57" i="2" s="1"/>
  <c r="AQ61" i="2"/>
  <c r="AU61" i="2" s="1"/>
  <c r="S64" i="2"/>
  <c r="W64" i="2" s="1"/>
  <c r="M29" i="2"/>
  <c r="Q29" i="2" s="1"/>
  <c r="Y29" i="2"/>
  <c r="AC29" i="2" s="1"/>
  <c r="AK29" i="2"/>
  <c r="G30" i="2"/>
  <c r="M37" i="2"/>
  <c r="Q37" i="2" s="1"/>
  <c r="Y40" i="2"/>
  <c r="AC40" i="2" s="1"/>
  <c r="M46" i="2"/>
  <c r="Q46" i="2" s="1"/>
  <c r="Y51" i="2"/>
  <c r="AC51" i="2" s="1"/>
  <c r="AE56" i="2"/>
  <c r="AI56" i="2" s="1"/>
  <c r="AE61" i="2"/>
  <c r="AI61" i="2" s="1"/>
  <c r="AK69" i="2"/>
  <c r="Y69" i="2"/>
  <c r="AC69" i="2" s="1"/>
  <c r="M69" i="2"/>
  <c r="Q69" i="2" s="1"/>
  <c r="AK66" i="2"/>
  <c r="AO66" i="2" s="1"/>
  <c r="Y66" i="2"/>
  <c r="AC66" i="2" s="1"/>
  <c r="M66" i="2"/>
  <c r="Q66" i="2" s="1"/>
  <c r="AQ62" i="2"/>
  <c r="AE62" i="2"/>
  <c r="AI62" i="2" s="1"/>
  <c r="S62" i="2"/>
  <c r="G62" i="2"/>
  <c r="K62" i="2" s="1"/>
  <c r="AK58" i="2"/>
  <c r="AO58" i="2" s="1"/>
  <c r="Y58" i="2"/>
  <c r="AC58" i="2" s="1"/>
  <c r="M58" i="2"/>
  <c r="Q58" i="2" s="1"/>
  <c r="AK55" i="2"/>
  <c r="AO55" i="2" s="1"/>
  <c r="Y55" i="2"/>
  <c r="M55" i="2"/>
  <c r="Q55" i="2" s="1"/>
  <c r="AK52" i="2"/>
  <c r="Y52" i="2"/>
  <c r="AC52" i="2" s="1"/>
  <c r="M52" i="2"/>
  <c r="Q52" i="2" s="1"/>
  <c r="AQ48" i="2"/>
  <c r="AU48" i="2" s="1"/>
  <c r="AE48" i="2"/>
  <c r="AI48" i="2" s="1"/>
  <c r="S48" i="2"/>
  <c r="W48" i="2" s="1"/>
  <c r="G48" i="2"/>
  <c r="K48" i="2" s="1"/>
  <c r="AK44" i="2"/>
  <c r="AO44" i="2" s="1"/>
  <c r="Y44" i="2"/>
  <c r="M44" i="2"/>
  <c r="Q44" i="2" s="1"/>
  <c r="AQ39" i="2"/>
  <c r="AU39" i="2" s="1"/>
  <c r="AE39" i="2"/>
  <c r="AI39" i="2" s="1"/>
  <c r="S39" i="2"/>
  <c r="W39" i="2" s="1"/>
  <c r="G39" i="2"/>
  <c r="K39" i="2" s="1"/>
  <c r="AK35" i="2"/>
  <c r="Y35" i="2"/>
  <c r="AC35" i="2" s="1"/>
  <c r="M35" i="2"/>
  <c r="AE31" i="2"/>
  <c r="AI31" i="2" s="1"/>
  <c r="S31" i="2"/>
  <c r="W31" i="2" s="1"/>
  <c r="G31" i="2"/>
  <c r="K31" i="2" s="1"/>
  <c r="S40" i="2"/>
  <c r="W40" i="2" s="1"/>
  <c r="AU37" i="2"/>
  <c r="S37" i="2"/>
  <c r="W37" i="2" s="1"/>
  <c r="M33" i="2"/>
  <c r="AQ68" i="2"/>
  <c r="AU68" i="2" s="1"/>
  <c r="AE68" i="2"/>
  <c r="AI68" i="2" s="1"/>
  <c r="AQ65" i="2"/>
  <c r="AU65" i="2" s="1"/>
  <c r="AE65" i="2"/>
  <c r="AI65" i="2" s="1"/>
  <c r="S65" i="2"/>
  <c r="G65" i="2"/>
  <c r="K65" i="2" s="1"/>
  <c r="AK61" i="2"/>
  <c r="Y61" i="2"/>
  <c r="AC61" i="2" s="1"/>
  <c r="M61" i="2"/>
  <c r="Q61" i="2" s="1"/>
  <c r="AQ57" i="2"/>
  <c r="AU57" i="2" s="1"/>
  <c r="AE57" i="2"/>
  <c r="AI57" i="2" s="1"/>
  <c r="S57" i="2"/>
  <c r="W57" i="2" s="1"/>
  <c r="G57" i="2"/>
  <c r="AQ54" i="2"/>
  <c r="AU54" i="2" s="1"/>
  <c r="AE54" i="2"/>
  <c r="S54" i="2"/>
  <c r="W54" i="2" s="1"/>
  <c r="G54" i="2"/>
  <c r="K54" i="2" s="1"/>
  <c r="AQ51" i="2"/>
  <c r="AU51" i="2" s="1"/>
  <c r="AE51" i="2"/>
  <c r="AI51" i="2" s="1"/>
  <c r="S51" i="2"/>
  <c r="W51" i="2" s="1"/>
  <c r="G51" i="2"/>
  <c r="K51" i="2" s="1"/>
  <c r="AK47" i="2"/>
  <c r="AO47" i="2" s="1"/>
  <c r="Y47" i="2"/>
  <c r="M47" i="2"/>
  <c r="Q47" i="2" s="1"/>
  <c r="AQ43" i="2"/>
  <c r="AU43" i="2" s="1"/>
  <c r="AE43" i="2"/>
  <c r="AI43" i="2" s="1"/>
  <c r="S43" i="2"/>
  <c r="W43" i="2" s="1"/>
  <c r="AK41" i="2"/>
  <c r="AO41" i="2" s="1"/>
  <c r="Y41" i="2"/>
  <c r="AC41" i="2" s="1"/>
  <c r="M41" i="2"/>
  <c r="Q41" i="2" s="1"/>
  <c r="AK38" i="2"/>
  <c r="Y38" i="2"/>
  <c r="AC38" i="2" s="1"/>
  <c r="M38" i="2"/>
  <c r="Q38" i="2" s="1"/>
  <c r="AU34" i="2"/>
  <c r="AE34" i="2"/>
  <c r="AI34" i="2" s="1"/>
  <c r="S34" i="2"/>
  <c r="W34" i="2" s="1"/>
  <c r="G34" i="2"/>
  <c r="K34" i="2" s="1"/>
  <c r="AK30" i="2"/>
  <c r="AO30" i="2" s="1"/>
  <c r="Y30" i="2"/>
  <c r="M30" i="2"/>
  <c r="Q30" i="2" s="1"/>
  <c r="AE37" i="2"/>
  <c r="AI37" i="2" s="1"/>
  <c r="Y33" i="2"/>
  <c r="AC33" i="2" s="1"/>
  <c r="S68" i="2"/>
  <c r="W68" i="2" s="1"/>
  <c r="G68" i="2"/>
  <c r="K68" i="2" s="1"/>
  <c r="AK64" i="2"/>
  <c r="Y64" i="2"/>
  <c r="AC64" i="2" s="1"/>
  <c r="M64" i="2"/>
  <c r="AQ60" i="2"/>
  <c r="AU60" i="2" s="1"/>
  <c r="AE60" i="2"/>
  <c r="AI60" i="2" s="1"/>
  <c r="S60" i="2"/>
  <c r="W60" i="2" s="1"/>
  <c r="G60" i="2"/>
  <c r="K60" i="2" s="1"/>
  <c r="AK56" i="2"/>
  <c r="AO56" i="2" s="1"/>
  <c r="Y56" i="2"/>
  <c r="M56" i="2"/>
  <c r="Q56" i="2" s="1"/>
  <c r="AK50" i="2"/>
  <c r="Y50" i="2"/>
  <c r="AC50" i="2" s="1"/>
  <c r="M50" i="2"/>
  <c r="Q50" i="2" s="1"/>
  <c r="AQ46" i="2"/>
  <c r="AU46" i="2" s="1"/>
  <c r="AE46" i="2"/>
  <c r="AI46" i="2" s="1"/>
  <c r="S46" i="2"/>
  <c r="W46" i="2" s="1"/>
  <c r="G46" i="2"/>
  <c r="K46" i="2" s="1"/>
  <c r="G43" i="2"/>
  <c r="K43" i="2" s="1"/>
  <c r="AQ40" i="2"/>
  <c r="AE40" i="2"/>
  <c r="G40" i="2"/>
  <c r="K40" i="2" s="1"/>
  <c r="G37" i="2"/>
  <c r="K37" i="2" s="1"/>
  <c r="AK33" i="2"/>
  <c r="AO33" i="2" s="1"/>
  <c r="AK67" i="2"/>
  <c r="AO67" i="2" s="1"/>
  <c r="Y67" i="2"/>
  <c r="AC67" i="2" s="1"/>
  <c r="M67" i="2"/>
  <c r="Q67" i="2" s="1"/>
  <c r="AQ63" i="2"/>
  <c r="AE63" i="2"/>
  <c r="AI63" i="2" s="1"/>
  <c r="S63" i="2"/>
  <c r="W63" i="2" s="1"/>
  <c r="G63" i="2"/>
  <c r="K63" i="2" s="1"/>
  <c r="AK59" i="2"/>
  <c r="AO59" i="2" s="1"/>
  <c r="Y59" i="2"/>
  <c r="AC59" i="2" s="1"/>
  <c r="M59" i="2"/>
  <c r="Q59" i="2" s="1"/>
  <c r="AK53" i="2"/>
  <c r="AO53" i="2" s="1"/>
  <c r="Y53" i="2"/>
  <c r="M53" i="2"/>
  <c r="AQ49" i="2"/>
  <c r="AU49" i="2" s="1"/>
  <c r="AE49" i="2"/>
  <c r="AI49" i="2" s="1"/>
  <c r="S49" i="2"/>
  <c r="W49" i="2" s="1"/>
  <c r="G49" i="2"/>
  <c r="K49" i="2" s="1"/>
  <c r="AK45" i="2"/>
  <c r="AO45" i="2" s="1"/>
  <c r="Y45" i="2"/>
  <c r="AC45" i="2" s="1"/>
  <c r="M45" i="2"/>
  <c r="AK42" i="2"/>
  <c r="AO42" i="2" s="1"/>
  <c r="Y42" i="2"/>
  <c r="AC42" i="2" s="1"/>
  <c r="M42" i="2"/>
  <c r="Q42" i="2" s="1"/>
  <c r="AK36" i="2"/>
  <c r="AO36" i="2" s="1"/>
  <c r="Y36" i="2"/>
  <c r="AC36" i="2" s="1"/>
  <c r="M36" i="2"/>
  <c r="Q36" i="2" s="1"/>
  <c r="AE32" i="2"/>
  <c r="S32" i="2"/>
  <c r="G32" i="2"/>
  <c r="K32" i="2" s="1"/>
  <c r="AK28" i="2"/>
  <c r="AO28" i="2" s="1"/>
  <c r="Y28" i="2"/>
  <c r="AC28" i="2" s="1"/>
  <c r="M28" i="2"/>
  <c r="Q28" i="2" s="1"/>
  <c r="AQ69" i="2"/>
  <c r="AU69" i="2" s="1"/>
  <c r="AE69" i="2"/>
  <c r="AI69" i="2" s="1"/>
  <c r="S69" i="2"/>
  <c r="G69" i="2"/>
  <c r="AQ66" i="2"/>
  <c r="AU66" i="2" s="1"/>
  <c r="AE66" i="2"/>
  <c r="AI66" i="2" s="1"/>
  <c r="S66" i="2"/>
  <c r="W66" i="2" s="1"/>
  <c r="G66" i="2"/>
  <c r="K66" i="2" s="1"/>
  <c r="AK62" i="2"/>
  <c r="AO62" i="2" s="1"/>
  <c r="Y62" i="2"/>
  <c r="AC62" i="2" s="1"/>
  <c r="M62" i="2"/>
  <c r="AQ58" i="2"/>
  <c r="AU58" i="2" s="1"/>
  <c r="AE58" i="2"/>
  <c r="AI58" i="2" s="1"/>
  <c r="S58" i="2"/>
  <c r="W58" i="2" s="1"/>
  <c r="G58" i="2"/>
  <c r="K58" i="2" s="1"/>
  <c r="AQ55" i="2"/>
  <c r="AU55" i="2" s="1"/>
  <c r="AE55" i="2"/>
  <c r="S55" i="2"/>
  <c r="W55" i="2" s="1"/>
  <c r="G55" i="2"/>
  <c r="AQ52" i="2"/>
  <c r="AU52" i="2" s="1"/>
  <c r="AE52" i="2"/>
  <c r="AI52" i="2" s="1"/>
  <c r="S52" i="2"/>
  <c r="W52" i="2" s="1"/>
  <c r="G52" i="2"/>
  <c r="K52" i="2" s="1"/>
  <c r="AK48" i="2"/>
  <c r="AO48" i="2" s="1"/>
  <c r="Y48" i="2"/>
  <c r="M48" i="2"/>
  <c r="Q48" i="2" s="1"/>
  <c r="AQ44" i="2"/>
  <c r="AU44" i="2" s="1"/>
  <c r="AE44" i="2"/>
  <c r="AI44" i="2" s="1"/>
  <c r="S44" i="2"/>
  <c r="W44" i="2" s="1"/>
  <c r="G44" i="2"/>
  <c r="K44" i="2" s="1"/>
  <c r="AQ41" i="2"/>
  <c r="AU41" i="2" s="1"/>
  <c r="AK39" i="2"/>
  <c r="AO39" i="2" s="1"/>
  <c r="Y39" i="2"/>
  <c r="M39" i="2"/>
  <c r="Q39" i="2" s="1"/>
  <c r="AE35" i="2"/>
  <c r="AI35" i="2" s="1"/>
  <c r="S35" i="2"/>
  <c r="W35" i="2" s="1"/>
  <c r="G35" i="2"/>
  <c r="K35" i="2" s="1"/>
  <c r="AK31" i="2"/>
  <c r="AO31" i="2" s="1"/>
  <c r="Y31" i="2"/>
  <c r="AC31" i="2" s="1"/>
  <c r="M31" i="2"/>
  <c r="Q31" i="2" s="1"/>
  <c r="C99" i="2"/>
  <c r="AQ67" i="2"/>
  <c r="AU67" i="2" s="1"/>
  <c r="AE67" i="2"/>
  <c r="S67" i="2"/>
  <c r="W67" i="2" s="1"/>
  <c r="G67" i="2"/>
  <c r="K67" i="2" s="1"/>
  <c r="AK63" i="2"/>
  <c r="AO63" i="2" s="1"/>
  <c r="Y63" i="2"/>
  <c r="AC63" i="2" s="1"/>
  <c r="M63" i="2"/>
  <c r="Q63" i="2" s="1"/>
  <c r="AQ59" i="2"/>
  <c r="AU59" i="2" s="1"/>
  <c r="AE59" i="2"/>
  <c r="S59" i="2"/>
  <c r="G59" i="2"/>
  <c r="K59" i="2" s="1"/>
  <c r="AQ53" i="2"/>
  <c r="AU53" i="2" s="1"/>
  <c r="AE53" i="2"/>
  <c r="AI53" i="2" s="1"/>
  <c r="S53" i="2"/>
  <c r="W53" i="2" s="1"/>
  <c r="G53" i="2"/>
  <c r="K53" i="2" s="1"/>
  <c r="AK49" i="2"/>
  <c r="AO49" i="2" s="1"/>
  <c r="Y49" i="2"/>
  <c r="M49" i="2"/>
  <c r="AQ45" i="2"/>
  <c r="AU45" i="2" s="1"/>
  <c r="AE45" i="2"/>
  <c r="AI45" i="2" s="1"/>
  <c r="S45" i="2"/>
  <c r="W45" i="2" s="1"/>
  <c r="G45" i="2"/>
  <c r="K45" i="2" s="1"/>
  <c r="AQ42" i="2"/>
  <c r="AU42" i="2" s="1"/>
  <c r="AE42" i="2"/>
  <c r="AI42" i="2" s="1"/>
  <c r="S42" i="2"/>
  <c r="W42" i="2" s="1"/>
  <c r="G42" i="2"/>
  <c r="K42" i="2" s="1"/>
  <c r="AU36" i="2"/>
  <c r="AE36" i="2"/>
  <c r="AI36" i="2" s="1"/>
  <c r="S36" i="2"/>
  <c r="W36" i="2" s="1"/>
  <c r="G36" i="2"/>
  <c r="K36" i="2" s="1"/>
  <c r="AK32" i="2"/>
  <c r="AO32" i="2" s="1"/>
  <c r="Y32" i="2"/>
  <c r="AC32" i="2" s="1"/>
  <c r="M32" i="2"/>
  <c r="Q32" i="2" s="1"/>
  <c r="AU28" i="2"/>
  <c r="AE28" i="2"/>
  <c r="AI28" i="2" s="1"/>
  <c r="S28" i="2"/>
  <c r="W28" i="2" s="1"/>
  <c r="G28" i="2"/>
  <c r="K28" i="2" s="1"/>
  <c r="W21" i="2"/>
  <c r="AK34" i="2"/>
  <c r="AO34" i="2" s="1"/>
  <c r="AO35" i="2"/>
  <c r="M40" i="2"/>
  <c r="Q40" i="2" s="1"/>
  <c r="AK43" i="2"/>
  <c r="AO43" i="2" s="1"/>
  <c r="AQ50" i="2"/>
  <c r="AU50" i="2" s="1"/>
  <c r="M51" i="2"/>
  <c r="Q51" i="2" s="1"/>
  <c r="S56" i="2"/>
  <c r="W56" i="2" s="1"/>
  <c r="S61" i="2"/>
  <c r="W61" i="2" s="1"/>
  <c r="AK68" i="2"/>
  <c r="AO68" i="2" s="1"/>
  <c r="W81" i="2"/>
  <c r="AO12" i="2"/>
  <c r="Q15" i="2"/>
  <c r="AC15" i="2"/>
  <c r="AU31" i="2"/>
  <c r="AC44" i="2"/>
  <c r="Q64" i="2"/>
  <c r="AO69" i="2"/>
  <c r="G70" i="2"/>
  <c r="K70" i="2" s="1"/>
  <c r="G73" i="2"/>
  <c r="K73" i="2" s="1"/>
  <c r="S73" i="2"/>
  <c r="W73" i="2" s="1"/>
  <c r="AE73" i="2"/>
  <c r="AQ73" i="2"/>
  <c r="AU73" i="2" s="1"/>
  <c r="M77" i="2"/>
  <c r="Q77" i="2" s="1"/>
  <c r="Y77" i="2"/>
  <c r="AC77" i="2" s="1"/>
  <c r="AK77" i="2"/>
  <c r="AO77" i="2" s="1"/>
  <c r="M80" i="2"/>
  <c r="Q80" i="2" s="1"/>
  <c r="Y80" i="2"/>
  <c r="AC80" i="2" s="1"/>
  <c r="AK80" i="2"/>
  <c r="AO80" i="2" s="1"/>
  <c r="M83" i="2"/>
  <c r="Y83" i="2"/>
  <c r="AK83" i="2"/>
  <c r="AO83" i="2" s="1"/>
  <c r="G87" i="2"/>
  <c r="K87" i="2" s="1"/>
  <c r="S87" i="2"/>
  <c r="W87" i="2" s="1"/>
  <c r="AE87" i="2"/>
  <c r="AI87" i="2" s="1"/>
  <c r="AQ87" i="2"/>
  <c r="AU87" i="2" s="1"/>
  <c r="G100" i="2"/>
  <c r="H100" i="2" s="1"/>
  <c r="C157" i="2" s="1"/>
  <c r="S90" i="2"/>
  <c r="W90" i="2" s="1"/>
  <c r="AE90" i="2"/>
  <c r="AI90" i="2" s="1"/>
  <c r="AQ90" i="2"/>
  <c r="AU90" i="2" s="1"/>
  <c r="AU18" i="2"/>
  <c r="AC26" i="2"/>
  <c r="AI30" i="2"/>
  <c r="AU33" i="2"/>
  <c r="Q34" i="2"/>
  <c r="AU47" i="2"/>
  <c r="AC65" i="2"/>
  <c r="AO65" i="2"/>
  <c r="AU70" i="2"/>
  <c r="AC71" i="2"/>
  <c r="G72" i="2"/>
  <c r="K72" i="2" s="1"/>
  <c r="S72" i="2"/>
  <c r="W72" i="2" s="1"/>
  <c r="AE72" i="2"/>
  <c r="AI72" i="2" s="1"/>
  <c r="AQ72" i="2"/>
  <c r="AU72" i="2" s="1"/>
  <c r="K75" i="2"/>
  <c r="M76" i="2"/>
  <c r="Q76" i="2" s="1"/>
  <c r="Y76" i="2"/>
  <c r="AC76" i="2" s="1"/>
  <c r="AK76" i="2"/>
  <c r="AO76" i="2" s="1"/>
  <c r="M79" i="2"/>
  <c r="Q79" i="2" s="1"/>
  <c r="Y79" i="2"/>
  <c r="AC79" i="2" s="1"/>
  <c r="AK79" i="2"/>
  <c r="AO79" i="2" s="1"/>
  <c r="M82" i="2"/>
  <c r="Q82" i="2" s="1"/>
  <c r="Y82" i="2"/>
  <c r="AC82" i="2" s="1"/>
  <c r="AK82" i="2"/>
  <c r="AO82" i="2" s="1"/>
  <c r="AC85" i="2"/>
  <c r="AO85" i="2"/>
  <c r="G86" i="2"/>
  <c r="K86" i="2" s="1"/>
  <c r="S86" i="2"/>
  <c r="W86" i="2" s="1"/>
  <c r="AE86" i="2"/>
  <c r="AI86" i="2" s="1"/>
  <c r="AQ86" i="2"/>
  <c r="AU86" i="2" s="1"/>
  <c r="W89" i="2"/>
  <c r="M90" i="2"/>
  <c r="Q90" i="2" s="1"/>
  <c r="AI15" i="2"/>
  <c r="AC19" i="2"/>
  <c r="Q54" i="2"/>
  <c r="K61" i="2"/>
  <c r="M73" i="2"/>
  <c r="Q73" i="2" s="1"/>
  <c r="Y73" i="2"/>
  <c r="AC73" i="2" s="1"/>
  <c r="AK73" i="2"/>
  <c r="AO73" i="2" s="1"/>
  <c r="G77" i="2"/>
  <c r="K77" i="2" s="1"/>
  <c r="S77" i="2"/>
  <c r="W77" i="2" s="1"/>
  <c r="AE77" i="2"/>
  <c r="AI77" i="2" s="1"/>
  <c r="AQ77" i="2"/>
  <c r="AU77" i="2" s="1"/>
  <c r="G80" i="2"/>
  <c r="K80" i="2" s="1"/>
  <c r="S80" i="2"/>
  <c r="W80" i="2" s="1"/>
  <c r="AE80" i="2"/>
  <c r="AQ80" i="2"/>
  <c r="AU80" i="2" s="1"/>
  <c r="K81" i="2"/>
  <c r="G83" i="2"/>
  <c r="K83" i="2" s="1"/>
  <c r="S83" i="2"/>
  <c r="W83" i="2" s="1"/>
  <c r="AE83" i="2"/>
  <c r="AI83" i="2" s="1"/>
  <c r="AQ83" i="2"/>
  <c r="AU83" i="2" s="1"/>
  <c r="M87" i="2"/>
  <c r="Y87" i="2"/>
  <c r="AC87" i="2" s="1"/>
  <c r="AK87" i="2"/>
  <c r="AO87" i="2" s="1"/>
  <c r="Y90" i="2"/>
  <c r="AC90" i="2" s="1"/>
  <c r="AK90" i="2"/>
  <c r="AO90" i="2" s="1"/>
  <c r="C100" i="2"/>
  <c r="AC48" i="2"/>
  <c r="K69" i="2"/>
  <c r="M70" i="2"/>
  <c r="Q70" i="2" s="1"/>
  <c r="Y70" i="2"/>
  <c r="AC70" i="2" s="1"/>
  <c r="AK70" i="2"/>
  <c r="AO70" i="2" s="1"/>
  <c r="G74" i="2"/>
  <c r="S74" i="2"/>
  <c r="W74" i="2" s="1"/>
  <c r="AE74" i="2"/>
  <c r="AI74" i="2" s="1"/>
  <c r="AQ74" i="2"/>
  <c r="AU74" i="2" s="1"/>
  <c r="M78" i="2"/>
  <c r="Q78" i="2" s="1"/>
  <c r="AI80" i="2"/>
  <c r="M81" i="2"/>
  <c r="Q81" i="2" s="1"/>
  <c r="M84" i="2"/>
  <c r="Q84" i="2" s="1"/>
  <c r="Y84" i="2"/>
  <c r="AC84" i="2" s="1"/>
  <c r="AK84" i="2"/>
  <c r="AO84" i="2" s="1"/>
  <c r="G88" i="2"/>
  <c r="K88" i="2" s="1"/>
  <c r="S88" i="2"/>
  <c r="W88" i="2" s="1"/>
  <c r="AE88" i="2"/>
  <c r="AI88" i="2" s="1"/>
  <c r="AQ88" i="2"/>
  <c r="AU88" i="2" s="1"/>
  <c r="AI17" i="2"/>
  <c r="AU29" i="2"/>
  <c r="AC56" i="2"/>
  <c r="G71" i="2"/>
  <c r="K71" i="2" s="1"/>
  <c r="S71" i="2"/>
  <c r="W71" i="2" s="1"/>
  <c r="AE71" i="2"/>
  <c r="AI71" i="2" s="1"/>
  <c r="AQ71" i="2"/>
  <c r="AU71" i="2" s="1"/>
  <c r="M75" i="2"/>
  <c r="Q75" i="2" s="1"/>
  <c r="Y75" i="2"/>
  <c r="AC75" i="2" s="1"/>
  <c r="AK75" i="2"/>
  <c r="AO75" i="2" s="1"/>
  <c r="Y78" i="2"/>
  <c r="AC78" i="2" s="1"/>
  <c r="AK78" i="2"/>
  <c r="AO78" i="2" s="1"/>
  <c r="Y81" i="2"/>
  <c r="AC81" i="2" s="1"/>
  <c r="AK81" i="2"/>
  <c r="AO81" i="2" s="1"/>
  <c r="G85" i="2"/>
  <c r="K85" i="2" s="1"/>
  <c r="S85" i="2"/>
  <c r="W85" i="2" s="1"/>
  <c r="AE85" i="2"/>
  <c r="AI85" i="2" s="1"/>
  <c r="AQ85" i="2"/>
  <c r="AU85" i="2" s="1"/>
  <c r="M89" i="2"/>
  <c r="Q89" i="2" s="1"/>
  <c r="Y89" i="2"/>
  <c r="AC89" i="2" s="1"/>
  <c r="AK89" i="2"/>
  <c r="AO89" i="2" s="1"/>
  <c r="F138" i="2"/>
  <c r="F122" i="2"/>
  <c r="H155" i="2" s="1"/>
  <c r="F130" i="2"/>
  <c r="J155" i="2" s="1"/>
  <c r="F146" i="2"/>
  <c r="N155" i="2" s="1"/>
  <c r="W32" i="2"/>
  <c r="AI11" i="2"/>
  <c r="AO18" i="2"/>
  <c r="AC21" i="2"/>
  <c r="W26" i="2"/>
  <c r="AI26" i="2"/>
  <c r="AI54" i="2"/>
  <c r="K57" i="2"/>
  <c r="M72" i="2"/>
  <c r="Q72" i="2" s="1"/>
  <c r="Y72" i="2"/>
  <c r="AC72" i="2" s="1"/>
  <c r="AK72" i="2"/>
  <c r="AO72" i="2" s="1"/>
  <c r="G76" i="2"/>
  <c r="K76" i="2" s="1"/>
  <c r="S76" i="2"/>
  <c r="W76" i="2" s="1"/>
  <c r="AE76" i="2"/>
  <c r="AI76" i="2" s="1"/>
  <c r="AQ76" i="2"/>
  <c r="AU76" i="2" s="1"/>
  <c r="G79" i="2"/>
  <c r="K79" i="2" s="1"/>
  <c r="S79" i="2"/>
  <c r="W79" i="2" s="1"/>
  <c r="AE79" i="2"/>
  <c r="AI79" i="2" s="1"/>
  <c r="AQ79" i="2"/>
  <c r="AU79" i="2" s="1"/>
  <c r="G82" i="2"/>
  <c r="K82" i="2" s="1"/>
  <c r="S82" i="2"/>
  <c r="W82" i="2" s="1"/>
  <c r="AE82" i="2"/>
  <c r="AI82" i="2" s="1"/>
  <c r="AQ82" i="2"/>
  <c r="AU82" i="2" s="1"/>
  <c r="M86" i="2"/>
  <c r="Q86" i="2" s="1"/>
  <c r="Y86" i="2"/>
  <c r="AC86" i="2" s="1"/>
  <c r="AK86" i="2"/>
  <c r="AO86" i="2" s="1"/>
  <c r="H147" i="2"/>
  <c r="O156" i="2" s="1"/>
  <c r="H131" i="2"/>
  <c r="K156" i="2" s="1"/>
  <c r="H139" i="2"/>
  <c r="M156" i="2" s="1"/>
  <c r="H123" i="2"/>
  <c r="I156" i="2" s="1"/>
  <c r="H115" i="2"/>
  <c r="G156" i="2" s="1"/>
  <c r="F114" i="2"/>
  <c r="F155" i="2" s="1"/>
  <c r="Q11" i="2"/>
  <c r="AU15" i="2"/>
  <c r="Q20" i="2"/>
  <c r="AC20" i="2"/>
  <c r="AO24" i="2"/>
  <c r="AU35" i="2"/>
  <c r="AI50" i="2"/>
  <c r="AO52" i="2"/>
  <c r="W70" i="2"/>
  <c r="AI73" i="2"/>
  <c r="AI84" i="2"/>
  <c r="Q85" i="2"/>
  <c r="AC12" i="2"/>
  <c r="AC13" i="2"/>
  <c r="W15" i="2"/>
  <c r="AO23" i="2"/>
  <c r="W50" i="2"/>
  <c r="K64" i="2"/>
  <c r="W65" i="2"/>
  <c r="AO74" i="2"/>
  <c r="W11" i="2"/>
  <c r="AU11" i="2"/>
  <c r="K33" i="2"/>
  <c r="AU64" i="2"/>
  <c r="AO71" i="2"/>
  <c r="Q74" i="2"/>
  <c r="AC74" i="2"/>
  <c r="W75" i="2"/>
  <c r="AI75" i="2"/>
  <c r="Q12" i="2"/>
  <c r="W13" i="2"/>
  <c r="AO15" i="2"/>
  <c r="W20" i="2"/>
  <c r="AI20" i="2"/>
  <c r="AU24" i="2"/>
  <c r="AC30" i="2"/>
  <c r="Q62" i="2"/>
  <c r="AI64" i="2"/>
  <c r="Q83" i="2"/>
  <c r="H106" i="2"/>
  <c r="E155" i="2" s="1"/>
  <c r="E158" i="2" s="1"/>
  <c r="W12" i="2"/>
  <c r="AI12" i="2"/>
  <c r="AU16" i="2"/>
  <c r="AU23" i="2"/>
  <c r="Q33" i="2"/>
  <c r="AI40" i="2"/>
  <c r="K55" i="2"/>
  <c r="AO61" i="2"/>
  <c r="AC68" i="2"/>
  <c r="AU75" i="2"/>
  <c r="AI78" i="2"/>
  <c r="AC11" i="2"/>
  <c r="AO29" i="2"/>
  <c r="AI32" i="2"/>
  <c r="AC34" i="2"/>
  <c r="AC57" i="2"/>
  <c r="W62" i="2"/>
  <c r="AU63" i="2"/>
  <c r="AI70" i="2"/>
  <c r="AU84" i="2"/>
  <c r="H132" i="2"/>
  <c r="K157" i="2" s="1"/>
  <c r="H124" i="2"/>
  <c r="I157" i="2" s="1"/>
  <c r="H140" i="2"/>
  <c r="M157" i="2" s="1"/>
  <c r="H148" i="2"/>
  <c r="O157" i="2" s="1"/>
  <c r="H116" i="2"/>
  <c r="G157" i="2" s="1"/>
  <c r="AC17" i="2"/>
  <c r="W19" i="2"/>
  <c r="AU20" i="2"/>
  <c r="Q21" i="2"/>
  <c r="AO22" i="2"/>
  <c r="Q26" i="2"/>
  <c r="AU12" i="2"/>
  <c r="Q13" i="2"/>
  <c r="AO14" i="2"/>
  <c r="Q17" i="2"/>
  <c r="AI23" i="2"/>
  <c r="AI19" i="2"/>
  <c r="W23" i="2"/>
  <c r="AU22" i="2"/>
  <c r="AU14" i="2"/>
  <c r="W17" i="2"/>
  <c r="Q19" i="2"/>
  <c r="AI21" i="2"/>
  <c r="AC23" i="2"/>
  <c r="AO27" i="2"/>
  <c r="AU13" i="2"/>
  <c r="W18" i="2"/>
  <c r="AI18" i="2"/>
  <c r="AO21" i="2"/>
  <c r="Q27" i="2"/>
  <c r="AC27" i="2"/>
  <c r="AC39" i="2"/>
  <c r="AI47" i="2"/>
  <c r="AO50" i="2"/>
  <c r="AC55" i="2"/>
  <c r="AO64" i="2"/>
  <c r="AU78" i="2"/>
  <c r="AU81" i="2"/>
  <c r="G99" i="2"/>
  <c r="H99" i="2" s="1"/>
  <c r="C156" i="2" s="1"/>
  <c r="Q14" i="2"/>
  <c r="AC14" i="2"/>
  <c r="AU17" i="2"/>
  <c r="W22" i="2"/>
  <c r="AI22" i="2"/>
  <c r="AO26" i="2"/>
  <c r="AO38" i="2"/>
  <c r="Q43" i="2"/>
  <c r="AC43" i="2"/>
  <c r="AU62" i="2"/>
  <c r="C155" i="2"/>
  <c r="Q16" i="2"/>
  <c r="AC16" i="2"/>
  <c r="AU19" i="2"/>
  <c r="W24" i="2"/>
  <c r="AI24" i="2"/>
  <c r="AU32" i="2"/>
  <c r="AO40" i="2"/>
  <c r="Q45" i="2"/>
  <c r="K56" i="2"/>
  <c r="K74" i="2"/>
  <c r="AC83" i="2"/>
  <c r="AO13" i="2"/>
  <c r="Q18" i="2"/>
  <c r="AC18" i="2"/>
  <c r="AU21" i="2"/>
  <c r="W27" i="2"/>
  <c r="AI27" i="2"/>
  <c r="AC47" i="2"/>
  <c r="AI55" i="2"/>
  <c r="K78" i="2"/>
  <c r="Q87" i="2"/>
  <c r="AC88" i="2"/>
  <c r="Q49" i="2"/>
  <c r="AC49" i="2"/>
  <c r="AO60" i="2"/>
  <c r="AI67" i="2"/>
  <c r="W69" i="2"/>
  <c r="Q71" i="2"/>
  <c r="K84" i="2"/>
  <c r="AO88" i="2"/>
  <c r="W14" i="2"/>
  <c r="AI14" i="2"/>
  <c r="AO17" i="2"/>
  <c r="Q22" i="2"/>
  <c r="AC22" i="2"/>
  <c r="AU26" i="2"/>
  <c r="Q35" i="2"/>
  <c r="AU38" i="2"/>
  <c r="W59" i="2"/>
  <c r="AI59" i="2"/>
  <c r="Q65" i="2"/>
  <c r="W84" i="2"/>
  <c r="G122" i="2"/>
  <c r="H122" i="2" s="1"/>
  <c r="W16" i="2"/>
  <c r="AI16" i="2"/>
  <c r="AO19" i="2"/>
  <c r="Q24" i="2"/>
  <c r="AC24" i="2"/>
  <c r="K30" i="2"/>
  <c r="AU40" i="2"/>
  <c r="Q53" i="2"/>
  <c r="AC53" i="2"/>
  <c r="AI81" i="2"/>
  <c r="H138" i="2"/>
  <c r="AU91" i="2" l="1"/>
  <c r="O158" i="2"/>
  <c r="K91" i="2"/>
  <c r="H101" i="2"/>
  <c r="B155" i="2"/>
  <c r="D155" i="2"/>
  <c r="H117" i="2"/>
  <c r="G158" i="2"/>
  <c r="W91" i="2"/>
  <c r="AI91" i="2"/>
  <c r="AO91" i="2"/>
  <c r="AC91" i="2"/>
  <c r="Q91" i="2"/>
  <c r="H109" i="2"/>
  <c r="E147" i="2"/>
  <c r="F147" i="2" s="1"/>
  <c r="N156" i="2" s="1"/>
  <c r="E123" i="2"/>
  <c r="F123" i="2" s="1"/>
  <c r="H156" i="2" s="1"/>
  <c r="E131" i="2"/>
  <c r="F131" i="2" s="1"/>
  <c r="J156" i="2" s="1"/>
  <c r="E139" i="2"/>
  <c r="F139" i="2" s="1"/>
  <c r="L156" i="2" s="1"/>
  <c r="E115" i="2"/>
  <c r="F115" i="2" s="1"/>
  <c r="F156" i="2" s="1"/>
  <c r="E107" i="2"/>
  <c r="F107" i="2" s="1"/>
  <c r="E99" i="2"/>
  <c r="F99" i="2" s="1"/>
  <c r="E140" i="2"/>
  <c r="F140" i="2" s="1"/>
  <c r="L157" i="2" s="1"/>
  <c r="E148" i="2"/>
  <c r="F148" i="2" s="1"/>
  <c r="N157" i="2" s="1"/>
  <c r="E124" i="2"/>
  <c r="F124" i="2" s="1"/>
  <c r="H157" i="2" s="1"/>
  <c r="H158" i="2" s="1"/>
  <c r="E132" i="2"/>
  <c r="F132" i="2" s="1"/>
  <c r="J157" i="2" s="1"/>
  <c r="J158" i="2" s="1"/>
  <c r="E116" i="2"/>
  <c r="F116" i="2" s="1"/>
  <c r="F157" i="2" s="1"/>
  <c r="F158" i="2" s="1"/>
  <c r="B157" i="2"/>
  <c r="E108" i="2"/>
  <c r="F108" i="2" s="1"/>
  <c r="D157" i="2" s="1"/>
  <c r="H133" i="2"/>
  <c r="K158" i="2"/>
  <c r="H149" i="2"/>
  <c r="C158" i="2"/>
  <c r="I155" i="2"/>
  <c r="I158" i="2" s="1"/>
  <c r="H125" i="2"/>
  <c r="M155" i="2"/>
  <c r="M158" i="2" s="1"/>
  <c r="H141" i="2"/>
  <c r="B163" i="2" l="1"/>
  <c r="B170" i="2" s="1"/>
  <c r="N158" i="2"/>
  <c r="F117" i="2"/>
  <c r="F109" i="2"/>
  <c r="F149" i="2"/>
  <c r="F133" i="2"/>
  <c r="F101" i="2"/>
  <c r="F125" i="2"/>
  <c r="F159" i="2"/>
  <c r="B156" i="2"/>
  <c r="B158" i="2" s="1"/>
  <c r="F141" i="2"/>
  <c r="L158" i="2"/>
  <c r="L159" i="2" s="1"/>
  <c r="D156" i="2"/>
  <c r="D158" i="2" s="1"/>
  <c r="D159" i="2" s="1"/>
  <c r="H159" i="2"/>
  <c r="J159" i="2"/>
  <c r="N159" i="2" l="1"/>
  <c r="B162" i="2"/>
  <c r="B159" i="2"/>
  <c r="B164" i="2" l="1"/>
  <c r="B169" i="2"/>
  <c r="B172" i="2" s="1"/>
  <c r="B173" i="2" l="1"/>
  <c r="B174" i="2" s="1"/>
  <c r="C172" i="2"/>
  <c r="H3" i="7"/>
  <c r="D30" i="1" l="1"/>
  <c r="D30" i="9"/>
  <c r="E3" i="7"/>
  <c r="E26" i="1"/>
  <c r="E27" i="1" s="1"/>
  <c r="F23" i="1" s="1"/>
  <c r="D31" i="1"/>
  <c r="D34" i="1" s="1"/>
  <c r="D35" i="1" s="1"/>
  <c r="B178" i="2"/>
  <c r="D178" i="2" s="1"/>
  <c r="E178" i="2" s="1"/>
  <c r="D39" i="9" l="1"/>
  <c r="D31" i="9"/>
  <c r="E179" i="2"/>
  <c r="C174" i="2" s="1"/>
  <c r="D174" i="2" s="1"/>
  <c r="D43" i="9" l="1"/>
</calcChain>
</file>

<file path=xl/comments1.xml><?xml version="1.0" encoding="utf-8"?>
<comments xmlns="http://schemas.openxmlformats.org/spreadsheetml/2006/main">
  <authors>
    <author>SIMAT SONSON</author>
  </authors>
  <commentList>
    <comment ref="C54" authorId="0" shapeId="0">
      <text>
        <r>
          <rPr>
            <b/>
            <sz val="9"/>
            <color indexed="81"/>
            <rFont val="Tahoma"/>
            <family val="2"/>
          </rPr>
          <t>SIMAT SONSON:</t>
        </r>
        <r>
          <rPr>
            <sz val="9"/>
            <color indexed="81"/>
            <rFont val="Tahoma"/>
            <family val="2"/>
          </rPr>
          <t xml:space="preserve">
pendiente manipuladora</t>
        </r>
      </text>
    </comment>
    <comment ref="C56" authorId="0" shapeId="0">
      <text>
        <r>
          <rPr>
            <b/>
            <sz val="9"/>
            <color indexed="81"/>
            <rFont val="Tahoma"/>
            <family val="2"/>
          </rPr>
          <t>SIMAT SONSON:</t>
        </r>
        <r>
          <rPr>
            <sz val="9"/>
            <color indexed="81"/>
            <rFont val="Tahoma"/>
            <family val="2"/>
          </rPr>
          <t xml:space="preserve">
pendiente manipuladora rechazaron la que habia x edad</t>
        </r>
      </text>
    </comment>
    <comment ref="A71" authorId="0" shapeId="0">
      <text>
        <r>
          <rPr>
            <b/>
            <sz val="9"/>
            <color indexed="81"/>
            <rFont val="Tahoma"/>
            <family val="2"/>
          </rPr>
          <t>SIMAT SONSON:</t>
        </r>
        <r>
          <rPr>
            <sz val="9"/>
            <color indexed="81"/>
            <rFont val="Tahoma"/>
            <family val="2"/>
          </rPr>
          <t xml:space="preserve">
pendiente de manipuladora</t>
        </r>
      </text>
    </comment>
    <comment ref="C81" authorId="0" shapeId="0">
      <text>
        <r>
          <rPr>
            <b/>
            <sz val="9"/>
            <color indexed="81"/>
            <rFont val="Tahoma"/>
            <family val="2"/>
          </rPr>
          <t>SIMAT SONSON:</t>
        </r>
        <r>
          <rPr>
            <sz val="9"/>
            <color indexed="81"/>
            <rFont val="Tahoma"/>
            <family val="2"/>
          </rPr>
          <t xml:space="preserve">
23 alumnos de COREDI pero son industrializados por lo tanto la manipuladora queda en rango 2</t>
        </r>
      </text>
    </comment>
  </commentList>
</comments>
</file>

<file path=xl/comments2.xml><?xml version="1.0" encoding="utf-8"?>
<comments xmlns="http://schemas.openxmlformats.org/spreadsheetml/2006/main">
  <authors>
    <author>SIMAT SONSON</author>
    <author>SIMAT SONSÓN</author>
  </authors>
  <commentList>
    <comment ref="A34" authorId="0" shapeId="0">
      <text>
        <r>
          <rPr>
            <b/>
            <sz val="9"/>
            <color indexed="81"/>
            <rFont val="Tahoma"/>
            <family val="2"/>
          </rPr>
          <t>SIMAT SONSON:</t>
        </r>
        <r>
          <rPr>
            <sz val="9"/>
            <color indexed="81"/>
            <rFont val="Tahoma"/>
            <family val="2"/>
          </rPr>
          <t xml:space="preserve">
pendiente de manipuladora</t>
        </r>
      </text>
    </comment>
    <comment ref="C35" authorId="1" shapeId="0">
      <text>
        <r>
          <rPr>
            <b/>
            <sz val="9"/>
            <color indexed="81"/>
            <rFont val="Tahoma"/>
            <family val="2"/>
          </rPr>
          <t>SIMAT SONSÓN:</t>
        </r>
        <r>
          <rPr>
            <sz val="9"/>
            <color indexed="81"/>
            <rFont val="Tahoma"/>
            <family val="2"/>
          </rPr>
          <t xml:space="preserve">
en el inicial tenia 7 estudiantes para este ya cuenta con 16 pasa a rango 2</t>
        </r>
      </text>
    </comment>
    <comment ref="D38" authorId="0" shapeId="0">
      <text>
        <r>
          <rPr>
            <b/>
            <sz val="9"/>
            <color indexed="81"/>
            <rFont val="Tahoma"/>
            <family val="2"/>
          </rPr>
          <t>SIMAT SONSON:</t>
        </r>
        <r>
          <rPr>
            <sz val="9"/>
            <color indexed="81"/>
            <rFont val="Tahoma"/>
            <family val="2"/>
          </rPr>
          <t xml:space="preserve">
las cruces se atiende en mariano ospina</t>
        </r>
      </text>
    </comment>
    <comment ref="A39" authorId="0" shapeId="0">
      <text>
        <r>
          <rPr>
            <b/>
            <sz val="9"/>
            <color indexed="81"/>
            <rFont val="Tahoma"/>
            <family val="2"/>
          </rPr>
          <t>SIMAT SONSON:</t>
        </r>
        <r>
          <rPr>
            <sz val="9"/>
            <color indexed="81"/>
            <rFont val="Tahoma"/>
            <family val="2"/>
          </rPr>
          <t xml:space="preserve">
pendiente manipuladora</t>
        </r>
      </text>
    </comment>
    <comment ref="A41" authorId="0" shapeId="0">
      <text>
        <r>
          <rPr>
            <b/>
            <sz val="9"/>
            <color indexed="81"/>
            <rFont val="Tahoma"/>
            <family val="2"/>
          </rPr>
          <t>SIMAT SONSON:</t>
        </r>
        <r>
          <rPr>
            <sz val="9"/>
            <color indexed="81"/>
            <rFont val="Tahoma"/>
            <family val="2"/>
          </rPr>
          <t xml:space="preserve">
pendiente manipuladora rechazaron la que habia x edad</t>
        </r>
      </text>
    </comment>
    <comment ref="A66" authorId="0" shapeId="0">
      <text>
        <r>
          <rPr>
            <b/>
            <sz val="9"/>
            <color indexed="81"/>
            <rFont val="Tahoma"/>
            <family val="2"/>
          </rPr>
          <t>SIMAT SONSON:</t>
        </r>
        <r>
          <rPr>
            <sz val="9"/>
            <color indexed="81"/>
            <rFont val="Tahoma"/>
            <family val="2"/>
          </rPr>
          <t xml:space="preserve">
23 alumnos de COREDI pero son industrializados por lo tanto la manipuladora queda en rango 2</t>
        </r>
      </text>
    </comment>
  </commentList>
</comments>
</file>

<file path=xl/comments3.xml><?xml version="1.0" encoding="utf-8"?>
<comments xmlns="http://schemas.openxmlformats.org/spreadsheetml/2006/main">
  <authors>
    <author>SIMAT SONSON</author>
  </authors>
  <commentList>
    <comment ref="A35" authorId="0" shapeId="0">
      <text>
        <r>
          <rPr>
            <b/>
            <sz val="9"/>
            <color indexed="81"/>
            <rFont val="Tahoma"/>
            <family val="2"/>
          </rPr>
          <t>SIMAT SONSON:</t>
        </r>
        <r>
          <rPr>
            <sz val="9"/>
            <color indexed="81"/>
            <rFont val="Tahoma"/>
            <family val="2"/>
          </rPr>
          <t xml:space="preserve">
pendiente de manipuladora</t>
        </r>
      </text>
    </comment>
    <comment ref="D38" authorId="0" shapeId="0">
      <text>
        <r>
          <rPr>
            <b/>
            <sz val="9"/>
            <color indexed="81"/>
            <rFont val="Tahoma"/>
            <family val="2"/>
          </rPr>
          <t>SIMAT SONSON:</t>
        </r>
        <r>
          <rPr>
            <sz val="9"/>
            <color indexed="81"/>
            <rFont val="Tahoma"/>
            <family val="2"/>
          </rPr>
          <t xml:space="preserve">
las cruces se atiende en mariano ospina</t>
        </r>
      </text>
    </comment>
    <comment ref="A39" authorId="0" shapeId="0">
      <text>
        <r>
          <rPr>
            <b/>
            <sz val="9"/>
            <color indexed="81"/>
            <rFont val="Tahoma"/>
            <family val="2"/>
          </rPr>
          <t>SIMAT SONSON:</t>
        </r>
        <r>
          <rPr>
            <sz val="9"/>
            <color indexed="81"/>
            <rFont val="Tahoma"/>
            <family val="2"/>
          </rPr>
          <t xml:space="preserve">
pendiente manipuladora</t>
        </r>
      </text>
    </comment>
    <comment ref="A41" authorId="0" shapeId="0">
      <text>
        <r>
          <rPr>
            <b/>
            <sz val="9"/>
            <color indexed="81"/>
            <rFont val="Tahoma"/>
            <family val="2"/>
          </rPr>
          <t>SIMAT SONSON:</t>
        </r>
        <r>
          <rPr>
            <sz val="9"/>
            <color indexed="81"/>
            <rFont val="Tahoma"/>
            <family val="2"/>
          </rPr>
          <t xml:space="preserve">
pendiente manipuladora rechazaron la que habia x edad</t>
        </r>
      </text>
    </comment>
    <comment ref="A66" authorId="0" shapeId="0">
      <text>
        <r>
          <rPr>
            <b/>
            <sz val="9"/>
            <color indexed="81"/>
            <rFont val="Tahoma"/>
            <family val="2"/>
          </rPr>
          <t>SIMAT SONSON:</t>
        </r>
        <r>
          <rPr>
            <sz val="9"/>
            <color indexed="81"/>
            <rFont val="Tahoma"/>
            <family val="2"/>
          </rPr>
          <t xml:space="preserve">
23 alumnos de COREDI pero son industrializados por lo tanto la manipuladora queda en rango 2</t>
        </r>
      </text>
    </comment>
    <comment ref="E185" authorId="0" shapeId="0">
      <text>
        <r>
          <rPr>
            <b/>
            <sz val="9"/>
            <color indexed="81"/>
            <rFont val="Tahoma"/>
            <family val="2"/>
          </rPr>
          <t>SIMAT SONSON:</t>
        </r>
        <r>
          <rPr>
            <sz val="9"/>
            <color indexed="81"/>
            <rFont val="Tahoma"/>
            <family val="2"/>
          </rPr>
          <t xml:space="preserve">
Diferencia queda a favor
</t>
        </r>
      </text>
    </comment>
  </commentList>
</comments>
</file>

<file path=xl/comments4.xml><?xml version="1.0" encoding="utf-8"?>
<comments xmlns="http://schemas.openxmlformats.org/spreadsheetml/2006/main">
  <authors>
    <author>SIMAT SONSON</author>
  </authors>
  <commentList>
    <comment ref="D3" authorId="0" shapeId="0">
      <text>
        <r>
          <rPr>
            <b/>
            <sz val="9"/>
            <color indexed="81"/>
            <rFont val="Tahoma"/>
            <family val="2"/>
          </rPr>
          <t>SIMAT SONSON:</t>
        </r>
        <r>
          <rPr>
            <sz val="9"/>
            <color indexed="81"/>
            <rFont val="Tahoma"/>
            <family val="2"/>
          </rPr>
          <t xml:space="preserve">
corresponde al SMLMV, según proyección del Gobierno Nacional aumenta el 11%
aun no es una cifra decretada</t>
        </r>
      </text>
    </comment>
    <comment ref="A25" authorId="0" shapeId="0">
      <text>
        <r>
          <rPr>
            <b/>
            <sz val="9"/>
            <color indexed="81"/>
            <rFont val="Tahoma"/>
            <family val="2"/>
          </rPr>
          <t>SIMAT SONSON:</t>
        </r>
        <r>
          <rPr>
            <sz val="9"/>
            <color indexed="81"/>
            <rFont val="Tahoma"/>
            <family val="2"/>
          </rPr>
          <t xml:space="preserve">
industrializada</t>
        </r>
      </text>
    </comment>
    <comment ref="D32" authorId="0" shapeId="0">
      <text>
        <r>
          <rPr>
            <b/>
            <sz val="9"/>
            <color indexed="81"/>
            <rFont val="Tahoma"/>
            <family val="2"/>
          </rPr>
          <t>SIMAT SONSON:</t>
        </r>
        <r>
          <rPr>
            <sz val="9"/>
            <color indexed="81"/>
            <rFont val="Tahoma"/>
            <family val="2"/>
          </rPr>
          <t xml:space="preserve">
las cruces se atiende en mariano ospina</t>
        </r>
      </text>
    </comment>
    <comment ref="A33" authorId="0" shapeId="0">
      <text>
        <r>
          <rPr>
            <b/>
            <sz val="9"/>
            <color indexed="81"/>
            <rFont val="Tahoma"/>
            <family val="2"/>
          </rPr>
          <t>SIMAT SONSON:</t>
        </r>
        <r>
          <rPr>
            <sz val="9"/>
            <color indexed="81"/>
            <rFont val="Tahoma"/>
            <family val="2"/>
          </rPr>
          <t xml:space="preserve">
pendiente manipuladora</t>
        </r>
      </text>
    </comment>
    <comment ref="A35" authorId="0" shapeId="0">
      <text>
        <r>
          <rPr>
            <b/>
            <sz val="9"/>
            <color indexed="81"/>
            <rFont val="Tahoma"/>
            <family val="2"/>
          </rPr>
          <t>SIMAT SONSON:</t>
        </r>
        <r>
          <rPr>
            <sz val="9"/>
            <color indexed="81"/>
            <rFont val="Tahoma"/>
            <family val="2"/>
          </rPr>
          <t xml:space="preserve">
pendiente manipuladora rechazaron la que habia x edad</t>
        </r>
      </text>
    </comment>
    <comment ref="A65" authorId="0" shapeId="0">
      <text>
        <r>
          <rPr>
            <b/>
            <sz val="9"/>
            <color indexed="81"/>
            <rFont val="Tahoma"/>
            <family val="2"/>
          </rPr>
          <t>SIMAT SONSON:</t>
        </r>
        <r>
          <rPr>
            <sz val="9"/>
            <color indexed="81"/>
            <rFont val="Tahoma"/>
            <family val="2"/>
          </rPr>
          <t xml:space="preserve">
pendiente de manipuladora</t>
        </r>
      </text>
    </comment>
  </commentList>
</comments>
</file>

<file path=xl/sharedStrings.xml><?xml version="1.0" encoding="utf-8"?>
<sst xmlns="http://schemas.openxmlformats.org/spreadsheetml/2006/main" count="1302" uniqueCount="326">
  <si>
    <t>PROYECCIÓN OPERACIÓN PAE 2026</t>
  </si>
  <si>
    <r>
      <rPr>
        <b/>
        <sz val="11"/>
        <color theme="1"/>
        <rFont val="Calibri"/>
        <family val="2"/>
        <scheme val="minor"/>
      </rPr>
      <t>NRO. DEL PROCESO EN SECOP II:</t>
    </r>
    <r>
      <rPr>
        <sz val="11"/>
        <color theme="1"/>
        <rFont val="Calibri"/>
        <family val="2"/>
        <scheme val="minor"/>
      </rPr>
      <t xml:space="preserve"> 26AS151F2610</t>
    </r>
  </si>
  <si>
    <r>
      <rPr>
        <b/>
        <sz val="11"/>
        <color theme="1"/>
        <rFont val="Calibri"/>
        <family val="2"/>
        <scheme val="minor"/>
      </rPr>
      <t xml:space="preserve">DIAS CALENDARIO ESCOLAR: </t>
    </r>
    <r>
      <rPr>
        <sz val="11"/>
        <color theme="1"/>
        <rFont val="Calibri"/>
        <family val="2"/>
        <scheme val="minor"/>
      </rPr>
      <t>111</t>
    </r>
  </si>
  <si>
    <r>
      <rPr>
        <b/>
        <sz val="11"/>
        <color theme="1"/>
        <rFont val="Calibri"/>
        <family val="2"/>
        <scheme val="minor"/>
      </rPr>
      <t>CÓDIGO UNSPSC:</t>
    </r>
    <r>
      <rPr>
        <sz val="11"/>
        <color theme="1"/>
        <rFont val="Calibri"/>
        <family val="2"/>
        <scheme val="minor"/>
      </rPr>
      <t xml:space="preserve"> 85151601 - Servicios de programación ed la nutrición</t>
    </r>
  </si>
  <si>
    <r>
      <rPr>
        <b/>
        <sz val="11"/>
        <color theme="1"/>
        <rFont val="Calibri"/>
        <family val="2"/>
        <scheme val="minor"/>
      </rPr>
      <t>OBJETO:</t>
    </r>
    <r>
      <rPr>
        <sz val="11"/>
        <color theme="1"/>
        <rFont val="Calibri"/>
        <family val="2"/>
        <scheme val="minor"/>
      </rPr>
      <t xml:space="preserve"> Integrar esfuerzos para la ejecución del Programa de Alimentación Escolar - PAE, para los niños, niñas y adolescentes de la matrícula oficial del municipio de SONSÓN - Antioquia, no certificado en educación, para la vigencia 2026</t>
    </r>
  </si>
  <si>
    <r>
      <rPr>
        <b/>
        <sz val="11"/>
        <color theme="1"/>
        <rFont val="Calibri"/>
        <family val="2"/>
        <scheme val="minor"/>
      </rPr>
      <t>VALOR APORTADO X GOBERNACIÓN:</t>
    </r>
    <r>
      <rPr>
        <sz val="11"/>
        <color theme="1"/>
        <rFont val="Calibri"/>
        <family val="2"/>
        <scheme val="minor"/>
      </rPr>
      <t xml:space="preserve"> $3.364.200.299</t>
    </r>
  </si>
  <si>
    <r>
      <rPr>
        <b/>
        <sz val="11"/>
        <color theme="1"/>
        <rFont val="Calibri"/>
        <family val="2"/>
        <scheme val="minor"/>
      </rPr>
      <t xml:space="preserve">TOTAL RACIONES PAE JORNADA ÚNICA: </t>
    </r>
    <r>
      <rPr>
        <sz val="11"/>
        <color theme="1"/>
        <rFont val="Calibri"/>
        <family val="2"/>
        <scheme val="minor"/>
      </rPr>
      <t>94.239</t>
    </r>
  </si>
  <si>
    <r>
      <rPr>
        <b/>
        <sz val="11"/>
        <color theme="1"/>
        <rFont val="Calibri"/>
        <family val="2"/>
        <scheme val="minor"/>
      </rPr>
      <t>TOTAL RACIONES PAE REGULAR:</t>
    </r>
    <r>
      <rPr>
        <sz val="11"/>
        <color theme="1"/>
        <rFont val="Calibri"/>
        <family val="2"/>
        <scheme val="minor"/>
      </rPr>
      <t xml:space="preserve"> 512.154</t>
    </r>
  </si>
  <si>
    <r>
      <rPr>
        <b/>
        <sz val="11"/>
        <color theme="1"/>
        <rFont val="Calibri"/>
        <family val="2"/>
        <scheme val="minor"/>
      </rPr>
      <t>NRO. BENEFICIARIOS PAE JORNADA ÚNICA:</t>
    </r>
    <r>
      <rPr>
        <sz val="11"/>
        <color theme="1"/>
        <rFont val="Calibri"/>
        <family val="2"/>
        <scheme val="minor"/>
      </rPr>
      <t xml:space="preserve"> 849</t>
    </r>
  </si>
  <si>
    <r>
      <rPr>
        <b/>
        <sz val="11"/>
        <color theme="1"/>
        <rFont val="Calibri"/>
        <family val="2"/>
        <scheme val="minor"/>
      </rPr>
      <t>NRO. BENEFICIARIOS PAE REGULAR:</t>
    </r>
    <r>
      <rPr>
        <sz val="11"/>
        <color theme="1"/>
        <rFont val="Calibri"/>
        <family val="2"/>
        <scheme val="minor"/>
      </rPr>
      <t xml:space="preserve"> 4.614</t>
    </r>
  </si>
  <si>
    <t>REGULAR</t>
  </si>
  <si>
    <t>ÚNICA</t>
  </si>
  <si>
    <t>TRANSPORTE</t>
  </si>
  <si>
    <t>KITS DE ASEO</t>
  </si>
  <si>
    <t>DOTACIÓN MANIPULADORAS</t>
  </si>
  <si>
    <t>Descripción</t>
  </si>
  <si>
    <t>Cantidad</t>
  </si>
  <si>
    <t>Valor Unitario</t>
  </si>
  <si>
    <t>Valor Total</t>
  </si>
  <si>
    <t>PROYECCIÓN PROCESADORAS DE ALIMENTOS 2026</t>
  </si>
  <si>
    <t>Sede</t>
  </si>
  <si>
    <t>Cantidad de Procesadoras</t>
  </si>
  <si>
    <t>C. E. R. ALTO DEL RAYO</t>
  </si>
  <si>
    <t>C. E. R. BOQUERON</t>
  </si>
  <si>
    <t>C. E. R. CAUNZAL</t>
  </si>
  <si>
    <t>C. E. R. EL BOSQUE</t>
  </si>
  <si>
    <t>C. E. R. EL CEDRO</t>
  </si>
  <si>
    <t>C. E. R. EL SALADO</t>
  </si>
  <si>
    <t>C. E. R. GREGORIO GUTIERREZ GONZALEZ</t>
  </si>
  <si>
    <t>C. E. R. LA FRANCIA</t>
  </si>
  <si>
    <t>C. E. R. LA HONDITA</t>
  </si>
  <si>
    <t>C. E. R. LA TORRE</t>
  </si>
  <si>
    <t>C. E. R. RIO VERDE</t>
  </si>
  <si>
    <t>C. E. R. ROBLALITO A</t>
  </si>
  <si>
    <t>C. E. R. ROBLALITO B</t>
  </si>
  <si>
    <t>C. E. R. SIRGUA ARRIBA</t>
  </si>
  <si>
    <t>C. E. R. SIRGUITA</t>
  </si>
  <si>
    <t>C. E. R. ZURRUMBAL</t>
  </si>
  <si>
    <t>C. E. R.  SIRGUA ABAJO</t>
  </si>
  <si>
    <t>I. E. BRAULIO MEJIA</t>
  </si>
  <si>
    <t>C. E. R. EL PORVENIR</t>
  </si>
  <si>
    <t>C. E. R. LA HERMOSA</t>
  </si>
  <si>
    <t>C. E. R. LA LINDA</t>
  </si>
  <si>
    <t>C. E. R. LA MESA</t>
  </si>
  <si>
    <t>C. E. R. LA PAZ SAN FRANCISCO</t>
  </si>
  <si>
    <t>C. E. R. MULATO ALTO</t>
  </si>
  <si>
    <t>C. E. R. SAN ANTONIO</t>
  </si>
  <si>
    <t>C. E. R. SAN RAFAEL</t>
  </si>
  <si>
    <t>C. E. R. SANTA ROSA LA DANTA</t>
  </si>
  <si>
    <t>C. E. R. SANTO DOMINGO</t>
  </si>
  <si>
    <t>I. E. R. JERUSALEN</t>
  </si>
  <si>
    <t>I. E. R. LA DANTA</t>
  </si>
  <si>
    <t>C. E. R. LOS LIMONES</t>
  </si>
  <si>
    <t>C. E. R. PIEDRAS BLANCAS</t>
  </si>
  <si>
    <t>I. E. R. SAN MIGUEL</t>
  </si>
  <si>
    <t>C. E. R. ALTO DE SABANA</t>
  </si>
  <si>
    <t>C. E. R. CHAVERRAS</t>
  </si>
  <si>
    <t>C. E. R. EL CHIRIMOYO</t>
  </si>
  <si>
    <t>C. E. R. LA CAPILLA</t>
  </si>
  <si>
    <t>C. E. R. LA MONTAÑITA</t>
  </si>
  <si>
    <t>C. E. R. LAUREANO GOMEZ</t>
  </si>
  <si>
    <t>C. E. R. LOS PLANES</t>
  </si>
  <si>
    <t>C. E. R. LOS POTREROS</t>
  </si>
  <si>
    <t>C. E. R. MAGALLO</t>
  </si>
  <si>
    <t>C. E. R. MANZANARES</t>
  </si>
  <si>
    <t>C. E. R. MANZANARES CENTRO</t>
  </si>
  <si>
    <t>I. E. INTEGRAL PARA JOVENES Y ADULTOS CELIA RAMOS TORO</t>
  </si>
  <si>
    <t>I. E. ROSA MARIA HENAO PAVAS</t>
  </si>
  <si>
    <t>C. E. R. ARENILLAL</t>
  </si>
  <si>
    <t>C. E. R. AURES SONSON</t>
  </si>
  <si>
    <t>C. E. R. BRASILAL</t>
  </si>
  <si>
    <t>C. E. R. CAÑAVERAL</t>
  </si>
  <si>
    <t>C. E. R. LA CIENAGA</t>
  </si>
  <si>
    <t>C. E. R. LAS BRISAS</t>
  </si>
  <si>
    <t>C. E. R. TASAJO</t>
  </si>
  <si>
    <t>C. E. R. VENTIADEROS</t>
  </si>
  <si>
    <t>I. E. R. LA SOLEDAD</t>
  </si>
  <si>
    <t>I. E. TECNICO AGROPECUARIO Y EN SALUD DE SONSÓN</t>
  </si>
  <si>
    <t>C. E. R. AGUADITA</t>
  </si>
  <si>
    <t>C. E. R. EL TIGRE EL CAUNZAL</t>
  </si>
  <si>
    <t>C. E. R. EL TIGRE LA HABANA</t>
  </si>
  <si>
    <t>C. E. R. GUAYAQUIL</t>
  </si>
  <si>
    <t>C. E. R. LA HABANA</t>
  </si>
  <si>
    <t>C. E. R. LA HONDA</t>
  </si>
  <si>
    <t>C. E. R. LA LOMA</t>
  </si>
  <si>
    <t>C. E. R. LA PALMITA</t>
  </si>
  <si>
    <t>C. E. R. MARTHA PANESSO DE TORO</t>
  </si>
  <si>
    <t>C. E. R. MURRINGO</t>
  </si>
  <si>
    <t>C. E. R. NARANJAL ABAJO</t>
  </si>
  <si>
    <t>C. E. R. NARANJAL ARRIBA</t>
  </si>
  <si>
    <t>C. E. R. NORI</t>
  </si>
  <si>
    <t>C. E. R. SAN JERONIMO</t>
  </si>
  <si>
    <t>C. E. R. TOMAS CARRASQUILLA</t>
  </si>
  <si>
    <t>C. E. R. YARUMAL</t>
  </si>
  <si>
    <t>I. E. TECNICO INDUSTRIAL ANTONIO ALVAREZ RESTREPO</t>
  </si>
  <si>
    <t>C. E. R. BEATO FRAY MELQUIADES RAMIREZ</t>
  </si>
  <si>
    <t>C. E. R. EL BRASIL</t>
  </si>
  <si>
    <t>C. E. R. EL RODEO</t>
  </si>
  <si>
    <t>C. E. R. EL SALTO</t>
  </si>
  <si>
    <t>C. E. R. GUAMAL</t>
  </si>
  <si>
    <t>C. E. R. LA ARGENTINA</t>
  </si>
  <si>
    <t>C. E. R. LA FALDA</t>
  </si>
  <si>
    <t>C. E. R. LLANADAS ABAJO</t>
  </si>
  <si>
    <t>C. E. R. LLANADAS SANTA CLARA</t>
  </si>
  <si>
    <t>C. E. R. MARIANO OSPINA PEREZ</t>
  </si>
  <si>
    <t>C. E. R. MEDIA CUESTA</t>
  </si>
  <si>
    <t>C. E. R. RIO ARRIBA</t>
  </si>
  <si>
    <t>C. E. R. ROBLAL ARRIBA</t>
  </si>
  <si>
    <t>C. E. R. SAN JOSE DE LAS CRUCES</t>
  </si>
  <si>
    <t>C. E. R. SANTA MARTA</t>
  </si>
  <si>
    <t xml:space="preserve">ESCUELA HOGAR SAN ELIAS </t>
  </si>
  <si>
    <t>I. E. ESCUELA NORMAL SUPERIOR PRESBITERO JOSE GOMEZ ISAZA</t>
  </si>
  <si>
    <t>SEDES INDUSTRIALIZADAS</t>
  </si>
  <si>
    <t>SUPERNUMERARIA URBANA</t>
  </si>
  <si>
    <t>MANIPULADORAS</t>
  </si>
  <si>
    <t>GLOBAL</t>
  </si>
  <si>
    <t>TOTAL</t>
  </si>
  <si>
    <t>Cantidad Alumnos a Noviembre de 2025</t>
  </si>
  <si>
    <t>Alumnos COREDI</t>
  </si>
  <si>
    <t>Total Alumnos</t>
  </si>
  <si>
    <t>Total Procesadoras</t>
  </si>
  <si>
    <t>Salario Base</t>
  </si>
  <si>
    <t>Honorarios x Día</t>
  </si>
  <si>
    <t>Rango Procesadoras de Alimentos</t>
  </si>
  <si>
    <t>IBC</t>
  </si>
  <si>
    <t>RANGO 3 (&gt;=44 estudiantes) 130%</t>
  </si>
  <si>
    <t>ENERO</t>
  </si>
  <si>
    <t>Días Laborales</t>
  </si>
  <si>
    <t>Honorarios</t>
  </si>
  <si>
    <t>salud 12,5%</t>
  </si>
  <si>
    <t>riesgos (R3) 2,436%</t>
  </si>
  <si>
    <t>pensión 16%</t>
  </si>
  <si>
    <t>Total Manipuladora</t>
  </si>
  <si>
    <t>FEBRERO</t>
  </si>
  <si>
    <t>MARZO</t>
  </si>
  <si>
    <t>ABRIL</t>
  </si>
  <si>
    <t>MAYO</t>
  </si>
  <si>
    <t>JUNIO</t>
  </si>
  <si>
    <t>Rango</t>
  </si>
  <si>
    <t>Cantidad Procesadoras</t>
  </si>
  <si>
    <t>RESUMEN INVERSIÓN PROCESADORAS</t>
  </si>
  <si>
    <t>X 1 Procesadora</t>
  </si>
  <si>
    <t>HONORARIOS ENERO</t>
  </si>
  <si>
    <t>Seguridad Social X 1 Procesadora</t>
  </si>
  <si>
    <t>Total Seguridad Social</t>
  </si>
  <si>
    <t>HONORARIOS FEBRERO</t>
  </si>
  <si>
    <t>RANGO 1</t>
  </si>
  <si>
    <t>RANGO 2</t>
  </si>
  <si>
    <t>RANGO 3</t>
  </si>
  <si>
    <t>HONORARIOS MARZO</t>
  </si>
  <si>
    <t>HONORARIOS ABRIL</t>
  </si>
  <si>
    <t>HONORARIOS MAYO</t>
  </si>
  <si>
    <t>HONORARIOS JUNIO</t>
  </si>
  <si>
    <t>RESUMEN GENERAL</t>
  </si>
  <si>
    <t>Seguridad</t>
  </si>
  <si>
    <t>Valor Total Inversión</t>
  </si>
  <si>
    <t>Subtotales</t>
  </si>
  <si>
    <t>JULIO</t>
  </si>
  <si>
    <t>TOTAL INVERSIÓN MANIPULADORAS</t>
  </si>
  <si>
    <t>Seguridad Social</t>
  </si>
  <si>
    <t>Total</t>
  </si>
  <si>
    <t>APORTE GOBERNACIÓN</t>
  </si>
  <si>
    <t>APORTE MUNICIPIO</t>
  </si>
  <si>
    <t>RANGO 2 (16-43 estudiantes) 95%</t>
  </si>
  <si>
    <t>RANGO 1 (7-15 estudiantes) 65%</t>
  </si>
  <si>
    <t>PLAN DE CAPACITACIÓN</t>
  </si>
  <si>
    <t>Unidad</t>
  </si>
  <si>
    <t>Capacitador</t>
  </si>
  <si>
    <t>Almuerzo</t>
  </si>
  <si>
    <t>Refrigerio</t>
  </si>
  <si>
    <t>Persona</t>
  </si>
  <si>
    <t>Zona Urbana</t>
  </si>
  <si>
    <t>Magdalena Medio</t>
  </si>
  <si>
    <t>Sub Total</t>
  </si>
  <si>
    <t>TOTAL INVERSIÓN MANIPULADORAS (Tabla contrato)</t>
  </si>
  <si>
    <t>valor trabajado en 2025</t>
  </si>
  <si>
    <t>PAE Regular</t>
  </si>
  <si>
    <t>PAE Jornada Única</t>
  </si>
  <si>
    <t>Transporte</t>
  </si>
  <si>
    <t>kits de aseo</t>
  </si>
  <si>
    <t>Dotación manipuladoras</t>
  </si>
  <si>
    <t>DEDUCCIONES</t>
  </si>
  <si>
    <t>Nombre Estampilla</t>
  </si>
  <si>
    <t>Tarifa Gobernación</t>
  </si>
  <si>
    <t>Tarifa Municipio</t>
  </si>
  <si>
    <t>Impuesto de timbre</t>
  </si>
  <si>
    <t>Servicios</t>
  </si>
  <si>
    <t>Estampilla Pro-Cultura</t>
  </si>
  <si>
    <t xml:space="preserve">RETEICA </t>
  </si>
  <si>
    <t>Estampilla Pro-Adulto Mayor</t>
  </si>
  <si>
    <t>Estampilla Pro-Hospital</t>
  </si>
  <si>
    <t>Estampilla Pro-Deporte</t>
  </si>
  <si>
    <t>Estampilla para la justicia familiar</t>
  </si>
  <si>
    <t>IPC</t>
  </si>
  <si>
    <t>Valor cotización 2026 incluye descuentos</t>
  </si>
  <si>
    <t>convenio 1</t>
  </si>
  <si>
    <t>convenio 2</t>
  </si>
  <si>
    <t>adicion</t>
  </si>
  <si>
    <t>prodeporte no tenido en cuenta</t>
  </si>
  <si>
    <t>reconocimiento del 1,3% (estampilla departamental) que se descontó en 2025</t>
  </si>
  <si>
    <t>AIIU Manipuladoras</t>
  </si>
  <si>
    <t>en dos tandas</t>
  </si>
  <si>
    <t>Valor trabajado en 2025 con impuestos incluidos</t>
  </si>
  <si>
    <t>Prodeporte no tenido en cuenta</t>
  </si>
  <si>
    <t>Material para talleres</t>
  </si>
  <si>
    <t>global</t>
  </si>
  <si>
    <t>capacitaciones</t>
  </si>
  <si>
    <t>tener en cuenta que la vigencia futura solo es por 500 millones</t>
  </si>
  <si>
    <t>municipio manipuladoras</t>
  </si>
  <si>
    <t>PROYECCIÓN X 111 DÍAS CALENDARIO ESCOLAR RACIONES Y 106 DIAS MANIPULADORAS</t>
  </si>
  <si>
    <t>Aporte Gobernación</t>
  </si>
  <si>
    <t>Aporte Municipio</t>
  </si>
  <si>
    <t>Total deducciones</t>
  </si>
  <si>
    <t>HONORARIOS JULIO (9 días laborales - 16 días de seguridad)</t>
  </si>
  <si>
    <t xml:space="preserve">Total </t>
  </si>
  <si>
    <t>ADMINISTRACIÓN</t>
  </si>
  <si>
    <t>JULIO (Hasta el 10 de julio) (5 días laborales, 10 días de seguridad)</t>
  </si>
  <si>
    <t xml:space="preserve">AIU 26,1% </t>
  </si>
  <si>
    <t>JUNIO (hasta el 12 de junio - 9 días laborales y 12 de seguridad)</t>
  </si>
  <si>
    <t>DISCRIMINACIÓN APORTES</t>
  </si>
  <si>
    <t>Contrato Inicial</t>
  </si>
  <si>
    <t>Adición 001</t>
  </si>
  <si>
    <t>Manipuladoras</t>
  </si>
  <si>
    <t>Regular</t>
  </si>
  <si>
    <t>Única</t>
  </si>
  <si>
    <t>Dotación Manipuladoras</t>
  </si>
  <si>
    <t>Kits de Aseo</t>
  </si>
  <si>
    <t>Raciones Aición 001</t>
  </si>
  <si>
    <t>23 DÍAS CALENDARIO ESCOLAR MÁS</t>
  </si>
  <si>
    <r>
      <rPr>
        <b/>
        <sz val="11"/>
        <color theme="1"/>
        <rFont val="Calibri"/>
        <family val="2"/>
        <scheme val="minor"/>
      </rPr>
      <t xml:space="preserve">DIAS CALENDARIO ESCOLAR: </t>
    </r>
    <r>
      <rPr>
        <sz val="11"/>
        <color theme="1"/>
        <rFont val="Calibri"/>
        <family val="2"/>
        <scheme val="minor"/>
      </rPr>
      <t>111 + 23 = 134</t>
    </r>
  </si>
  <si>
    <r>
      <rPr>
        <b/>
        <sz val="11"/>
        <color theme="1"/>
        <rFont val="Calibri"/>
        <family val="2"/>
        <scheme val="minor"/>
      </rPr>
      <t>VALOR APORTADO X GOBERNACIÓN:</t>
    </r>
    <r>
      <rPr>
        <sz val="11"/>
        <color theme="1"/>
        <rFont val="Calibri"/>
        <family val="2"/>
        <scheme val="minor"/>
      </rPr>
      <t xml:space="preserve"> $3.364.200.299 + $833.687.557 = $4.197.887.856</t>
    </r>
  </si>
  <si>
    <r>
      <rPr>
        <b/>
        <sz val="11"/>
        <color theme="1"/>
        <rFont val="Calibri"/>
        <family val="2"/>
        <scheme val="minor"/>
      </rPr>
      <t>TOTAL RACIONES PAE REGULAR:</t>
    </r>
    <r>
      <rPr>
        <sz val="11"/>
        <color theme="1"/>
        <rFont val="Calibri"/>
        <family val="2"/>
        <scheme val="minor"/>
      </rPr>
      <t xml:space="preserve"> 512.154 + 106.122 = 618.276</t>
    </r>
  </si>
  <si>
    <r>
      <rPr>
        <b/>
        <sz val="11"/>
        <color theme="1"/>
        <rFont val="Calibri"/>
        <family val="2"/>
        <scheme val="minor"/>
      </rPr>
      <t xml:space="preserve">TOTAL RACIONES PAE JORNADA ÚNICA: </t>
    </r>
    <r>
      <rPr>
        <sz val="11"/>
        <color theme="1"/>
        <rFont val="Calibri"/>
        <family val="2"/>
        <scheme val="minor"/>
      </rPr>
      <t>94.239 + 19.527 = 113.766</t>
    </r>
  </si>
  <si>
    <t>COREDI BRASILAL</t>
  </si>
  <si>
    <t>COREDI CAUNZAL</t>
  </si>
  <si>
    <t xml:space="preserve">Raciones que agarra la adición del 28 al 31 </t>
  </si>
  <si>
    <t>AGOSTO</t>
  </si>
  <si>
    <t>hasta el 31 de Agosto</t>
  </si>
  <si>
    <t>JUNIO (9 días laborales y todo el mes de seguridad)</t>
  </si>
  <si>
    <t>AGOSTO (hasta el 31 de Agosto) hasta esta fecha va la adición 01 de la gobernación</t>
  </si>
  <si>
    <t>Total Mes</t>
  </si>
  <si>
    <t>HONORARIOS JULIO (9 días laborales - seguridad mes completo)</t>
  </si>
  <si>
    <t>HONORARIOS AGOSTO</t>
  </si>
  <si>
    <t>Deducciones</t>
  </si>
  <si>
    <t>ADMINISTRACIÓN 5% neto</t>
  </si>
  <si>
    <t>ADMINISTRACIÓN 5% despues de deducciones</t>
  </si>
  <si>
    <t>PROYECCIÓN X 111 DÍAS CALENDARIO ESCOLAR</t>
  </si>
  <si>
    <t>PROYECCIÓN X 134 DÍAS CALENDARIO ESCOLAR (Hasta el 31 de Agosto)</t>
  </si>
  <si>
    <t>Totales</t>
  </si>
  <si>
    <t>Aporte Gobernación Adición 001</t>
  </si>
  <si>
    <t>Aporte Municipio Adición 001</t>
  </si>
  <si>
    <t>Total convenio + Adicion 001</t>
  </si>
  <si>
    <t>Aporte Gobernación inicial</t>
  </si>
  <si>
    <t>Aporte Municipio inicial</t>
  </si>
  <si>
    <t>RANGO 1 (1-15 estudiantes) 65%</t>
  </si>
  <si>
    <t>ok</t>
  </si>
  <si>
    <t>Raciones hasta el 28 de julio</t>
  </si>
  <si>
    <t>Segundo Contrato</t>
  </si>
  <si>
    <t>SEPTIEMBRE</t>
  </si>
  <si>
    <t>OCTUBRE</t>
  </si>
  <si>
    <t>NOVIEMBRE</t>
  </si>
  <si>
    <t>VALOR APORTADO X GOBERNACIÓN:</t>
  </si>
  <si>
    <t>TOTAL RACIONES PAE REGULAR:</t>
  </si>
  <si>
    <t>TOTAL RACIONES PAE JORNADA ÚNICA:</t>
  </si>
  <si>
    <t>PROYECCIÓN X 53 DÍAS CALENDARIO ESCOLAR</t>
  </si>
  <si>
    <t>Cantidad Alumnos al 03-08-2026</t>
  </si>
  <si>
    <t>NOVIEMBRE (hasta el 24 para ajustar los 53 días del convenio)</t>
  </si>
  <si>
    <t>HONORARIOS SEPTIEMBRE</t>
  </si>
  <si>
    <t>HONORARIOS OCTUBRE</t>
  </si>
  <si>
    <t>Total X Rango</t>
  </si>
  <si>
    <t>APORTES</t>
  </si>
  <si>
    <t>Gobernación</t>
  </si>
  <si>
    <t>Municipio</t>
  </si>
  <si>
    <r>
      <rPr>
        <b/>
        <sz val="11"/>
        <color theme="1"/>
        <rFont val="Calibri"/>
        <family val="2"/>
        <scheme val="minor"/>
      </rPr>
      <t>NRO. DEL PROCESO EN SECOP II:</t>
    </r>
    <r>
      <rPr>
        <sz val="11"/>
        <color theme="1"/>
        <rFont val="Calibri"/>
        <family val="2"/>
        <scheme val="minor"/>
      </rPr>
      <t xml:space="preserve"> </t>
    </r>
  </si>
  <si>
    <t>Raciones</t>
  </si>
  <si>
    <t>Total - Deducciones</t>
  </si>
  <si>
    <t>MUNICIPIO</t>
  </si>
  <si>
    <t>Total Aporte</t>
  </si>
  <si>
    <r>
      <t xml:space="preserve">DIAS CALENDARIO ESCOLAR: </t>
    </r>
    <r>
      <rPr>
        <sz val="11"/>
        <color theme="1"/>
        <rFont val="Calibri"/>
        <family val="2"/>
        <scheme val="minor"/>
      </rPr>
      <t>53</t>
    </r>
  </si>
  <si>
    <t>VALOR CONTRATO INICIAL</t>
  </si>
  <si>
    <t>NRO. CONVENIO GOBERNACIÓN:</t>
  </si>
  <si>
    <r>
      <rPr>
        <b/>
        <sz val="11"/>
        <color theme="1"/>
        <rFont val="Calibri"/>
        <family val="2"/>
        <scheme val="minor"/>
      </rPr>
      <t>CÓDIGO UNSPSC:</t>
    </r>
    <r>
      <rPr>
        <sz val="11"/>
        <color theme="1"/>
        <rFont val="Calibri"/>
        <family val="2"/>
        <scheme val="minor"/>
      </rPr>
      <t xml:space="preserve"> 85151601 - Servicios de programación de la nutrición</t>
    </r>
  </si>
  <si>
    <t>Raciones:</t>
  </si>
  <si>
    <t>Manipuladoras:</t>
  </si>
  <si>
    <t>VALOR ADICIÓN 001</t>
  </si>
  <si>
    <t>50% del contrato inicial:</t>
  </si>
  <si>
    <t>VALOR ADICIÓN 002:</t>
  </si>
  <si>
    <t>KITS DE ASEO (1 kit)</t>
  </si>
  <si>
    <t>OCTUBRE  (hasta el 15 de octubre, 11 días laborales y 15 de seguridad social)</t>
  </si>
  <si>
    <t>Total X Mes</t>
  </si>
  <si>
    <t xml:space="preserve">Seguridad Social </t>
  </si>
  <si>
    <t>Cantidad de Procesadoras x Rango</t>
  </si>
  <si>
    <t>MES</t>
  </si>
  <si>
    <t>Octubre</t>
  </si>
  <si>
    <t>Días laborales</t>
  </si>
  <si>
    <t>Valor Día</t>
  </si>
  <si>
    <t>Valor Honorarios 
Total Procesadoras X Rango</t>
  </si>
  <si>
    <t>Valor Seguridad
Total Procesadoras X Rango</t>
  </si>
  <si>
    <t>Valor Seguridad X 
1 Procesadora</t>
  </si>
  <si>
    <t>Total Honorarios</t>
  </si>
  <si>
    <t>Total Seguridad</t>
  </si>
  <si>
    <t>Valor Total 
Procesadoras X Mes</t>
  </si>
  <si>
    <t>Noviembre</t>
  </si>
  <si>
    <t>hasta el 27 de noviembre ya que el calendario escolar va hasta el 29 de noviembre</t>
  </si>
  <si>
    <t>Días de Seguridad</t>
  </si>
  <si>
    <t>Sede Educativa</t>
  </si>
  <si>
    <t>PROCESADORAS  RANGO 1</t>
  </si>
  <si>
    <t>PROCESADORAS  RANGO 2</t>
  </si>
  <si>
    <t>PROCESADORAS  RANGO 3</t>
  </si>
  <si>
    <t>Total - Administración</t>
  </si>
  <si>
    <t>Aporte total Gobernación</t>
  </si>
  <si>
    <t>Raciones OTRO SI 2</t>
  </si>
  <si>
    <t>Manipuladoras OTRO SI 2</t>
  </si>
  <si>
    <t>Total Aporte OTRO SI 2</t>
  </si>
  <si>
    <t>OTRO SI NRO. 002</t>
  </si>
  <si>
    <t>NUEVO CONTRATO</t>
  </si>
  <si>
    <t xml:space="preserve">Raciones </t>
  </si>
  <si>
    <t xml:space="preserve">Total Aporte </t>
  </si>
  <si>
    <t>Sobra</t>
  </si>
  <si>
    <t>aseo</t>
  </si>
  <si>
    <t>manipuladoras</t>
  </si>
  <si>
    <t>dotacion</t>
  </si>
  <si>
    <t>transporte</t>
  </si>
  <si>
    <t>ADICION 02</t>
  </si>
  <si>
    <t xml:space="preserve">DOS DIAS </t>
  </si>
  <si>
    <t>Valor Honorarios X mes 
1 Procesadora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</si>
</sst>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6" formatCode="&quot;$&quot;\ #,##0;[Red]\-&quot;$&quot;\ #,##0"/>
    <numFmt numFmtId="164" formatCode="0.0%"/>
    <numFmt numFmtId="165" formatCode="#,##0.0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theme="1"/>
      <name val="Calibri"/>
      <family val="2"/>
      <scheme val="minor"/>
    </font>
  </fonts>
  <fills count="22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-0.249977111117893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6" fillId="0" borderId="0" applyFont="0" applyFill="0" applyBorder="0" applyAlignment="0" applyProtection="0"/>
  </cellStyleXfs>
  <cellXfs count="255">
    <xf numFmtId="0" fontId="0" fillId="0" borderId="0" xfId="0"/>
    <xf numFmtId="3" fontId="0" fillId="0" borderId="0" xfId="0" applyNumberFormat="1"/>
    <xf numFmtId="3" fontId="0" fillId="0" borderId="1" xfId="0" applyNumberFormat="1" applyBorder="1"/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0" fillId="0" borderId="1" xfId="0" applyFill="1" applyBorder="1" applyAlignment="1">
      <alignment horizontal="left" vertical="center"/>
    </xf>
    <xf numFmtId="0" fontId="0" fillId="0" borderId="1" xfId="0" applyBorder="1"/>
    <xf numFmtId="0" fontId="1" fillId="0" borderId="1" xfId="0" applyFont="1" applyBorder="1" applyAlignment="1">
      <alignment horizontal="center"/>
    </xf>
    <xf numFmtId="0" fontId="0" fillId="0" borderId="0" xfId="0" applyAlignment="1">
      <alignment wrapText="1"/>
    </xf>
    <xf numFmtId="0" fontId="0" fillId="0" borderId="0" xfId="0" applyAlignment="1">
      <alignment horizontal="center" wrapText="1"/>
    </xf>
    <xf numFmtId="0" fontId="1" fillId="0" borderId="0" xfId="0" applyFont="1" applyAlignment="1">
      <alignment horizontal="center" vertical="center" wrapText="1"/>
    </xf>
    <xf numFmtId="0" fontId="2" fillId="0" borderId="1" xfId="0" applyFont="1" applyFill="1" applyBorder="1" applyAlignment="1">
      <alignment vertical="center" wrapText="1"/>
    </xf>
    <xf numFmtId="0" fontId="0" fillId="0" borderId="0" xfId="0" applyFill="1" applyAlignment="1">
      <alignment wrapText="1"/>
    </xf>
    <xf numFmtId="0" fontId="1" fillId="0" borderId="1" xfId="0" applyFont="1" applyBorder="1" applyAlignment="1">
      <alignment horizontal="center" vertical="center" wrapText="1"/>
    </xf>
    <xf numFmtId="0" fontId="0" fillId="0" borderId="1" xfId="0" applyFill="1" applyBorder="1"/>
    <xf numFmtId="3" fontId="1" fillId="0" borderId="1" xfId="0" applyNumberFormat="1" applyFont="1" applyBorder="1"/>
    <xf numFmtId="3" fontId="0" fillId="0" borderId="1" xfId="0" applyNumberFormat="1" applyBorder="1" applyAlignment="1">
      <alignment horizontal="center" wrapText="1"/>
    </xf>
    <xf numFmtId="3" fontId="0" fillId="2" borderId="1" xfId="0" applyNumberFormat="1" applyFill="1" applyBorder="1" applyAlignment="1">
      <alignment horizontal="center" wrapText="1"/>
    </xf>
    <xf numFmtId="3" fontId="0" fillId="3" borderId="1" xfId="0" applyNumberFormat="1" applyFill="1" applyBorder="1" applyAlignment="1">
      <alignment horizontal="center" wrapText="1"/>
    </xf>
    <xf numFmtId="3" fontId="0" fillId="4" borderId="1" xfId="0" applyNumberFormat="1" applyFill="1" applyBorder="1" applyAlignment="1">
      <alignment horizontal="center" wrapText="1"/>
    </xf>
    <xf numFmtId="0" fontId="1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0" xfId="0" applyBorder="1"/>
    <xf numFmtId="3" fontId="0" fillId="4" borderId="5" xfId="0" applyNumberFormat="1" applyFill="1" applyBorder="1" applyAlignment="1">
      <alignment horizontal="center" wrapText="1"/>
    </xf>
    <xf numFmtId="0" fontId="1" fillId="0" borderId="1" xfId="0" applyFont="1" applyBorder="1" applyAlignment="1">
      <alignment horizontal="center" wrapText="1"/>
    </xf>
    <xf numFmtId="0" fontId="0" fillId="3" borderId="1" xfId="0" applyFill="1" applyBorder="1" applyAlignment="1">
      <alignment horizontal="left" wrapText="1"/>
    </xf>
    <xf numFmtId="0" fontId="0" fillId="4" borderId="1" xfId="0" applyFill="1" applyBorder="1" applyAlignment="1">
      <alignment horizontal="left" wrapText="1"/>
    </xf>
    <xf numFmtId="0" fontId="0" fillId="2" borderId="1" xfId="0" applyFill="1" applyBorder="1" applyAlignment="1">
      <alignment horizontal="left" wrapText="1"/>
    </xf>
    <xf numFmtId="0" fontId="1" fillId="0" borderId="1" xfId="0" applyFont="1" applyBorder="1" applyAlignment="1">
      <alignment horizontal="center" vertical="center"/>
    </xf>
    <xf numFmtId="0" fontId="2" fillId="3" borderId="1" xfId="0" applyFont="1" applyFill="1" applyBorder="1" applyAlignment="1">
      <alignment vertical="center" wrapText="1"/>
    </xf>
    <xf numFmtId="0" fontId="0" fillId="3" borderId="1" xfId="0" applyFill="1" applyBorder="1"/>
    <xf numFmtId="0" fontId="0" fillId="3" borderId="0" xfId="0" applyFill="1"/>
    <xf numFmtId="0" fontId="2" fillId="4" borderId="1" xfId="0" applyFont="1" applyFill="1" applyBorder="1" applyAlignment="1">
      <alignment vertical="center" wrapText="1"/>
    </xf>
    <xf numFmtId="0" fontId="0" fillId="4" borderId="1" xfId="0" applyFill="1" applyBorder="1"/>
    <xf numFmtId="0" fontId="0" fillId="4" borderId="0" xfId="0" applyFill="1"/>
    <xf numFmtId="0" fontId="2" fillId="2" borderId="1" xfId="0" applyFont="1" applyFill="1" applyBorder="1" applyAlignment="1">
      <alignment vertical="center" wrapText="1"/>
    </xf>
    <xf numFmtId="0" fontId="0" fillId="2" borderId="1" xfId="0" applyFill="1" applyBorder="1"/>
    <xf numFmtId="0" fontId="0" fillId="2" borderId="0" xfId="0" applyFill="1"/>
    <xf numFmtId="0" fontId="0" fillId="2" borderId="1" xfId="0" applyFill="1" applyBorder="1" applyAlignment="1">
      <alignment wrapText="1"/>
    </xf>
    <xf numFmtId="3" fontId="1" fillId="0" borderId="1" xfId="0" applyNumberFormat="1" applyFont="1" applyFill="1" applyBorder="1" applyAlignment="1">
      <alignment horizontal="center" vertical="center" wrapText="1"/>
    </xf>
    <xf numFmtId="3" fontId="1" fillId="0" borderId="1" xfId="0" applyNumberFormat="1" applyFont="1" applyFill="1" applyBorder="1" applyAlignment="1">
      <alignment horizontal="center" vertical="center"/>
    </xf>
    <xf numFmtId="3" fontId="0" fillId="3" borderId="1" xfId="0" applyNumberFormat="1" applyFill="1" applyBorder="1"/>
    <xf numFmtId="3" fontId="0" fillId="4" borderId="1" xfId="0" applyNumberFormat="1" applyFill="1" applyBorder="1"/>
    <xf numFmtId="3" fontId="0" fillId="2" borderId="1" xfId="0" applyNumberFormat="1" applyFill="1" applyBorder="1"/>
    <xf numFmtId="3" fontId="0" fillId="3" borderId="0" xfId="0" applyNumberFormat="1" applyFill="1"/>
    <xf numFmtId="3" fontId="0" fillId="4" borderId="0" xfId="0" applyNumberFormat="1" applyFill="1"/>
    <xf numFmtId="3" fontId="0" fillId="2" borderId="0" xfId="0" applyNumberFormat="1" applyFill="1"/>
    <xf numFmtId="0" fontId="0" fillId="0" borderId="5" xfId="0" applyBorder="1"/>
    <xf numFmtId="0" fontId="1" fillId="0" borderId="5" xfId="0" applyFont="1" applyBorder="1"/>
    <xf numFmtId="3" fontId="0" fillId="0" borderId="5" xfId="0" applyNumberFormat="1" applyBorder="1"/>
    <xf numFmtId="3" fontId="1" fillId="0" borderId="5" xfId="0" applyNumberFormat="1" applyFont="1" applyBorder="1"/>
    <xf numFmtId="3" fontId="0" fillId="0" borderId="0" xfId="0" applyNumberFormat="1" applyBorder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3" fontId="1" fillId="0" borderId="1" xfId="0" applyNumberFormat="1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3" fontId="1" fillId="0" borderId="0" xfId="0" applyNumberFormat="1" applyFont="1" applyBorder="1" applyAlignment="1">
      <alignment horizontal="center" vertical="center" wrapText="1"/>
    </xf>
    <xf numFmtId="3" fontId="0" fillId="0" borderId="0" xfId="0" applyNumberFormat="1" applyBorder="1"/>
    <xf numFmtId="3" fontId="1" fillId="0" borderId="0" xfId="0" applyNumberFormat="1" applyFont="1" applyBorder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right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wrapText="1"/>
    </xf>
    <xf numFmtId="0" fontId="1" fillId="0" borderId="1" xfId="0" applyFont="1" applyBorder="1" applyAlignment="1">
      <alignment horizontal="right" wrapText="1"/>
    </xf>
    <xf numFmtId="3" fontId="3" fillId="0" borderId="1" xfId="0" applyNumberFormat="1" applyFont="1" applyBorder="1"/>
    <xf numFmtId="0" fontId="1" fillId="0" borderId="1" xfId="0" applyFont="1" applyBorder="1" applyAlignment="1">
      <alignment horizontal="center" vertical="center"/>
    </xf>
    <xf numFmtId="3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4" fontId="0" fillId="0" borderId="0" xfId="0" applyNumberFormat="1"/>
    <xf numFmtId="10" fontId="1" fillId="0" borderId="1" xfId="1" applyNumberFormat="1" applyFont="1" applyBorder="1" applyAlignment="1">
      <alignment horizontal="center" vertical="center"/>
    </xf>
    <xf numFmtId="9" fontId="6" fillId="0" borderId="1" xfId="1" applyNumberFormat="1" applyFont="1" applyBorder="1" applyAlignment="1">
      <alignment horizontal="center" vertical="center"/>
    </xf>
    <xf numFmtId="164" fontId="6" fillId="0" borderId="1" xfId="1" applyNumberFormat="1" applyFont="1" applyBorder="1" applyAlignment="1">
      <alignment horizontal="center" vertical="center"/>
    </xf>
    <xf numFmtId="165" fontId="0" fillId="0" borderId="0" xfId="0" applyNumberFormat="1"/>
    <xf numFmtId="0" fontId="3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10" fontId="0" fillId="0" borderId="0" xfId="0" applyNumberFormat="1" applyAlignment="1">
      <alignment horizontal="center" vertical="center"/>
    </xf>
    <xf numFmtId="10" fontId="0" fillId="0" borderId="0" xfId="1" applyNumberFormat="1" applyFont="1" applyAlignment="1">
      <alignment horizontal="center" vertical="center"/>
    </xf>
    <xf numFmtId="164" fontId="1" fillId="0" borderId="1" xfId="1" applyNumberFormat="1" applyFont="1" applyBorder="1" applyAlignment="1">
      <alignment horizontal="center" vertical="center"/>
    </xf>
    <xf numFmtId="0" fontId="0" fillId="0" borderId="1" xfId="0" applyFont="1" applyBorder="1" applyAlignment="1">
      <alignment vertical="center"/>
    </xf>
    <xf numFmtId="3" fontId="0" fillId="0" borderId="1" xfId="0" applyNumberFormat="1" applyFont="1" applyBorder="1" applyAlignment="1">
      <alignment horizontal="right" vertical="center"/>
    </xf>
    <xf numFmtId="3" fontId="3" fillId="0" borderId="0" xfId="0" applyNumberFormat="1" applyFont="1"/>
    <xf numFmtId="0" fontId="0" fillId="0" borderId="0" xfId="0" applyAlignment="1"/>
    <xf numFmtId="164" fontId="1" fillId="0" borderId="0" xfId="1" applyNumberFormat="1" applyFont="1" applyAlignment="1">
      <alignment horizontal="center"/>
    </xf>
    <xf numFmtId="3" fontId="1" fillId="0" borderId="0" xfId="0" applyNumberFormat="1" applyFont="1"/>
    <xf numFmtId="0" fontId="1" fillId="0" borderId="0" xfId="0" applyFont="1" applyBorder="1" applyAlignment="1">
      <alignment horizontal="right" wrapText="1"/>
    </xf>
    <xf numFmtId="0" fontId="2" fillId="18" borderId="1" xfId="0" applyFont="1" applyFill="1" applyBorder="1" applyAlignment="1">
      <alignment vertical="center" wrapText="1"/>
    </xf>
    <xf numFmtId="0" fontId="0" fillId="18" borderId="1" xfId="0" applyFill="1" applyBorder="1"/>
    <xf numFmtId="3" fontId="0" fillId="18" borderId="1" xfId="0" applyNumberFormat="1" applyFill="1" applyBorder="1"/>
    <xf numFmtId="3" fontId="0" fillId="18" borderId="0" xfId="0" applyNumberFormat="1" applyFill="1"/>
    <xf numFmtId="0" fontId="0" fillId="18" borderId="0" xfId="0" applyFill="1"/>
    <xf numFmtId="3" fontId="0" fillId="0" borderId="0" xfId="0" applyNumberFormat="1" applyAlignment="1">
      <alignment horizontal="center" wrapText="1"/>
    </xf>
    <xf numFmtId="3" fontId="0" fillId="0" borderId="0" xfId="0" applyNumberFormat="1" applyAlignment="1"/>
    <xf numFmtId="0" fontId="2" fillId="19" borderId="1" xfId="0" applyFont="1" applyFill="1" applyBorder="1" applyAlignment="1">
      <alignment vertical="center" wrapText="1"/>
    </xf>
    <xf numFmtId="0" fontId="0" fillId="19" borderId="1" xfId="0" applyFill="1" applyBorder="1"/>
    <xf numFmtId="3" fontId="0" fillId="19" borderId="1" xfId="0" applyNumberFormat="1" applyFill="1" applyBorder="1"/>
    <xf numFmtId="3" fontId="0" fillId="19" borderId="0" xfId="0" applyNumberFormat="1" applyFill="1"/>
    <xf numFmtId="0" fontId="0" fillId="19" borderId="0" xfId="0" applyFill="1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/>
    </xf>
    <xf numFmtId="0" fontId="0" fillId="0" borderId="0" xfId="0" applyAlignment="1">
      <alignment horizont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0" xfId="0" applyFont="1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left"/>
    </xf>
    <xf numFmtId="3" fontId="0" fillId="0" borderId="1" xfId="0" applyNumberFormat="1" applyFont="1" applyBorder="1"/>
    <xf numFmtId="4" fontId="0" fillId="0" borderId="1" xfId="0" applyNumberFormat="1" applyFont="1" applyBorder="1" applyAlignment="1">
      <alignment horizontal="right"/>
    </xf>
    <xf numFmtId="3" fontId="0" fillId="0" borderId="1" xfId="0" applyNumberFormat="1" applyBorder="1" applyAlignment="1">
      <alignment horizontal="right"/>
    </xf>
    <xf numFmtId="4" fontId="0" fillId="0" borderId="1" xfId="0" applyNumberFormat="1" applyBorder="1"/>
    <xf numFmtId="0" fontId="0" fillId="8" borderId="0" xfId="0" applyFill="1"/>
    <xf numFmtId="3" fontId="0" fillId="20" borderId="1" xfId="0" applyNumberFormat="1" applyFill="1" applyBorder="1"/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Fill="1" applyBorder="1" applyAlignment="1">
      <alignment horizontal="center" vertical="center"/>
    </xf>
    <xf numFmtId="3" fontId="0" fillId="0" borderId="2" xfId="0" applyNumberFormat="1" applyBorder="1"/>
    <xf numFmtId="3" fontId="1" fillId="0" borderId="2" xfId="0" applyNumberFormat="1" applyFont="1" applyBorder="1"/>
    <xf numFmtId="164" fontId="1" fillId="0" borderId="1" xfId="1" applyNumberFormat="1" applyFont="1" applyBorder="1" applyAlignment="1">
      <alignment horizontal="center"/>
    </xf>
    <xf numFmtId="4" fontId="1" fillId="0" borderId="1" xfId="0" applyNumberFormat="1" applyFont="1" applyBorder="1"/>
    <xf numFmtId="3" fontId="0" fillId="0" borderId="0" xfId="0" applyNumberFormat="1" applyAlignment="1">
      <alignment horizontal="right"/>
    </xf>
    <xf numFmtId="3" fontId="0" fillId="0" borderId="1" xfId="0" applyNumberFormat="1" applyFill="1" applyBorder="1" applyAlignment="1">
      <alignment horizontal="right" wrapText="1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" fillId="0" borderId="0" xfId="0" applyFont="1" applyBorder="1" applyAlignment="1">
      <alignment horizontal="center"/>
    </xf>
    <xf numFmtId="0" fontId="1" fillId="0" borderId="1" xfId="0" applyFont="1" applyBorder="1" applyAlignment="1">
      <alignment horizontal="center" wrapText="1"/>
    </xf>
    <xf numFmtId="3" fontId="1" fillId="0" borderId="1" xfId="0" applyNumberFormat="1" applyFont="1" applyBorder="1" applyAlignment="1">
      <alignment horizontal="center" vertical="center"/>
    </xf>
    <xf numFmtId="0" fontId="0" fillId="0" borderId="0" xfId="0" applyAlignment="1">
      <alignment horizont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3" fontId="1" fillId="0" borderId="1" xfId="0" applyNumberFormat="1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4" fontId="0" fillId="0" borderId="1" xfId="0" applyNumberFormat="1" applyBorder="1" applyAlignment="1"/>
    <xf numFmtId="6" fontId="0" fillId="0" borderId="0" xfId="0" applyNumberFormat="1"/>
    <xf numFmtId="3" fontId="3" fillId="0" borderId="1" xfId="0" applyNumberFormat="1" applyFont="1" applyBorder="1" applyAlignment="1">
      <alignment horizontal="center" vertical="center"/>
    </xf>
    <xf numFmtId="4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right"/>
    </xf>
    <xf numFmtId="3" fontId="3" fillId="0" borderId="1" xfId="0" applyNumberFormat="1" applyFont="1" applyBorder="1" applyAlignment="1">
      <alignment vertical="center" wrapText="1"/>
    </xf>
    <xf numFmtId="3" fontId="0" fillId="0" borderId="1" xfId="0" applyNumberFormat="1" applyBorder="1" applyAlignment="1"/>
    <xf numFmtId="3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1" fillId="0" borderId="0" xfId="0" applyFont="1" applyBorder="1" applyAlignment="1">
      <alignment horizontal="center"/>
    </xf>
    <xf numFmtId="0" fontId="1" fillId="8" borderId="1" xfId="0" applyFont="1" applyFill="1" applyBorder="1" applyAlignment="1">
      <alignment horizontal="center" vertical="center"/>
    </xf>
    <xf numFmtId="0" fontId="0" fillId="0" borderId="0" xfId="0" applyAlignment="1">
      <alignment horizontal="center" wrapText="1"/>
    </xf>
    <xf numFmtId="0" fontId="1" fillId="0" borderId="10" xfId="0" applyFont="1" applyFill="1" applyBorder="1" applyAlignment="1">
      <alignment horizontal="center" vertical="center" wrapText="1"/>
    </xf>
    <xf numFmtId="0" fontId="3" fillId="0" borderId="1" xfId="0" applyFont="1" applyBorder="1"/>
    <xf numFmtId="0" fontId="1" fillId="8" borderId="1" xfId="0" applyFont="1" applyFill="1" applyBorder="1" applyAlignment="1">
      <alignment horizontal="center" vertical="center" wrapText="1"/>
    </xf>
    <xf numFmtId="0" fontId="3" fillId="17" borderId="1" xfId="0" applyFont="1" applyFill="1" applyBorder="1" applyAlignment="1">
      <alignment horizontal="right"/>
    </xf>
    <xf numFmtId="3" fontId="3" fillId="17" borderId="1" xfId="0" applyNumberFormat="1" applyFont="1" applyFill="1" applyBorder="1" applyAlignment="1">
      <alignment horizontal="right"/>
    </xf>
    <xf numFmtId="0" fontId="3" fillId="8" borderId="1" xfId="0" applyFont="1" applyFill="1" applyBorder="1" applyAlignment="1">
      <alignment horizontal="right"/>
    </xf>
    <xf numFmtId="3" fontId="3" fillId="8" borderId="1" xfId="0" applyNumberFormat="1" applyFont="1" applyFill="1" applyBorder="1" applyAlignment="1">
      <alignment horizontal="right"/>
    </xf>
    <xf numFmtId="0" fontId="0" fillId="0" borderId="1" xfId="0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6" borderId="1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right"/>
    </xf>
    <xf numFmtId="3" fontId="3" fillId="6" borderId="1" xfId="0" applyNumberFormat="1" applyFont="1" applyFill="1" applyBorder="1" applyAlignment="1">
      <alignment horizontal="right"/>
    </xf>
    <xf numFmtId="3" fontId="0" fillId="0" borderId="1" xfId="0" applyNumberForma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8" xfId="0" applyBorder="1" applyAlignment="1"/>
    <xf numFmtId="3" fontId="3" fillId="0" borderId="1" xfId="0" applyNumberFormat="1" applyFont="1" applyBorder="1" applyAlignment="1">
      <alignment horizontal="right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0" fillId="0" borderId="0" xfId="0" applyFill="1" applyBorder="1" applyAlignment="1">
      <alignment horizontal="center" vertical="center"/>
    </xf>
    <xf numFmtId="3" fontId="0" fillId="0" borderId="0" xfId="0" applyNumberFormat="1" applyFill="1"/>
    <xf numFmtId="0" fontId="0" fillId="0" borderId="1" xfId="0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3" fontId="0" fillId="0" borderId="0" xfId="0" applyNumberFormat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right" vertical="center"/>
    </xf>
    <xf numFmtId="3" fontId="1" fillId="0" borderId="1" xfId="0" applyNumberFormat="1" applyFont="1" applyBorder="1" applyAlignment="1">
      <alignment horizontal="center"/>
    </xf>
    <xf numFmtId="4" fontId="1" fillId="0" borderId="1" xfId="0" applyNumberFormat="1" applyFont="1" applyBorder="1" applyAlignment="1">
      <alignment horizontal="center" vertical="center"/>
    </xf>
    <xf numFmtId="4" fontId="1" fillId="0" borderId="1" xfId="0" applyNumberFormat="1" applyFont="1" applyBorder="1" applyAlignment="1">
      <alignment horizontal="center"/>
    </xf>
    <xf numFmtId="0" fontId="1" fillId="0" borderId="1" xfId="0" applyFont="1" applyFill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wrapText="1"/>
    </xf>
    <xf numFmtId="3" fontId="1" fillId="17" borderId="9" xfId="0" applyNumberFormat="1" applyFont="1" applyFill="1" applyBorder="1" applyAlignment="1">
      <alignment horizontal="center" vertical="center"/>
    </xf>
    <xf numFmtId="3" fontId="1" fillId="17" borderId="10" xfId="0" applyNumberFormat="1" applyFont="1" applyFill="1" applyBorder="1" applyAlignment="1">
      <alignment horizontal="center" vertical="center"/>
    </xf>
    <xf numFmtId="3" fontId="1" fillId="17" borderId="5" xfId="0" applyNumberFormat="1" applyFont="1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0" fillId="0" borderId="1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left" vertical="center"/>
    </xf>
    <xf numFmtId="6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3" fontId="1" fillId="0" borderId="1" xfId="0" applyNumberFormat="1" applyFont="1" applyFill="1" applyBorder="1" applyAlignment="1">
      <alignment horizontal="center"/>
    </xf>
    <xf numFmtId="0" fontId="1" fillId="0" borderId="0" xfId="0" applyFont="1" applyAlignment="1">
      <alignment horizontal="center" wrapText="1"/>
    </xf>
    <xf numFmtId="0" fontId="1" fillId="0" borderId="2" xfId="0" applyFont="1" applyBorder="1" applyAlignment="1">
      <alignment horizontal="center" wrapText="1"/>
    </xf>
    <xf numFmtId="3" fontId="0" fillId="0" borderId="1" xfId="0" applyNumberFormat="1" applyBorder="1" applyAlignment="1">
      <alignment horizontal="right" vertical="center"/>
    </xf>
    <xf numFmtId="0" fontId="1" fillId="21" borderId="1" xfId="0" applyFont="1" applyFill="1" applyBorder="1" applyAlignment="1">
      <alignment horizontal="center" vertical="center"/>
    </xf>
    <xf numFmtId="0" fontId="1" fillId="12" borderId="1" xfId="0" applyFont="1" applyFill="1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3" fontId="0" fillId="0" borderId="8" xfId="0" applyNumberFormat="1" applyBorder="1" applyAlignment="1">
      <alignment horizontal="center"/>
    </xf>
    <xf numFmtId="0" fontId="0" fillId="0" borderId="8" xfId="0" applyBorder="1" applyAlignment="1">
      <alignment horizontal="center"/>
    </xf>
    <xf numFmtId="3" fontId="1" fillId="0" borderId="1" xfId="0" applyNumberFormat="1" applyFont="1" applyBorder="1" applyAlignment="1">
      <alignment horizontal="center" vertical="center"/>
    </xf>
    <xf numFmtId="0" fontId="0" fillId="0" borderId="0" xfId="0" applyAlignment="1">
      <alignment horizontal="center" wrapText="1"/>
    </xf>
    <xf numFmtId="0" fontId="1" fillId="11" borderId="1" xfId="0" applyFont="1" applyFill="1" applyBorder="1" applyAlignment="1">
      <alignment horizontal="center"/>
    </xf>
    <xf numFmtId="0" fontId="1" fillId="8" borderId="1" xfId="0" applyFont="1" applyFill="1" applyBorder="1" applyAlignment="1">
      <alignment horizontal="center"/>
    </xf>
    <xf numFmtId="0" fontId="1" fillId="0" borderId="7" xfId="0" applyFont="1" applyBorder="1" applyAlignment="1">
      <alignment horizontal="center" wrapText="1"/>
    </xf>
    <xf numFmtId="0" fontId="3" fillId="0" borderId="1" xfId="0" applyFont="1" applyBorder="1" applyAlignment="1">
      <alignment horizontal="center" vertical="center"/>
    </xf>
    <xf numFmtId="3" fontId="1" fillId="0" borderId="2" xfId="0" applyNumberFormat="1" applyFont="1" applyBorder="1" applyAlignment="1">
      <alignment horizontal="center" vertical="center"/>
    </xf>
    <xf numFmtId="3" fontId="1" fillId="0" borderId="4" xfId="0" applyNumberFormat="1" applyFont="1" applyBorder="1" applyAlignment="1">
      <alignment horizontal="center" vertical="center"/>
    </xf>
    <xf numFmtId="0" fontId="1" fillId="0" borderId="0" xfId="0" applyFont="1" applyBorder="1" applyAlignment="1">
      <alignment horizontal="center"/>
    </xf>
    <xf numFmtId="3" fontId="0" fillId="0" borderId="6" xfId="0" applyNumberFormat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1" fillId="8" borderId="9" xfId="0" applyFont="1" applyFill="1" applyBorder="1" applyAlignment="1">
      <alignment horizontal="center"/>
    </xf>
    <xf numFmtId="0" fontId="1" fillId="17" borderId="1" xfId="0" applyFont="1" applyFill="1" applyBorder="1" applyAlignment="1">
      <alignment horizontal="center" vertical="center"/>
    </xf>
    <xf numFmtId="0" fontId="1" fillId="14" borderId="1" xfId="0" applyFont="1" applyFill="1" applyBorder="1" applyAlignment="1">
      <alignment horizontal="center" vertical="center"/>
    </xf>
    <xf numFmtId="0" fontId="1" fillId="7" borderId="1" xfId="0" applyFont="1" applyFill="1" applyBorder="1" applyAlignment="1">
      <alignment horizontal="center"/>
    </xf>
    <xf numFmtId="0" fontId="1" fillId="6" borderId="1" xfId="0" applyFont="1" applyFill="1" applyBorder="1" applyAlignment="1">
      <alignment horizontal="center"/>
    </xf>
    <xf numFmtId="0" fontId="1" fillId="5" borderId="1" xfId="0" applyFont="1" applyFill="1" applyBorder="1" applyAlignment="1">
      <alignment horizontal="center"/>
    </xf>
    <xf numFmtId="0" fontId="1" fillId="10" borderId="1" xfId="0" applyFont="1" applyFill="1" applyBorder="1" applyAlignment="1">
      <alignment horizontal="center"/>
    </xf>
    <xf numFmtId="0" fontId="1" fillId="9" borderId="1" xfId="0" applyFont="1" applyFill="1" applyBorder="1" applyAlignment="1">
      <alignment horizontal="center"/>
    </xf>
    <xf numFmtId="0" fontId="1" fillId="8" borderId="1" xfId="0" applyFont="1" applyFill="1" applyBorder="1" applyAlignment="1">
      <alignment horizontal="center" vertical="center"/>
    </xf>
    <xf numFmtId="0" fontId="1" fillId="13" borderId="1" xfId="0" applyFont="1" applyFill="1" applyBorder="1" applyAlignment="1">
      <alignment horizontal="center" vertical="center"/>
    </xf>
    <xf numFmtId="0" fontId="1" fillId="11" borderId="1" xfId="0" applyFont="1" applyFill="1" applyBorder="1" applyAlignment="1">
      <alignment horizontal="center" vertical="center"/>
    </xf>
    <xf numFmtId="0" fontId="1" fillId="16" borderId="1" xfId="0" applyFont="1" applyFill="1" applyBorder="1" applyAlignment="1">
      <alignment horizontal="center" vertical="center"/>
    </xf>
    <xf numFmtId="0" fontId="1" fillId="15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3" fontId="0" fillId="0" borderId="1" xfId="0" applyNumberFormat="1" applyBorder="1" applyAlignment="1">
      <alignment horizontal="center"/>
    </xf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7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10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"/>
  <sheetViews>
    <sheetView zoomScale="280" zoomScaleNormal="280" workbookViewId="0">
      <selection activeCell="D8" sqref="D8"/>
    </sheetView>
  </sheetViews>
  <sheetFormatPr baseColWidth="10" defaultRowHeight="15" x14ac:dyDescent="0.25"/>
  <cols>
    <col min="1" max="1" width="14" style="1" customWidth="1"/>
    <col min="2" max="2" width="11" style="1" customWidth="1"/>
    <col min="3" max="3" width="4.42578125" style="1" customWidth="1"/>
    <col min="4" max="4" width="11.42578125" style="1"/>
  </cols>
  <sheetData>
    <row r="1" spans="1:6" x14ac:dyDescent="0.25">
      <c r="A1" s="1" t="s">
        <v>319</v>
      </c>
      <c r="B1" s="1">
        <v>59034340</v>
      </c>
      <c r="C1" s="1">
        <f>'GENERAL 2DO CONTRATO'!D28</f>
        <v>0</v>
      </c>
      <c r="D1" s="91">
        <f>B1-C1</f>
        <v>59034340</v>
      </c>
    </row>
    <row r="2" spans="1:6" x14ac:dyDescent="0.25">
      <c r="A2" s="1" t="s">
        <v>320</v>
      </c>
      <c r="B2" s="1">
        <f>24138348+25235388</f>
        <v>49373736</v>
      </c>
      <c r="D2" s="182">
        <f>B2</f>
        <v>49373736</v>
      </c>
    </row>
    <row r="3" spans="1:6" x14ac:dyDescent="0.25">
      <c r="A3" s="1" t="s">
        <v>321</v>
      </c>
      <c r="B3" s="1">
        <v>46064</v>
      </c>
      <c r="C3" s="1">
        <f>'GENERAL 2DO CONTRATO'!D29</f>
        <v>0</v>
      </c>
      <c r="D3" s="91">
        <f>B3</f>
        <v>46064</v>
      </c>
    </row>
    <row r="4" spans="1:6" x14ac:dyDescent="0.25">
      <c r="A4" s="1" t="s">
        <v>322</v>
      </c>
      <c r="B4" s="1">
        <v>72034964</v>
      </c>
      <c r="C4" s="1">
        <f>'GENERAL 2DO CONTRATO'!D27</f>
        <v>19498248</v>
      </c>
      <c r="D4" s="91">
        <f>B4-C4</f>
        <v>52536716</v>
      </c>
    </row>
    <row r="5" spans="1:6" x14ac:dyDescent="0.25">
      <c r="B5" s="1">
        <f>SUM(B1:B4)</f>
        <v>180489104</v>
      </c>
      <c r="C5" s="1">
        <f>SUM(C1:C4)</f>
        <v>19498248</v>
      </c>
      <c r="D5" s="1">
        <f>SUM(D1:D4)</f>
        <v>160990856</v>
      </c>
      <c r="E5" s="1">
        <f>'procesadoras ADICION 2'!D150</f>
        <v>16935257</v>
      </c>
      <c r="F5" s="1">
        <f>D5-E5</f>
        <v>144055599</v>
      </c>
    </row>
    <row r="6" spans="1:6" x14ac:dyDescent="0.25">
      <c r="F6" s="1"/>
    </row>
    <row r="7" spans="1:6" x14ac:dyDescent="0.25">
      <c r="F7" s="1"/>
    </row>
    <row r="8" spans="1:6" x14ac:dyDescent="0.25">
      <c r="F8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64"/>
  <sheetViews>
    <sheetView tabSelected="1" zoomScale="115" zoomScaleNormal="115" workbookViewId="0">
      <selection activeCell="B26" sqref="B26"/>
    </sheetView>
  </sheetViews>
  <sheetFormatPr baseColWidth="10" defaultRowHeight="15" x14ac:dyDescent="0.25"/>
  <cols>
    <col min="1" max="1" width="36.5703125" customWidth="1"/>
    <col min="2" max="2" width="18.7109375" customWidth="1"/>
    <col min="3" max="3" width="21.85546875" customWidth="1"/>
    <col min="4" max="4" width="20.28515625" customWidth="1"/>
    <col min="5" max="5" width="29" customWidth="1"/>
    <col min="6" max="6" width="25.28515625" customWidth="1"/>
    <col min="7" max="7" width="21.140625" customWidth="1"/>
    <col min="8" max="8" width="24.140625" style="1" customWidth="1"/>
    <col min="9" max="9" width="26.5703125" style="1" customWidth="1"/>
    <col min="10" max="10" width="11.42578125" style="1"/>
    <col min="11" max="11" width="13.7109375" customWidth="1"/>
    <col min="12" max="12" width="13.28515625" style="1" bestFit="1" customWidth="1"/>
    <col min="13" max="13" width="11.42578125" style="1"/>
  </cols>
  <sheetData>
    <row r="1" spans="1:10" x14ac:dyDescent="0.25">
      <c r="A1" s="194" t="s">
        <v>0</v>
      </c>
      <c r="B1" s="194"/>
      <c r="C1" s="194"/>
      <c r="D1" s="194"/>
      <c r="E1" s="194"/>
      <c r="F1" s="194"/>
      <c r="G1" s="194"/>
      <c r="H1" s="194"/>
      <c r="I1" s="194"/>
      <c r="J1" s="194"/>
    </row>
    <row r="3" spans="1:10" x14ac:dyDescent="0.25">
      <c r="A3" t="s">
        <v>273</v>
      </c>
    </row>
    <row r="4" spans="1:10" x14ac:dyDescent="0.25">
      <c r="A4" s="110" t="s">
        <v>280</v>
      </c>
      <c r="B4">
        <v>4500067339</v>
      </c>
    </row>
    <row r="5" spans="1:10" x14ac:dyDescent="0.25">
      <c r="A5" t="s">
        <v>4</v>
      </c>
    </row>
    <row r="6" spans="1:10" x14ac:dyDescent="0.25">
      <c r="A6" s="110" t="s">
        <v>278</v>
      </c>
    </row>
    <row r="7" spans="1:10" x14ac:dyDescent="0.25">
      <c r="A7" t="s">
        <v>281</v>
      </c>
    </row>
    <row r="8" spans="1:10" x14ac:dyDescent="0.25">
      <c r="A8" t="s">
        <v>9</v>
      </c>
    </row>
    <row r="9" spans="1:10" x14ac:dyDescent="0.25">
      <c r="A9" t="s">
        <v>8</v>
      </c>
    </row>
    <row r="10" spans="1:10" x14ac:dyDescent="0.25">
      <c r="A10" s="110" t="s">
        <v>262</v>
      </c>
      <c r="B10" s="1"/>
    </row>
    <row r="11" spans="1:10" x14ac:dyDescent="0.25">
      <c r="A11" s="110" t="s">
        <v>263</v>
      </c>
      <c r="B11" s="1"/>
    </row>
    <row r="13" spans="1:10" x14ac:dyDescent="0.25">
      <c r="A13" s="84"/>
      <c r="B13" s="84"/>
      <c r="C13" s="84"/>
      <c r="D13" s="84"/>
      <c r="E13" s="84"/>
      <c r="F13" s="84"/>
    </row>
    <row r="14" spans="1:10" ht="30" x14ac:dyDescent="0.25">
      <c r="A14" s="195" t="s">
        <v>15</v>
      </c>
      <c r="B14" s="188" t="s">
        <v>202</v>
      </c>
      <c r="C14" s="150" t="s">
        <v>203</v>
      </c>
      <c r="D14" s="152" t="s">
        <v>193</v>
      </c>
      <c r="E14" s="188" t="s">
        <v>194</v>
      </c>
      <c r="F14" s="84"/>
    </row>
    <row r="15" spans="1:10" x14ac:dyDescent="0.25">
      <c r="A15" s="195"/>
      <c r="B15" s="188"/>
      <c r="C15" s="80">
        <v>1.2999999999999999E-2</v>
      </c>
      <c r="D15" s="69">
        <v>5.5100000000000003E-2</v>
      </c>
      <c r="E15" s="188"/>
      <c r="F15" s="84"/>
    </row>
    <row r="16" spans="1:10" x14ac:dyDescent="0.25">
      <c r="A16" s="6" t="s">
        <v>176</v>
      </c>
      <c r="B16" s="2">
        <v>3624</v>
      </c>
      <c r="C16" s="2">
        <f>B16*$C$15</f>
        <v>47.111999999999995</v>
      </c>
      <c r="D16" s="2">
        <f>(B16+C16)*$D$15</f>
        <v>202.27827120000001</v>
      </c>
      <c r="E16" s="2">
        <v>3826</v>
      </c>
      <c r="F16" s="84"/>
      <c r="G16" s="1"/>
    </row>
    <row r="17" spans="1:18" x14ac:dyDescent="0.25">
      <c r="A17" s="6" t="s">
        <v>177</v>
      </c>
      <c r="B17" s="2">
        <v>4938</v>
      </c>
      <c r="C17" s="2">
        <f>B17*$C$15</f>
        <v>64.194000000000003</v>
      </c>
      <c r="D17" s="2">
        <f>(B17+C17)*$D$15</f>
        <v>275.62088940000007</v>
      </c>
      <c r="E17" s="2">
        <v>5214</v>
      </c>
      <c r="F17" s="84"/>
      <c r="G17" s="1"/>
    </row>
    <row r="18" spans="1:18" x14ac:dyDescent="0.25">
      <c r="A18" s="6" t="s">
        <v>178</v>
      </c>
      <c r="B18" s="2">
        <v>3080000</v>
      </c>
      <c r="C18" s="2">
        <v>0</v>
      </c>
      <c r="D18" s="2">
        <f>(B18+C18)*$D$15</f>
        <v>169708</v>
      </c>
      <c r="E18" s="2">
        <v>3249708</v>
      </c>
      <c r="F18" s="84"/>
      <c r="G18" s="1"/>
    </row>
    <row r="19" spans="1:18" x14ac:dyDescent="0.25">
      <c r="A19" s="6" t="s">
        <v>179</v>
      </c>
      <c r="B19" s="2">
        <v>143000</v>
      </c>
      <c r="C19" s="2">
        <v>0</v>
      </c>
      <c r="D19" s="2">
        <f>(B19+C19)*$D$15</f>
        <v>7879.3</v>
      </c>
      <c r="E19" s="2">
        <v>150879</v>
      </c>
      <c r="F19" s="84"/>
      <c r="G19" s="1"/>
    </row>
    <row r="20" spans="1:18" x14ac:dyDescent="0.25">
      <c r="A20" s="6" t="s">
        <v>180</v>
      </c>
      <c r="B20" s="2">
        <v>229900</v>
      </c>
      <c r="C20" s="2">
        <v>0</v>
      </c>
      <c r="D20" s="2">
        <f>(B20+C20)*$D$15</f>
        <v>12667.490000000002</v>
      </c>
      <c r="E20" s="2">
        <v>242567</v>
      </c>
      <c r="F20" s="84"/>
      <c r="G20" s="1"/>
    </row>
    <row r="21" spans="1:18" x14ac:dyDescent="0.25">
      <c r="A21" s="84"/>
      <c r="B21" s="84"/>
      <c r="C21" s="84"/>
      <c r="D21" s="84"/>
      <c r="E21" s="84"/>
      <c r="F21" s="84"/>
    </row>
    <row r="22" spans="1:18" x14ac:dyDescent="0.25">
      <c r="A22" s="84"/>
      <c r="B22" s="84"/>
      <c r="C22" s="84"/>
      <c r="D22" s="84"/>
      <c r="E22" s="84"/>
      <c r="F22" s="84"/>
      <c r="H22" s="190" t="s">
        <v>314</v>
      </c>
      <c r="I22" s="190"/>
    </row>
    <row r="23" spans="1:18" x14ac:dyDescent="0.25">
      <c r="A23" s="193" t="s">
        <v>264</v>
      </c>
      <c r="B23" s="193"/>
      <c r="C23" s="193"/>
      <c r="D23" s="193"/>
      <c r="E23" s="191" t="s">
        <v>270</v>
      </c>
      <c r="F23" s="191"/>
      <c r="G23" s="176"/>
      <c r="H23" s="148" t="s">
        <v>310</v>
      </c>
      <c r="I23" s="2">
        <v>1661307089</v>
      </c>
    </row>
    <row r="24" spans="1:18" x14ac:dyDescent="0.25">
      <c r="A24" s="151" t="s">
        <v>15</v>
      </c>
      <c r="B24" s="151" t="s">
        <v>16</v>
      </c>
      <c r="C24" s="153" t="s">
        <v>17</v>
      </c>
      <c r="D24" s="153" t="s">
        <v>18</v>
      </c>
      <c r="E24" s="191" t="s">
        <v>271</v>
      </c>
      <c r="F24" s="191"/>
      <c r="G24" s="176"/>
      <c r="H24" s="148" t="s">
        <v>311</v>
      </c>
      <c r="I24" s="2">
        <f>'proyección general ADICION 2'!E30</f>
        <v>529916400</v>
      </c>
    </row>
    <row r="25" spans="1:18" x14ac:dyDescent="0.25">
      <c r="A25" s="5" t="s">
        <v>10</v>
      </c>
      <c r="B25" s="2">
        <f>4614*32</f>
        <v>147648</v>
      </c>
      <c r="C25" s="2">
        <f>E16</f>
        <v>3826</v>
      </c>
      <c r="D25" s="2">
        <f>B25*C25</f>
        <v>564901248</v>
      </c>
      <c r="E25" s="145" t="s">
        <v>274</v>
      </c>
      <c r="F25" s="145" t="s">
        <v>222</v>
      </c>
      <c r="G25" s="176"/>
      <c r="H25" s="148" t="s">
        <v>312</v>
      </c>
      <c r="I25" s="2">
        <f>'proyección general ADICION 2'!F30</f>
        <v>261032548.40000001</v>
      </c>
    </row>
    <row r="26" spans="1:18" x14ac:dyDescent="0.25">
      <c r="A26" s="5" t="s">
        <v>11</v>
      </c>
      <c r="B26" s="2">
        <f>849*32</f>
        <v>27168</v>
      </c>
      <c r="C26" s="2">
        <f>E17</f>
        <v>5214</v>
      </c>
      <c r="D26" s="2">
        <f>B26*C26</f>
        <v>141653952</v>
      </c>
      <c r="E26" s="142">
        <f>D25+D26</f>
        <v>706555200</v>
      </c>
      <c r="F26" s="117">
        <f>I32</f>
        <v>163802940.60000002</v>
      </c>
      <c r="G26" s="176"/>
      <c r="H26" s="177" t="s">
        <v>313</v>
      </c>
      <c r="I26" s="177">
        <f>SUM(I24:I25)</f>
        <v>790948948.39999998</v>
      </c>
    </row>
    <row r="27" spans="1:18" x14ac:dyDescent="0.25">
      <c r="A27" s="6" t="s">
        <v>12</v>
      </c>
      <c r="B27" s="6">
        <v>6</v>
      </c>
      <c r="C27" s="2">
        <f>E18</f>
        <v>3249708</v>
      </c>
      <c r="D27" s="2">
        <f>B27*C27</f>
        <v>19498248</v>
      </c>
      <c r="E27" s="192">
        <f>SUM(E26:F26)</f>
        <v>870358140.60000002</v>
      </c>
      <c r="F27" s="192"/>
      <c r="G27" s="176"/>
      <c r="H27" s="94"/>
      <c r="J27" s="189">
        <f>I26+I33</f>
        <v>1661307089</v>
      </c>
      <c r="K27" s="189"/>
    </row>
    <row r="28" spans="1:18" x14ac:dyDescent="0.25">
      <c r="A28" s="6" t="s">
        <v>287</v>
      </c>
      <c r="B28" s="6">
        <v>0</v>
      </c>
      <c r="C28" s="2">
        <f>E19</f>
        <v>150879</v>
      </c>
      <c r="D28" s="2">
        <f>B28*C28</f>
        <v>0</v>
      </c>
      <c r="E28" s="1"/>
      <c r="F28" s="68"/>
      <c r="G28" s="1"/>
      <c r="J28" s="189"/>
      <c r="K28" s="189"/>
    </row>
    <row r="29" spans="1:18" x14ac:dyDescent="0.25">
      <c r="A29" s="6" t="s">
        <v>14</v>
      </c>
      <c r="B29" s="6">
        <v>0</v>
      </c>
      <c r="C29" s="2">
        <f>E20</f>
        <v>242567</v>
      </c>
      <c r="D29" s="123">
        <f>C29*B29</f>
        <v>0</v>
      </c>
      <c r="E29" s="190" t="s">
        <v>276</v>
      </c>
      <c r="F29" s="190"/>
      <c r="G29" s="1"/>
      <c r="H29" s="190" t="s">
        <v>315</v>
      </c>
      <c r="I29" s="190"/>
      <c r="Q29" s="1"/>
      <c r="R29" s="1"/>
    </row>
    <row r="30" spans="1:18" x14ac:dyDescent="0.25">
      <c r="A30" s="14" t="s">
        <v>114</v>
      </c>
      <c r="B30" s="183" t="s">
        <v>115</v>
      </c>
      <c r="C30" s="183"/>
      <c r="D30" s="123">
        <f>'PROCESADORAS 2DO CONTRATO'!B32</f>
        <v>304766462.13</v>
      </c>
      <c r="E30" s="64" t="s">
        <v>222</v>
      </c>
      <c r="F30" s="117">
        <f>'PROCESADORAS 2DO CONTRATO'!B38</f>
        <v>140963521.52999997</v>
      </c>
      <c r="G30" s="1">
        <f>D30-F26</f>
        <v>140963521.52999997</v>
      </c>
      <c r="H30" s="148" t="s">
        <v>310</v>
      </c>
      <c r="I30" s="2">
        <f>I23-I26</f>
        <v>870358140.60000002</v>
      </c>
    </row>
    <row r="31" spans="1:18" x14ac:dyDescent="0.25">
      <c r="A31" s="184" t="s">
        <v>116</v>
      </c>
      <c r="B31" s="185"/>
      <c r="C31" s="186"/>
      <c r="D31" s="124">
        <f>SUM(D25:D30)</f>
        <v>1030819910.13</v>
      </c>
      <c r="E31" s="64" t="s">
        <v>178</v>
      </c>
      <c r="F31" s="2">
        <f>D27</f>
        <v>19498248</v>
      </c>
      <c r="G31" s="1"/>
      <c r="H31" s="148" t="s">
        <v>316</v>
      </c>
      <c r="I31" s="2">
        <f>E26</f>
        <v>706555200</v>
      </c>
    </row>
    <row r="32" spans="1:18" x14ac:dyDescent="0.25">
      <c r="A32" s="155"/>
      <c r="B32" s="155"/>
      <c r="C32" s="155"/>
      <c r="D32" s="57"/>
      <c r="E32" s="64" t="s">
        <v>226</v>
      </c>
      <c r="F32" s="2">
        <f>D28</f>
        <v>0</v>
      </c>
      <c r="G32" s="1"/>
      <c r="H32" s="148" t="s">
        <v>222</v>
      </c>
      <c r="I32" s="2">
        <f>I30-I31</f>
        <v>163802940.60000002</v>
      </c>
    </row>
    <row r="33" spans="1:9" x14ac:dyDescent="0.25">
      <c r="A33" s="155"/>
      <c r="B33" s="155"/>
      <c r="C33" s="155"/>
      <c r="D33" s="57"/>
      <c r="E33" s="64" t="s">
        <v>225</v>
      </c>
      <c r="F33" s="2">
        <f>D29</f>
        <v>0</v>
      </c>
      <c r="G33" s="1"/>
      <c r="H33" s="177" t="s">
        <v>317</v>
      </c>
      <c r="I33" s="177">
        <f>SUM(I31:I32)</f>
        <v>870358140.60000002</v>
      </c>
    </row>
    <row r="34" spans="1:9" ht="14.25" customHeight="1" x14ac:dyDescent="0.25">
      <c r="C34" s="1"/>
      <c r="D34" s="1"/>
      <c r="E34" s="146" t="s">
        <v>277</v>
      </c>
      <c r="F34" s="126">
        <f>SUM(F30:F33)</f>
        <v>160461769.52999997</v>
      </c>
    </row>
    <row r="35" spans="1:9" ht="14.25" customHeight="1" x14ac:dyDescent="0.25">
      <c r="C35" s="1"/>
      <c r="D35" s="1"/>
    </row>
    <row r="37" spans="1:9" x14ac:dyDescent="0.25">
      <c r="E37" s="1">
        <v>559528386</v>
      </c>
      <c r="F37" s="1">
        <f>E27-E37</f>
        <v>310829754.60000002</v>
      </c>
    </row>
    <row r="38" spans="1:9" x14ac:dyDescent="0.25">
      <c r="B38" s="1"/>
      <c r="C38" s="1"/>
      <c r="D38" s="1"/>
      <c r="E38" s="1">
        <f>E26-E37</f>
        <v>147026814</v>
      </c>
      <c r="F38" s="1">
        <f>F37-E38</f>
        <v>163802940.60000002</v>
      </c>
      <c r="G38" s="187"/>
    </row>
    <row r="39" spans="1:9" x14ac:dyDescent="0.25">
      <c r="B39" s="1"/>
      <c r="C39" s="1"/>
      <c r="D39" s="1"/>
      <c r="E39" s="1">
        <f>SUM(E37:E38)</f>
        <v>706555200</v>
      </c>
      <c r="F39" s="1"/>
      <c r="G39" s="187"/>
    </row>
    <row r="40" spans="1:9" x14ac:dyDescent="0.25">
      <c r="A40" s="188" t="s">
        <v>181</v>
      </c>
      <c r="B40" s="188"/>
      <c r="C40" s="188"/>
      <c r="D40" s="1"/>
      <c r="E40" s="1"/>
      <c r="F40" s="1"/>
      <c r="G40" s="187"/>
    </row>
    <row r="41" spans="1:9" x14ac:dyDescent="0.25">
      <c r="A41" s="150" t="s">
        <v>182</v>
      </c>
      <c r="B41" s="53" t="s">
        <v>183</v>
      </c>
      <c r="C41" s="53" t="s">
        <v>184</v>
      </c>
      <c r="D41" s="1"/>
      <c r="E41" s="1"/>
      <c r="F41" s="1"/>
      <c r="G41" s="187"/>
    </row>
    <row r="42" spans="1:9" x14ac:dyDescent="0.25">
      <c r="A42" s="6" t="s">
        <v>185</v>
      </c>
      <c r="B42" s="70">
        <v>0.01</v>
      </c>
      <c r="C42" s="70">
        <v>0.01</v>
      </c>
      <c r="D42" s="1"/>
      <c r="E42" s="83"/>
      <c r="F42" s="1"/>
      <c r="G42" s="1"/>
    </row>
    <row r="43" spans="1:9" x14ac:dyDescent="0.25">
      <c r="A43" s="6" t="s">
        <v>186</v>
      </c>
      <c r="B43" s="70">
        <v>0.04</v>
      </c>
      <c r="C43" s="70">
        <v>0.04</v>
      </c>
      <c r="D43" s="1"/>
      <c r="G43" s="1"/>
    </row>
    <row r="44" spans="1:9" x14ac:dyDescent="0.25">
      <c r="A44" s="6" t="s">
        <v>187</v>
      </c>
      <c r="B44" s="71">
        <v>1.4999999999999999E-2</v>
      </c>
      <c r="C44" s="71">
        <v>1.4999999999999999E-2</v>
      </c>
      <c r="D44" s="1"/>
      <c r="G44" s="1"/>
    </row>
    <row r="45" spans="1:9" x14ac:dyDescent="0.25">
      <c r="A45" s="6" t="s">
        <v>188</v>
      </c>
      <c r="B45" s="70">
        <v>0.01</v>
      </c>
      <c r="C45" s="70">
        <v>0.01</v>
      </c>
      <c r="D45" s="1"/>
    </row>
    <row r="46" spans="1:9" x14ac:dyDescent="0.25">
      <c r="A46" s="6" t="s">
        <v>189</v>
      </c>
      <c r="B46" s="70">
        <v>0.04</v>
      </c>
      <c r="C46" s="70">
        <v>0.04</v>
      </c>
      <c r="D46" s="1"/>
    </row>
    <row r="47" spans="1:9" x14ac:dyDescent="0.25">
      <c r="A47" s="6" t="s">
        <v>190</v>
      </c>
      <c r="B47" s="70">
        <v>0.01</v>
      </c>
      <c r="C47" s="70">
        <v>0.01</v>
      </c>
      <c r="D47" s="1"/>
      <c r="F47" s="1"/>
    </row>
    <row r="48" spans="1:9" x14ac:dyDescent="0.25">
      <c r="A48" s="6" t="s">
        <v>191</v>
      </c>
      <c r="B48" s="71">
        <v>2.5000000000000001E-2</v>
      </c>
      <c r="C48" s="71">
        <v>1.2E-2</v>
      </c>
      <c r="D48" s="1"/>
      <c r="E48" s="86"/>
      <c r="F48" s="86"/>
    </row>
    <row r="49" spans="1:6" x14ac:dyDescent="0.25">
      <c r="A49" s="6" t="s">
        <v>192</v>
      </c>
      <c r="B49" s="71">
        <v>0.02</v>
      </c>
      <c r="C49" s="71">
        <v>0.02</v>
      </c>
      <c r="D49" s="1"/>
      <c r="E49" s="1"/>
      <c r="F49" s="1"/>
    </row>
    <row r="50" spans="1:6" x14ac:dyDescent="0.25">
      <c r="A50" s="154" t="s">
        <v>160</v>
      </c>
      <c r="B50" s="69">
        <f>SUM(B42:B49)</f>
        <v>0.16999999999999998</v>
      </c>
      <c r="C50" s="69">
        <f>SUM(C42:C49)</f>
        <v>0.15699999999999997</v>
      </c>
      <c r="D50" s="1"/>
      <c r="E50" s="1"/>
      <c r="F50" s="1"/>
    </row>
    <row r="51" spans="1:6" x14ac:dyDescent="0.25">
      <c r="E51" s="1"/>
      <c r="F51" s="1"/>
    </row>
    <row r="52" spans="1:6" x14ac:dyDescent="0.25">
      <c r="E52" s="86"/>
      <c r="F52" s="86"/>
    </row>
    <row r="53" spans="1:6" x14ac:dyDescent="0.25">
      <c r="D53" s="1"/>
      <c r="E53" s="1"/>
      <c r="F53" s="1"/>
    </row>
    <row r="54" spans="1:6" x14ac:dyDescent="0.25">
      <c r="D54" s="1"/>
      <c r="E54" s="1"/>
      <c r="F54" s="83"/>
    </row>
    <row r="55" spans="1:6" x14ac:dyDescent="0.25">
      <c r="D55" s="1"/>
      <c r="E55" s="1"/>
    </row>
    <row r="56" spans="1:6" x14ac:dyDescent="0.25">
      <c r="D56" s="1"/>
    </row>
    <row r="57" spans="1:6" x14ac:dyDescent="0.25">
      <c r="D57" s="1"/>
    </row>
    <row r="58" spans="1:6" x14ac:dyDescent="0.25">
      <c r="D58" s="1"/>
    </row>
    <row r="59" spans="1:6" x14ac:dyDescent="0.25">
      <c r="D59" s="1"/>
    </row>
    <row r="60" spans="1:6" x14ac:dyDescent="0.25">
      <c r="D60" s="1"/>
    </row>
    <row r="61" spans="1:6" x14ac:dyDescent="0.25">
      <c r="D61" s="1"/>
    </row>
    <row r="64" spans="1:6" x14ac:dyDescent="0.25">
      <c r="F64" s="1"/>
    </row>
  </sheetData>
  <mergeCells count="17">
    <mergeCell ref="A23:D23"/>
    <mergeCell ref="E23:F23"/>
    <mergeCell ref="A1:J1"/>
    <mergeCell ref="A14:A15"/>
    <mergeCell ref="B14:B15"/>
    <mergeCell ref="E14:E15"/>
    <mergeCell ref="H22:I22"/>
    <mergeCell ref="J27:K28"/>
    <mergeCell ref="E29:F29"/>
    <mergeCell ref="E24:F24"/>
    <mergeCell ref="E27:F27"/>
    <mergeCell ref="H29:I29"/>
    <mergeCell ref="B30:C30"/>
    <mergeCell ref="A31:C31"/>
    <mergeCell ref="G38:G39"/>
    <mergeCell ref="A40:C40"/>
    <mergeCell ref="G40:G41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Q85"/>
  <sheetViews>
    <sheetView topLeftCell="A8" zoomScale="130" zoomScaleNormal="130" workbookViewId="0">
      <selection activeCell="B33" sqref="B33"/>
    </sheetView>
  </sheetViews>
  <sheetFormatPr baseColWidth="10" defaultRowHeight="15" x14ac:dyDescent="0.25"/>
  <cols>
    <col min="1" max="1" width="35.5703125" customWidth="1"/>
    <col min="2" max="2" width="23.140625" customWidth="1"/>
    <col min="3" max="3" width="32.5703125" customWidth="1"/>
    <col min="4" max="4" width="21.85546875" customWidth="1"/>
    <col min="5" max="5" width="46" customWidth="1"/>
    <col min="6" max="6" width="26.5703125" customWidth="1"/>
    <col min="7" max="7" width="27.42578125" customWidth="1"/>
    <col min="8" max="8" width="25.85546875" customWidth="1"/>
    <col min="9" max="9" width="26.28515625" customWidth="1"/>
    <col min="10" max="10" width="26.85546875" customWidth="1"/>
    <col min="11" max="11" width="25.42578125" customWidth="1"/>
    <col min="12" max="12" width="12.7109375" customWidth="1"/>
    <col min="16" max="16" width="13.7109375" customWidth="1"/>
  </cols>
  <sheetData>
    <row r="1" spans="1:17" ht="30" x14ac:dyDescent="0.25">
      <c r="A1" s="150" t="s">
        <v>123</v>
      </c>
      <c r="B1" s="150" t="s">
        <v>121</v>
      </c>
      <c r="C1" s="150" t="s">
        <v>122</v>
      </c>
      <c r="D1" s="150" t="s">
        <v>124</v>
      </c>
      <c r="E1" s="158" t="s">
        <v>290</v>
      </c>
      <c r="F1" s="158" t="s">
        <v>291</v>
      </c>
    </row>
    <row r="2" spans="1:17" x14ac:dyDescent="0.25">
      <c r="A2" s="25" t="s">
        <v>254</v>
      </c>
      <c r="B2" s="18">
        <v>1890000</v>
      </c>
      <c r="C2" s="18">
        <f>(B2*65%)/30</f>
        <v>40950</v>
      </c>
      <c r="D2" s="16">
        <v>1750905</v>
      </c>
      <c r="E2" s="123">
        <v>541700</v>
      </c>
      <c r="F2" s="6">
        <f>B72</f>
        <v>22</v>
      </c>
    </row>
    <row r="3" spans="1:17" x14ac:dyDescent="0.25">
      <c r="A3" s="26" t="s">
        <v>163</v>
      </c>
      <c r="B3" s="19">
        <v>1890000</v>
      </c>
      <c r="C3" s="23">
        <f>(B3*95%)/30</f>
        <v>59850</v>
      </c>
      <c r="D3" s="157"/>
      <c r="F3" s="6">
        <f>D85</f>
        <v>35</v>
      </c>
    </row>
    <row r="4" spans="1:17" x14ac:dyDescent="0.25">
      <c r="A4" s="27" t="s">
        <v>125</v>
      </c>
      <c r="B4" s="17">
        <v>1890000</v>
      </c>
      <c r="C4" s="17">
        <f>(B4*130%)/30</f>
        <v>81900</v>
      </c>
      <c r="D4" s="93"/>
      <c r="F4" s="6">
        <f>F70</f>
        <v>42</v>
      </c>
    </row>
    <row r="5" spans="1:17" x14ac:dyDescent="0.25">
      <c r="E5" s="146" t="s">
        <v>120</v>
      </c>
      <c r="F5" s="159">
        <f>SUM(F2:F4)</f>
        <v>99</v>
      </c>
    </row>
    <row r="9" spans="1:17" ht="30" x14ac:dyDescent="0.25">
      <c r="A9" s="156" t="s">
        <v>292</v>
      </c>
      <c r="B9" s="156" t="s">
        <v>294</v>
      </c>
      <c r="C9" s="156" t="s">
        <v>304</v>
      </c>
      <c r="D9" s="156" t="s">
        <v>138</v>
      </c>
      <c r="E9" s="160" t="s">
        <v>139</v>
      </c>
      <c r="F9" s="156" t="s">
        <v>295</v>
      </c>
      <c r="G9" s="160" t="s">
        <v>325</v>
      </c>
      <c r="H9" s="160" t="s">
        <v>296</v>
      </c>
      <c r="I9" s="160" t="s">
        <v>298</v>
      </c>
      <c r="J9" s="160" t="s">
        <v>297</v>
      </c>
      <c r="K9" s="160" t="s">
        <v>301</v>
      </c>
    </row>
    <row r="10" spans="1:17" x14ac:dyDescent="0.25">
      <c r="A10" s="204" t="s">
        <v>293</v>
      </c>
      <c r="B10" s="204">
        <v>14</v>
      </c>
      <c r="C10" s="207">
        <v>18</v>
      </c>
      <c r="D10" s="165">
        <v>1</v>
      </c>
      <c r="E10" s="165">
        <f>F2</f>
        <v>22</v>
      </c>
      <c r="F10" s="2">
        <f>C2</f>
        <v>40950</v>
      </c>
      <c r="G10" s="2">
        <f>F10*$B$10</f>
        <v>573300</v>
      </c>
      <c r="H10" s="2">
        <f>G10*E10</f>
        <v>12612600</v>
      </c>
      <c r="I10" s="2">
        <f>$E$2/30*$C$10</f>
        <v>325020</v>
      </c>
      <c r="J10" s="2">
        <f>I10*E10</f>
        <v>7150440</v>
      </c>
      <c r="K10" s="201">
        <f>H13+J13</f>
        <v>122273280</v>
      </c>
      <c r="M10" s="1">
        <v>573300</v>
      </c>
      <c r="N10" s="1">
        <v>325020</v>
      </c>
      <c r="O10" s="1">
        <f>SUM(M10:N10)</f>
        <v>898320</v>
      </c>
      <c r="P10" s="1">
        <f>O10*22</f>
        <v>19763040</v>
      </c>
      <c r="Q10" s="1"/>
    </row>
    <row r="11" spans="1:17" x14ac:dyDescent="0.25">
      <c r="A11" s="205"/>
      <c r="B11" s="205"/>
      <c r="C11" s="207"/>
      <c r="D11" s="165">
        <v>2</v>
      </c>
      <c r="E11" s="179">
        <f t="shared" ref="E11:E12" si="0">F3</f>
        <v>35</v>
      </c>
      <c r="F11" s="2">
        <f>C3</f>
        <v>59850</v>
      </c>
      <c r="G11" s="2">
        <f>F11*$B$10</f>
        <v>837900</v>
      </c>
      <c r="H11" s="2">
        <f>G11*E11</f>
        <v>29326500</v>
      </c>
      <c r="I11" s="2">
        <f>$E$2/30*$C$10</f>
        <v>325020</v>
      </c>
      <c r="J11" s="2">
        <f>I11*E11</f>
        <v>11375700</v>
      </c>
      <c r="K11" s="202"/>
      <c r="M11" s="1">
        <v>837900</v>
      </c>
      <c r="N11" s="1">
        <v>325020</v>
      </c>
      <c r="O11" s="1">
        <f t="shared" ref="O11:O12" si="1">SUM(M11:N11)</f>
        <v>1162920</v>
      </c>
      <c r="P11" s="1">
        <f>O11*35</f>
        <v>40702200</v>
      </c>
      <c r="Q11" s="1"/>
    </row>
    <row r="12" spans="1:17" x14ac:dyDescent="0.25">
      <c r="A12" s="206"/>
      <c r="B12" s="206"/>
      <c r="C12" s="207"/>
      <c r="D12" s="165">
        <v>3</v>
      </c>
      <c r="E12" s="179">
        <f t="shared" si="0"/>
        <v>42</v>
      </c>
      <c r="F12" s="2">
        <f>C4</f>
        <v>81900</v>
      </c>
      <c r="G12" s="2">
        <f>F12*$B$10</f>
        <v>1146600</v>
      </c>
      <c r="H12" s="2">
        <f t="shared" ref="H12" si="2">G12*E12</f>
        <v>48157200</v>
      </c>
      <c r="I12" s="2">
        <f>$E$2/30*$C$10</f>
        <v>325020</v>
      </c>
      <c r="J12" s="2">
        <f t="shared" ref="J12" si="3">I12*E12</f>
        <v>13650840</v>
      </c>
      <c r="K12" s="203"/>
      <c r="M12" s="1">
        <v>1146600</v>
      </c>
      <c r="N12" s="1">
        <v>325020</v>
      </c>
      <c r="O12" s="1">
        <f t="shared" si="1"/>
        <v>1471620</v>
      </c>
      <c r="P12" s="1">
        <f>O12*42</f>
        <v>61808040</v>
      </c>
      <c r="Q12" s="1"/>
    </row>
    <row r="13" spans="1:17" x14ac:dyDescent="0.25">
      <c r="G13" s="161" t="s">
        <v>299</v>
      </c>
      <c r="H13" s="162">
        <f>SUM(H10:H12)</f>
        <v>90096300</v>
      </c>
      <c r="I13" s="163" t="s">
        <v>300</v>
      </c>
      <c r="J13" s="164">
        <f>SUM(J10:J12)</f>
        <v>32176980</v>
      </c>
      <c r="M13" s="1"/>
      <c r="N13" s="1"/>
      <c r="O13" s="1"/>
      <c r="P13" s="1">
        <f>SUM(P10:P12)</f>
        <v>122273280</v>
      </c>
      <c r="Q13" s="1"/>
    </row>
    <row r="14" spans="1:17" x14ac:dyDescent="0.25">
      <c r="L14" s="254">
        <f>K10+K18</f>
        <v>241686330</v>
      </c>
    </row>
    <row r="15" spans="1:17" x14ac:dyDescent="0.25">
      <c r="L15" s="183"/>
    </row>
    <row r="17" spans="1:16" ht="30" x14ac:dyDescent="0.25">
      <c r="A17" s="170" t="s">
        <v>292</v>
      </c>
      <c r="B17" s="170" t="s">
        <v>294</v>
      </c>
      <c r="C17" s="170" t="s">
        <v>304</v>
      </c>
      <c r="D17" s="170" t="s">
        <v>138</v>
      </c>
      <c r="E17" s="171" t="s">
        <v>139</v>
      </c>
      <c r="F17" s="170" t="s">
        <v>295</v>
      </c>
      <c r="G17" s="171" t="s">
        <v>325</v>
      </c>
      <c r="H17" s="171" t="s">
        <v>296</v>
      </c>
      <c r="I17" s="171" t="s">
        <v>298</v>
      </c>
      <c r="J17" s="171" t="s">
        <v>297</v>
      </c>
      <c r="K17" s="171" t="s">
        <v>301</v>
      </c>
    </row>
    <row r="18" spans="1:16" x14ac:dyDescent="0.25">
      <c r="A18" s="204" t="s">
        <v>302</v>
      </c>
      <c r="B18" s="204">
        <v>13</v>
      </c>
      <c r="C18" s="207">
        <v>20</v>
      </c>
      <c r="D18" s="165">
        <v>1</v>
      </c>
      <c r="E18" s="165">
        <f>F2</f>
        <v>22</v>
      </c>
      <c r="F18" s="2">
        <f>C2</f>
        <v>40950</v>
      </c>
      <c r="G18" s="2">
        <f>F18*$B$18</f>
        <v>532350</v>
      </c>
      <c r="H18" s="2">
        <f>G18*E18</f>
        <v>11711700</v>
      </c>
      <c r="I18" s="2">
        <f>$E$2/30*$C$18</f>
        <v>361133.33333333337</v>
      </c>
      <c r="J18" s="2">
        <f>I18*E18</f>
        <v>7944933.333333334</v>
      </c>
      <c r="K18" s="201">
        <f>H21+J21</f>
        <v>119413050</v>
      </c>
      <c r="M18" s="1">
        <v>532350</v>
      </c>
      <c r="N18" s="1">
        <v>361133</v>
      </c>
      <c r="O18" s="1">
        <f>SUM(M18:N18)</f>
        <v>893483</v>
      </c>
      <c r="P18" s="1">
        <f>O18*22</f>
        <v>19656626</v>
      </c>
    </row>
    <row r="19" spans="1:16" x14ac:dyDescent="0.25">
      <c r="A19" s="205"/>
      <c r="B19" s="205"/>
      <c r="C19" s="207"/>
      <c r="D19" s="165">
        <v>2</v>
      </c>
      <c r="E19" s="179">
        <f t="shared" ref="E19:E20" si="4">F3</f>
        <v>35</v>
      </c>
      <c r="F19" s="2">
        <f t="shared" ref="F19:F20" si="5">C3</f>
        <v>59850</v>
      </c>
      <c r="G19" s="2">
        <f t="shared" ref="G19:G20" si="6">F19*$B$18</f>
        <v>778050</v>
      </c>
      <c r="H19" s="2">
        <f>G19*E19</f>
        <v>27231750</v>
      </c>
      <c r="I19" s="2">
        <f t="shared" ref="I19:I20" si="7">$E$2/30*$C$18</f>
        <v>361133.33333333337</v>
      </c>
      <c r="J19" s="2">
        <f>I19*E19</f>
        <v>12639666.666666668</v>
      </c>
      <c r="K19" s="202"/>
      <c r="M19" s="1">
        <v>778050</v>
      </c>
      <c r="N19" s="1">
        <v>361133</v>
      </c>
      <c r="O19" s="1">
        <f t="shared" ref="O19:O20" si="8">SUM(M19:N19)</f>
        <v>1139183</v>
      </c>
      <c r="P19" s="1">
        <f>O19*35</f>
        <v>39871405</v>
      </c>
    </row>
    <row r="20" spans="1:16" x14ac:dyDescent="0.25">
      <c r="A20" s="206"/>
      <c r="B20" s="206"/>
      <c r="C20" s="207"/>
      <c r="D20" s="165">
        <v>3</v>
      </c>
      <c r="E20" s="179">
        <f t="shared" si="4"/>
        <v>42</v>
      </c>
      <c r="F20" s="2">
        <f t="shared" si="5"/>
        <v>81900</v>
      </c>
      <c r="G20" s="2">
        <f t="shared" si="6"/>
        <v>1064700</v>
      </c>
      <c r="H20" s="2">
        <f>G20*E20</f>
        <v>44717400</v>
      </c>
      <c r="I20" s="2">
        <f t="shared" si="7"/>
        <v>361133.33333333337</v>
      </c>
      <c r="J20" s="2">
        <f t="shared" ref="J20" si="9">I20*E20</f>
        <v>15167600.000000002</v>
      </c>
      <c r="K20" s="203"/>
      <c r="M20" s="1">
        <v>1064700</v>
      </c>
      <c r="N20" s="1">
        <v>361133</v>
      </c>
      <c r="O20" s="1">
        <f t="shared" si="8"/>
        <v>1425833</v>
      </c>
      <c r="P20" s="1">
        <f>O20*42</f>
        <v>59884986</v>
      </c>
    </row>
    <row r="21" spans="1:16" x14ac:dyDescent="0.25">
      <c r="G21" s="161" t="s">
        <v>299</v>
      </c>
      <c r="H21" s="162">
        <f>SUM(H18:H20)</f>
        <v>83660850</v>
      </c>
      <c r="I21" s="172" t="s">
        <v>300</v>
      </c>
      <c r="J21" s="173">
        <f>SUM(J18:J20)</f>
        <v>35752200</v>
      </c>
    </row>
    <row r="23" spans="1:16" x14ac:dyDescent="0.25">
      <c r="D23" s="181"/>
      <c r="O23" s="1">
        <f>O10+O18</f>
        <v>1791803</v>
      </c>
      <c r="P23" s="1">
        <f>O23*22</f>
        <v>39419666</v>
      </c>
    </row>
    <row r="24" spans="1:16" x14ac:dyDescent="0.25">
      <c r="D24" s="181"/>
      <c r="O24" s="1">
        <f>O11+O19</f>
        <v>2302103</v>
      </c>
      <c r="P24" s="1">
        <f>O24*35</f>
        <v>80573605</v>
      </c>
    </row>
    <row r="25" spans="1:16" x14ac:dyDescent="0.25">
      <c r="D25" s="181"/>
      <c r="O25" s="1">
        <f>O12+O20</f>
        <v>2897453</v>
      </c>
      <c r="P25" s="1">
        <f>O25*42</f>
        <v>121693026</v>
      </c>
    </row>
    <row r="26" spans="1:16" x14ac:dyDescent="0.25">
      <c r="A26" s="200" t="s">
        <v>174</v>
      </c>
      <c r="B26" s="200"/>
      <c r="C26" s="1"/>
      <c r="P26" s="1">
        <f>SUM(P23:P25)</f>
        <v>241686297</v>
      </c>
    </row>
    <row r="27" spans="1:16" x14ac:dyDescent="0.25">
      <c r="A27" s="62" t="s">
        <v>128</v>
      </c>
      <c r="B27" s="2">
        <f>H13+H21</f>
        <v>173757150</v>
      </c>
      <c r="C27" s="1"/>
    </row>
    <row r="28" spans="1:16" x14ac:dyDescent="0.25">
      <c r="A28" s="62" t="s">
        <v>159</v>
      </c>
      <c r="B28" s="2">
        <f>J13+J21</f>
        <v>67929180</v>
      </c>
      <c r="C28" s="1"/>
    </row>
    <row r="29" spans="1:16" x14ac:dyDescent="0.25">
      <c r="A29" s="62" t="s">
        <v>206</v>
      </c>
      <c r="B29" s="2">
        <v>0</v>
      </c>
      <c r="C29" s="174" t="s">
        <v>244</v>
      </c>
      <c r="D29" s="2">
        <f>B30*5%</f>
        <v>12084316.5</v>
      </c>
    </row>
    <row r="30" spans="1:16" x14ac:dyDescent="0.25">
      <c r="A30" s="63" t="s">
        <v>120</v>
      </c>
      <c r="B30" s="15">
        <f>SUM(B27:B29)</f>
        <v>241686330</v>
      </c>
      <c r="C30" s="1"/>
    </row>
    <row r="31" spans="1:16" x14ac:dyDescent="0.25">
      <c r="A31" s="63" t="s">
        <v>217</v>
      </c>
      <c r="B31" s="15">
        <f>B30*26.1%</f>
        <v>63080132.130000003</v>
      </c>
      <c r="C31" s="144" t="s">
        <v>275</v>
      </c>
      <c r="D31" s="144" t="s">
        <v>309</v>
      </c>
      <c r="E31" s="175" t="s">
        <v>318</v>
      </c>
    </row>
    <row r="32" spans="1:16" x14ac:dyDescent="0.25">
      <c r="A32" s="63" t="s">
        <v>214</v>
      </c>
      <c r="B32" s="15">
        <f>SUM(B30:B31)</f>
        <v>304766462.13</v>
      </c>
      <c r="C32" s="2">
        <f>B32-C39</f>
        <v>254788689.34779</v>
      </c>
      <c r="D32" s="2">
        <f>C32-D29</f>
        <v>242704372.84779</v>
      </c>
      <c r="E32" s="2">
        <f>D32-B30</f>
        <v>1018042.8477900028</v>
      </c>
    </row>
    <row r="35" spans="1:6" x14ac:dyDescent="0.25">
      <c r="A35" s="8"/>
    </row>
    <row r="36" spans="1:6" x14ac:dyDescent="0.25">
      <c r="A36" s="200" t="s">
        <v>270</v>
      </c>
      <c r="B36" s="200"/>
      <c r="C36" s="169" t="s">
        <v>181</v>
      </c>
    </row>
    <row r="37" spans="1:6" x14ac:dyDescent="0.25">
      <c r="A37" s="62" t="s">
        <v>271</v>
      </c>
      <c r="B37" s="2">
        <f>'GENERAL 2DO CONTRATO'!F26</f>
        <v>163802940.60000002</v>
      </c>
      <c r="C37" s="2">
        <f>B37*17%</f>
        <v>27846499.902000006</v>
      </c>
    </row>
    <row r="38" spans="1:6" x14ac:dyDescent="0.25">
      <c r="A38" s="62" t="s">
        <v>272</v>
      </c>
      <c r="B38" s="2">
        <f>B32-B37</f>
        <v>140963521.52999997</v>
      </c>
      <c r="C38" s="2">
        <f>B38*15.7%</f>
        <v>22131272.880209997</v>
      </c>
    </row>
    <row r="39" spans="1:6" x14ac:dyDescent="0.25">
      <c r="A39" s="63" t="s">
        <v>160</v>
      </c>
      <c r="B39" s="15">
        <f>SUM(B37:B38)</f>
        <v>304766462.13</v>
      </c>
      <c r="C39" s="15">
        <f>SUM(C37:C38)</f>
        <v>49977772.782210007</v>
      </c>
    </row>
    <row r="42" spans="1:6" x14ac:dyDescent="0.25">
      <c r="A42" s="1"/>
      <c r="B42" s="1"/>
      <c r="C42" s="1"/>
    </row>
    <row r="43" spans="1:6" x14ac:dyDescent="0.25">
      <c r="A43" s="1"/>
      <c r="B43" s="1"/>
      <c r="C43" s="1"/>
    </row>
    <row r="44" spans="1:6" x14ac:dyDescent="0.25">
      <c r="A44" s="1"/>
      <c r="B44" s="1"/>
      <c r="C44" s="1"/>
    </row>
    <row r="45" spans="1:6" x14ac:dyDescent="0.25">
      <c r="A45" s="1"/>
      <c r="B45" s="1"/>
      <c r="C45" s="1"/>
    </row>
    <row r="47" spans="1:6" x14ac:dyDescent="0.25">
      <c r="A47" s="195" t="s">
        <v>306</v>
      </c>
      <c r="B47" s="195"/>
      <c r="C47" s="195" t="s">
        <v>307</v>
      </c>
      <c r="D47" s="195"/>
      <c r="E47" s="196" t="s">
        <v>308</v>
      </c>
      <c r="F47" s="197"/>
    </row>
    <row r="48" spans="1:6" x14ac:dyDescent="0.25">
      <c r="A48" s="195"/>
      <c r="B48" s="195"/>
      <c r="C48" s="195"/>
      <c r="D48" s="195"/>
      <c r="E48" s="198"/>
      <c r="F48" s="199"/>
    </row>
    <row r="49" spans="1:6" x14ac:dyDescent="0.25">
      <c r="A49" s="152" t="s">
        <v>305</v>
      </c>
      <c r="B49" s="152" t="s">
        <v>139</v>
      </c>
      <c r="C49" s="152" t="s">
        <v>305</v>
      </c>
      <c r="D49" s="152" t="s">
        <v>139</v>
      </c>
      <c r="E49" s="152" t="s">
        <v>305</v>
      </c>
      <c r="F49" s="152" t="s">
        <v>139</v>
      </c>
    </row>
    <row r="50" spans="1:6" x14ac:dyDescent="0.25">
      <c r="A50" s="29" t="s">
        <v>23</v>
      </c>
      <c r="B50" s="166">
        <v>1</v>
      </c>
      <c r="C50" s="32" t="s">
        <v>83</v>
      </c>
      <c r="D50" s="167">
        <v>1</v>
      </c>
      <c r="E50" s="35" t="s">
        <v>42</v>
      </c>
      <c r="F50" s="168">
        <v>1</v>
      </c>
    </row>
    <row r="51" spans="1:6" x14ac:dyDescent="0.25">
      <c r="A51" s="29" t="s">
        <v>38</v>
      </c>
      <c r="B51" s="166">
        <v>1</v>
      </c>
      <c r="C51" s="32" t="s">
        <v>107</v>
      </c>
      <c r="D51" s="167">
        <v>1</v>
      </c>
      <c r="E51" s="35" t="s">
        <v>39</v>
      </c>
      <c r="F51" s="168">
        <v>4</v>
      </c>
    </row>
    <row r="52" spans="1:6" x14ac:dyDescent="0.25">
      <c r="A52" s="29" t="s">
        <v>43</v>
      </c>
      <c r="B52" s="166">
        <v>1</v>
      </c>
      <c r="C52" s="32" t="s">
        <v>27</v>
      </c>
      <c r="D52" s="167">
        <v>1</v>
      </c>
      <c r="E52" s="35" t="s">
        <v>50</v>
      </c>
      <c r="F52" s="168">
        <v>5</v>
      </c>
    </row>
    <row r="53" spans="1:6" x14ac:dyDescent="0.25">
      <c r="A53" s="29" t="s">
        <v>45</v>
      </c>
      <c r="B53" s="166">
        <v>1</v>
      </c>
      <c r="C53" s="32" t="s">
        <v>104</v>
      </c>
      <c r="D53" s="167">
        <v>1</v>
      </c>
      <c r="E53" s="35" t="s">
        <v>51</v>
      </c>
      <c r="F53" s="168">
        <v>6</v>
      </c>
    </row>
    <row r="54" spans="1:6" ht="30" x14ac:dyDescent="0.25">
      <c r="A54" s="29" t="s">
        <v>48</v>
      </c>
      <c r="B54" s="166">
        <v>1</v>
      </c>
      <c r="C54" s="32" t="s">
        <v>28</v>
      </c>
      <c r="D54" s="167">
        <v>1</v>
      </c>
      <c r="E54" s="35" t="s">
        <v>53</v>
      </c>
      <c r="F54" s="168">
        <v>1</v>
      </c>
    </row>
    <row r="55" spans="1:6" x14ac:dyDescent="0.25">
      <c r="A55" s="29" t="s">
        <v>49</v>
      </c>
      <c r="B55" s="166">
        <v>1</v>
      </c>
      <c r="C55" s="32" t="s">
        <v>29</v>
      </c>
      <c r="D55" s="167">
        <v>1</v>
      </c>
      <c r="E55" s="35" t="s">
        <v>54</v>
      </c>
      <c r="F55" s="168">
        <v>2</v>
      </c>
    </row>
    <row r="56" spans="1:6" x14ac:dyDescent="0.25">
      <c r="A56" s="29" t="s">
        <v>62</v>
      </c>
      <c r="B56" s="166">
        <v>1</v>
      </c>
      <c r="C56" s="32" t="s">
        <v>30</v>
      </c>
      <c r="D56" s="167">
        <v>1</v>
      </c>
      <c r="E56" s="35" t="s">
        <v>55</v>
      </c>
      <c r="F56" s="168">
        <v>1</v>
      </c>
    </row>
    <row r="57" spans="1:6" x14ac:dyDescent="0.25">
      <c r="A57" s="29" t="s">
        <v>63</v>
      </c>
      <c r="B57" s="166">
        <v>1</v>
      </c>
      <c r="C57" s="32" t="s">
        <v>33</v>
      </c>
      <c r="D57" s="167">
        <v>1</v>
      </c>
      <c r="E57" s="35" t="s">
        <v>60</v>
      </c>
      <c r="F57" s="168">
        <v>1</v>
      </c>
    </row>
    <row r="58" spans="1:6" x14ac:dyDescent="0.25">
      <c r="A58" s="29" t="s">
        <v>79</v>
      </c>
      <c r="B58" s="166">
        <v>1</v>
      </c>
      <c r="C58" s="32" t="s">
        <v>35</v>
      </c>
      <c r="D58" s="167">
        <v>1</v>
      </c>
      <c r="E58" s="35" t="s">
        <v>64</v>
      </c>
      <c r="F58" s="168">
        <v>1</v>
      </c>
    </row>
    <row r="59" spans="1:6" x14ac:dyDescent="0.25">
      <c r="A59" s="29" t="s">
        <v>86</v>
      </c>
      <c r="B59" s="166">
        <v>1</v>
      </c>
      <c r="C59" s="32" t="s">
        <v>36</v>
      </c>
      <c r="D59" s="167">
        <v>1</v>
      </c>
      <c r="E59" s="35" t="s">
        <v>65</v>
      </c>
      <c r="F59" s="168">
        <v>1</v>
      </c>
    </row>
    <row r="60" spans="1:6" ht="30" x14ac:dyDescent="0.25">
      <c r="A60" s="29" t="s">
        <v>88</v>
      </c>
      <c r="B60" s="166">
        <v>1</v>
      </c>
      <c r="C60" s="32" t="s">
        <v>37</v>
      </c>
      <c r="D60" s="167">
        <v>1</v>
      </c>
      <c r="E60" s="35" t="s">
        <v>66</v>
      </c>
      <c r="F60" s="168">
        <v>2</v>
      </c>
    </row>
    <row r="61" spans="1:6" x14ac:dyDescent="0.25">
      <c r="A61" s="29" t="s">
        <v>91</v>
      </c>
      <c r="B61" s="166">
        <v>1</v>
      </c>
      <c r="C61" s="32" t="s">
        <v>40</v>
      </c>
      <c r="D61" s="167">
        <v>1</v>
      </c>
      <c r="E61" s="35" t="s">
        <v>67</v>
      </c>
      <c r="F61" s="168">
        <v>2</v>
      </c>
    </row>
    <row r="62" spans="1:6" x14ac:dyDescent="0.25">
      <c r="A62" s="29" t="s">
        <v>102</v>
      </c>
      <c r="B62" s="166">
        <v>1</v>
      </c>
      <c r="C62" s="32" t="s">
        <v>41</v>
      </c>
      <c r="D62" s="167">
        <v>1</v>
      </c>
      <c r="E62" s="35" t="s">
        <v>82</v>
      </c>
      <c r="F62" s="168">
        <v>1</v>
      </c>
    </row>
    <row r="63" spans="1:6" ht="30" x14ac:dyDescent="0.25">
      <c r="A63" s="29" t="s">
        <v>81</v>
      </c>
      <c r="B63" s="166">
        <v>1</v>
      </c>
      <c r="C63" s="32" t="s">
        <v>47</v>
      </c>
      <c r="D63" s="167">
        <v>1</v>
      </c>
      <c r="E63" s="35" t="s">
        <v>77</v>
      </c>
      <c r="F63" s="168">
        <v>3</v>
      </c>
    </row>
    <row r="64" spans="1:6" ht="30" x14ac:dyDescent="0.25">
      <c r="A64" s="29" t="s">
        <v>87</v>
      </c>
      <c r="B64" s="166">
        <v>1</v>
      </c>
      <c r="C64" s="32" t="s">
        <v>52</v>
      </c>
      <c r="D64" s="167">
        <v>1</v>
      </c>
      <c r="E64" s="35" t="s">
        <v>94</v>
      </c>
      <c r="F64" s="168">
        <v>4</v>
      </c>
    </row>
    <row r="65" spans="1:6" x14ac:dyDescent="0.25">
      <c r="A65" s="29" t="s">
        <v>32</v>
      </c>
      <c r="B65" s="166">
        <v>1</v>
      </c>
      <c r="C65" s="32" t="s">
        <v>56</v>
      </c>
      <c r="D65" s="167">
        <v>1</v>
      </c>
      <c r="E65" s="35" t="s">
        <v>95</v>
      </c>
      <c r="F65" s="168">
        <v>1</v>
      </c>
    </row>
    <row r="66" spans="1:6" x14ac:dyDescent="0.25">
      <c r="A66" s="29" t="s">
        <v>34</v>
      </c>
      <c r="B66" s="166">
        <v>1</v>
      </c>
      <c r="C66" s="32" t="s">
        <v>58</v>
      </c>
      <c r="D66" s="167">
        <v>1</v>
      </c>
      <c r="E66" s="35" t="s">
        <v>103</v>
      </c>
      <c r="F66" s="168">
        <v>1</v>
      </c>
    </row>
    <row r="67" spans="1:6" x14ac:dyDescent="0.25">
      <c r="A67" s="29" t="s">
        <v>57</v>
      </c>
      <c r="B67" s="166">
        <v>1</v>
      </c>
      <c r="C67" s="32" t="s">
        <v>59</v>
      </c>
      <c r="D67" s="167">
        <v>1</v>
      </c>
      <c r="E67" s="35" t="s">
        <v>110</v>
      </c>
      <c r="F67" s="168">
        <v>2</v>
      </c>
    </row>
    <row r="68" spans="1:6" ht="30" x14ac:dyDescent="0.25">
      <c r="A68" s="29" t="s">
        <v>73</v>
      </c>
      <c r="B68" s="166">
        <v>1</v>
      </c>
      <c r="C68" s="32" t="s">
        <v>68</v>
      </c>
      <c r="D68" s="167">
        <v>1</v>
      </c>
      <c r="E68" s="35" t="s">
        <v>111</v>
      </c>
      <c r="F68" s="168">
        <v>2</v>
      </c>
    </row>
    <row r="69" spans="1:6" x14ac:dyDescent="0.25">
      <c r="A69" s="29" t="s">
        <v>78</v>
      </c>
      <c r="B69" s="166">
        <v>1</v>
      </c>
      <c r="C69" s="32" t="s">
        <v>69</v>
      </c>
      <c r="D69" s="167">
        <v>1</v>
      </c>
      <c r="E69" s="38" t="s">
        <v>113</v>
      </c>
      <c r="F69" s="168">
        <v>1</v>
      </c>
    </row>
    <row r="70" spans="1:6" x14ac:dyDescent="0.25">
      <c r="A70" s="29" t="s">
        <v>85</v>
      </c>
      <c r="B70" s="166">
        <v>1</v>
      </c>
      <c r="C70" s="32" t="s">
        <v>74</v>
      </c>
      <c r="D70" s="167">
        <v>1</v>
      </c>
      <c r="F70" s="153">
        <f>SUM(F50:F69)</f>
        <v>42</v>
      </c>
    </row>
    <row r="71" spans="1:6" x14ac:dyDescent="0.25">
      <c r="A71" s="29" t="s">
        <v>97</v>
      </c>
      <c r="B71" s="166">
        <v>1</v>
      </c>
      <c r="C71" s="32" t="s">
        <v>75</v>
      </c>
      <c r="D71" s="167">
        <v>1</v>
      </c>
    </row>
    <row r="72" spans="1:6" x14ac:dyDescent="0.25">
      <c r="B72" s="180">
        <f>SUM(B50:B71)</f>
        <v>22</v>
      </c>
      <c r="C72" s="32" t="s">
        <v>76</v>
      </c>
      <c r="D72" s="167">
        <v>1</v>
      </c>
    </row>
    <row r="73" spans="1:6" x14ac:dyDescent="0.25">
      <c r="C73" s="32" t="s">
        <v>84</v>
      </c>
      <c r="D73" s="167">
        <v>1</v>
      </c>
    </row>
    <row r="74" spans="1:6" x14ac:dyDescent="0.25">
      <c r="C74" s="32" t="s">
        <v>92</v>
      </c>
      <c r="D74" s="167">
        <v>1</v>
      </c>
    </row>
    <row r="75" spans="1:6" x14ac:dyDescent="0.25">
      <c r="C75" s="32" t="s">
        <v>93</v>
      </c>
      <c r="D75" s="167">
        <v>1</v>
      </c>
    </row>
    <row r="76" spans="1:6" x14ac:dyDescent="0.25">
      <c r="C76" s="32" t="s">
        <v>96</v>
      </c>
      <c r="D76" s="167">
        <v>1</v>
      </c>
    </row>
    <row r="77" spans="1:6" x14ac:dyDescent="0.25">
      <c r="C77" s="32" t="s">
        <v>98</v>
      </c>
      <c r="D77" s="167">
        <v>1</v>
      </c>
    </row>
    <row r="78" spans="1:6" x14ac:dyDescent="0.25">
      <c r="C78" s="32" t="s">
        <v>99</v>
      </c>
      <c r="D78" s="167">
        <v>1</v>
      </c>
    </row>
    <row r="79" spans="1:6" x14ac:dyDescent="0.25">
      <c r="C79" s="32" t="s">
        <v>100</v>
      </c>
      <c r="D79" s="167">
        <v>1</v>
      </c>
    </row>
    <row r="80" spans="1:6" x14ac:dyDescent="0.25">
      <c r="C80" s="32" t="s">
        <v>106</v>
      </c>
      <c r="D80" s="167">
        <v>1</v>
      </c>
    </row>
    <row r="81" spans="3:4" x14ac:dyDescent="0.25">
      <c r="C81" s="32" t="s">
        <v>24</v>
      </c>
      <c r="D81" s="167">
        <v>1</v>
      </c>
    </row>
    <row r="82" spans="3:4" x14ac:dyDescent="0.25">
      <c r="C82" s="32" t="s">
        <v>61</v>
      </c>
      <c r="D82" s="167">
        <v>1</v>
      </c>
    </row>
    <row r="83" spans="3:4" x14ac:dyDescent="0.25">
      <c r="C83" s="32" t="s">
        <v>71</v>
      </c>
      <c r="D83" s="167">
        <v>1</v>
      </c>
    </row>
    <row r="84" spans="3:4" x14ac:dyDescent="0.25">
      <c r="C84" s="32" t="s">
        <v>89</v>
      </c>
      <c r="D84" s="167">
        <v>1</v>
      </c>
    </row>
    <row r="85" spans="3:4" x14ac:dyDescent="0.25">
      <c r="D85" s="178">
        <f>SUM(D50:D84)</f>
        <v>35</v>
      </c>
    </row>
  </sheetData>
  <mergeCells count="14">
    <mergeCell ref="L14:L15"/>
    <mergeCell ref="K10:K12"/>
    <mergeCell ref="A18:A20"/>
    <mergeCell ref="B18:B20"/>
    <mergeCell ref="C18:C20"/>
    <mergeCell ref="K18:K20"/>
    <mergeCell ref="A10:A12"/>
    <mergeCell ref="B10:B12"/>
    <mergeCell ref="C10:C12"/>
    <mergeCell ref="A47:B48"/>
    <mergeCell ref="C47:D48"/>
    <mergeCell ref="E47:F48"/>
    <mergeCell ref="A36:B36"/>
    <mergeCell ref="A26:B26"/>
  </mergeCells>
  <pageMargins left="0.7" right="0.7" top="0.75" bottom="0.75" header="0.3" footer="0.3"/>
  <pageSetup orientation="portrait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0"/>
  <sheetViews>
    <sheetView zoomScale="145" zoomScaleNormal="145" workbookViewId="0">
      <selection activeCell="A15" sqref="A15"/>
    </sheetView>
  </sheetViews>
  <sheetFormatPr baseColWidth="10" defaultRowHeight="15" x14ac:dyDescent="0.25"/>
  <cols>
    <col min="1" max="1" width="37.5703125" style="8" customWidth="1"/>
    <col min="2" max="2" width="12.7109375" customWidth="1"/>
  </cols>
  <sheetData>
    <row r="1" spans="1:6" ht="15" customHeight="1" x14ac:dyDescent="0.25">
      <c r="A1" s="10" t="s">
        <v>112</v>
      </c>
      <c r="B1" s="8"/>
      <c r="C1" s="8"/>
      <c r="D1" s="8"/>
      <c r="E1" s="8"/>
      <c r="F1" s="8"/>
    </row>
    <row r="2" spans="1:6" x14ac:dyDescent="0.25">
      <c r="A2" s="11" t="s">
        <v>22</v>
      </c>
    </row>
    <row r="3" spans="1:6" x14ac:dyDescent="0.25">
      <c r="A3" s="11" t="s">
        <v>25</v>
      </c>
    </row>
    <row r="4" spans="1:6" x14ac:dyDescent="0.25">
      <c r="A4" s="11" t="s">
        <v>26</v>
      </c>
    </row>
    <row r="5" spans="1:6" x14ac:dyDescent="0.25">
      <c r="A5" s="11" t="s">
        <v>101</v>
      </c>
    </row>
    <row r="6" spans="1:6" x14ac:dyDescent="0.25">
      <c r="A6" s="11" t="s">
        <v>105</v>
      </c>
    </row>
    <row r="7" spans="1:6" x14ac:dyDescent="0.25">
      <c r="A7" s="11" t="s">
        <v>108</v>
      </c>
    </row>
    <row r="8" spans="1:6" x14ac:dyDescent="0.25">
      <c r="A8" s="11" t="s">
        <v>109</v>
      </c>
    </row>
    <row r="9" spans="1:6" x14ac:dyDescent="0.25">
      <c r="A9" s="11" t="s">
        <v>44</v>
      </c>
    </row>
    <row r="10" spans="1:6" x14ac:dyDescent="0.25">
      <c r="A10" s="11" t="s">
        <v>46</v>
      </c>
    </row>
    <row r="11" spans="1:6" x14ac:dyDescent="0.25">
      <c r="A11" s="11" t="s">
        <v>70</v>
      </c>
    </row>
    <row r="12" spans="1:6" x14ac:dyDescent="0.25">
      <c r="A12" s="11" t="s">
        <v>72</v>
      </c>
    </row>
    <row r="13" spans="1:6" x14ac:dyDescent="0.25">
      <c r="A13" s="11" t="s">
        <v>90</v>
      </c>
    </row>
    <row r="14" spans="1:6" x14ac:dyDescent="0.25">
      <c r="A14" s="29" t="s">
        <v>31</v>
      </c>
    </row>
    <row r="15" spans="1:6" x14ac:dyDescent="0.25">
      <c r="A15" s="29" t="s">
        <v>80</v>
      </c>
    </row>
    <row r="16" spans="1:6" x14ac:dyDescent="0.25">
      <c r="A16" s="62" t="s">
        <v>233</v>
      </c>
    </row>
    <row r="17" spans="1:1" x14ac:dyDescent="0.25">
      <c r="A17" s="62" t="s">
        <v>234</v>
      </c>
    </row>
    <row r="20" spans="1:1" x14ac:dyDescent="0.25">
      <c r="A20" s="12"/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68"/>
  <sheetViews>
    <sheetView topLeftCell="A19" zoomScale="145" zoomScaleNormal="145" workbookViewId="0">
      <selection activeCell="E32" sqref="E32"/>
    </sheetView>
  </sheetViews>
  <sheetFormatPr baseColWidth="10" defaultRowHeight="15" x14ac:dyDescent="0.25"/>
  <cols>
    <col min="1" max="1" width="36.5703125" customWidth="1"/>
    <col min="2" max="2" width="18.7109375" customWidth="1"/>
    <col min="3" max="3" width="21.85546875" customWidth="1"/>
    <col min="4" max="4" width="20.28515625" customWidth="1"/>
    <col min="5" max="5" width="29" customWidth="1"/>
    <col min="6" max="6" width="25.28515625" customWidth="1"/>
    <col min="7" max="7" width="21.140625" customWidth="1"/>
    <col min="8" max="8" width="19" customWidth="1"/>
    <col min="9" max="9" width="26.5703125" customWidth="1"/>
    <col min="11" max="11" width="13.7109375" customWidth="1"/>
    <col min="12" max="12" width="13.28515625" style="1" bestFit="1" customWidth="1"/>
    <col min="13" max="13" width="11.42578125" style="1"/>
  </cols>
  <sheetData>
    <row r="1" spans="1:18" x14ac:dyDescent="0.25">
      <c r="A1" s="194" t="s">
        <v>0</v>
      </c>
      <c r="B1" s="194"/>
      <c r="C1" s="194"/>
      <c r="D1" s="194"/>
      <c r="E1" s="194"/>
      <c r="F1" s="194"/>
      <c r="G1" s="194"/>
      <c r="H1" s="194"/>
      <c r="I1" s="194"/>
      <c r="J1" s="194"/>
    </row>
    <row r="3" spans="1:18" x14ac:dyDescent="0.25">
      <c r="A3" t="s">
        <v>273</v>
      </c>
    </row>
    <row r="4" spans="1:18" x14ac:dyDescent="0.25">
      <c r="A4" s="110" t="s">
        <v>280</v>
      </c>
    </row>
    <row r="5" spans="1:18" x14ac:dyDescent="0.25">
      <c r="A5" t="s">
        <v>4</v>
      </c>
    </row>
    <row r="6" spans="1:18" x14ac:dyDescent="0.25">
      <c r="A6" s="110" t="s">
        <v>278</v>
      </c>
    </row>
    <row r="7" spans="1:18" x14ac:dyDescent="0.25">
      <c r="A7" t="s">
        <v>281</v>
      </c>
    </row>
    <row r="8" spans="1:18" x14ac:dyDescent="0.25">
      <c r="A8" s="110" t="s">
        <v>279</v>
      </c>
      <c r="B8" s="1">
        <v>3719190517</v>
      </c>
      <c r="C8" s="83" t="s">
        <v>285</v>
      </c>
      <c r="D8" s="1">
        <f>B8/2</f>
        <v>1859595258.5</v>
      </c>
    </row>
    <row r="9" spans="1:18" x14ac:dyDescent="0.25">
      <c r="A9" s="110" t="s">
        <v>284</v>
      </c>
      <c r="B9" s="1">
        <v>1018201286</v>
      </c>
      <c r="C9" s="86" t="s">
        <v>286</v>
      </c>
      <c r="D9" s="1">
        <f>D8-B9</f>
        <v>841393972.5</v>
      </c>
      <c r="E9" s="1">
        <f>D9-D35</f>
        <v>23716203.100000024</v>
      </c>
    </row>
    <row r="10" spans="1:18" x14ac:dyDescent="0.25">
      <c r="A10" s="216" t="s">
        <v>261</v>
      </c>
      <c r="B10" s="83" t="s">
        <v>282</v>
      </c>
      <c r="C10" s="143">
        <v>1089444786</v>
      </c>
      <c r="D10" s="217">
        <f>SUM(C10:C11)</f>
        <v>1661307089</v>
      </c>
    </row>
    <row r="11" spans="1:18" x14ac:dyDescent="0.25">
      <c r="A11" s="216"/>
      <c r="B11" s="83" t="s">
        <v>283</v>
      </c>
      <c r="C11" s="143">
        <v>571862303</v>
      </c>
      <c r="D11" s="218"/>
    </row>
    <row r="12" spans="1:18" x14ac:dyDescent="0.25">
      <c r="A12" t="s">
        <v>9</v>
      </c>
    </row>
    <row r="13" spans="1:18" x14ac:dyDescent="0.25">
      <c r="A13" t="s">
        <v>8</v>
      </c>
    </row>
    <row r="14" spans="1:18" x14ac:dyDescent="0.25">
      <c r="A14" s="110" t="s">
        <v>262</v>
      </c>
      <c r="B14" s="1"/>
    </row>
    <row r="15" spans="1:18" x14ac:dyDescent="0.25">
      <c r="A15" s="110" t="s">
        <v>263</v>
      </c>
      <c r="B15" s="1"/>
    </row>
    <row r="16" spans="1:18" x14ac:dyDescent="0.25">
      <c r="N16" t="s">
        <v>165</v>
      </c>
      <c r="Q16" s="1"/>
      <c r="R16" s="1"/>
    </row>
    <row r="17" spans="1:18" x14ac:dyDescent="0.25">
      <c r="A17" s="84"/>
      <c r="B17" s="84"/>
      <c r="C17" s="84"/>
      <c r="D17" s="84"/>
      <c r="E17" s="84"/>
      <c r="F17" s="84"/>
      <c r="Q17" s="1"/>
      <c r="R17" s="1"/>
    </row>
    <row r="18" spans="1:18" ht="30" x14ac:dyDescent="0.25">
      <c r="A18" s="195" t="s">
        <v>15</v>
      </c>
      <c r="B18" s="188" t="s">
        <v>202</v>
      </c>
      <c r="C18" s="130" t="s">
        <v>203</v>
      </c>
      <c r="D18" s="132" t="s">
        <v>193</v>
      </c>
      <c r="E18" s="188" t="s">
        <v>194</v>
      </c>
      <c r="F18" s="84"/>
      <c r="N18" s="208" t="s">
        <v>171</v>
      </c>
      <c r="O18" s="209"/>
      <c r="P18" s="209"/>
      <c r="Q18" s="209"/>
      <c r="R18" s="210"/>
    </row>
    <row r="19" spans="1:18" x14ac:dyDescent="0.25">
      <c r="A19" s="195"/>
      <c r="B19" s="188"/>
      <c r="C19" s="80">
        <v>1.2999999999999999E-2</v>
      </c>
      <c r="D19" s="69">
        <v>5.5100000000000003E-2</v>
      </c>
      <c r="E19" s="188"/>
      <c r="F19" s="84"/>
      <c r="N19" s="132" t="s">
        <v>15</v>
      </c>
      <c r="O19" s="132" t="s">
        <v>166</v>
      </c>
      <c r="P19" s="132" t="s">
        <v>16</v>
      </c>
      <c r="Q19" s="136" t="s">
        <v>17</v>
      </c>
      <c r="R19" s="136" t="s">
        <v>18</v>
      </c>
    </row>
    <row r="20" spans="1:18" x14ac:dyDescent="0.25">
      <c r="A20" s="6" t="s">
        <v>176</v>
      </c>
      <c r="B20" s="2">
        <v>3624</v>
      </c>
      <c r="C20" s="2">
        <f>B20*$C$19</f>
        <v>47.111999999999995</v>
      </c>
      <c r="D20" s="2">
        <f>(B20+C20)*$D$19</f>
        <v>202.27827120000001</v>
      </c>
      <c r="E20" s="2">
        <v>3826</v>
      </c>
      <c r="F20" s="84"/>
      <c r="G20" s="1"/>
      <c r="H20" s="1"/>
      <c r="N20" s="6" t="s">
        <v>167</v>
      </c>
      <c r="O20" s="6" t="s">
        <v>170</v>
      </c>
      <c r="P20" s="6">
        <v>2</v>
      </c>
      <c r="Q20" s="2">
        <v>1500000</v>
      </c>
      <c r="R20" s="2">
        <f>Q20*P20</f>
        <v>3000000</v>
      </c>
    </row>
    <row r="21" spans="1:18" x14ac:dyDescent="0.25">
      <c r="A21" s="6" t="s">
        <v>177</v>
      </c>
      <c r="B21" s="2">
        <v>4938</v>
      </c>
      <c r="C21" s="2">
        <f>B21*$C$19</f>
        <v>64.194000000000003</v>
      </c>
      <c r="D21" s="2">
        <f>(B21+C21)*$D$19</f>
        <v>275.62088940000007</v>
      </c>
      <c r="E21" s="2">
        <v>5214</v>
      </c>
      <c r="F21" s="84"/>
      <c r="G21" s="1"/>
      <c r="H21" s="1"/>
      <c r="N21" s="6" t="s">
        <v>168</v>
      </c>
      <c r="O21" s="6" t="s">
        <v>166</v>
      </c>
      <c r="P21" s="6">
        <v>90</v>
      </c>
      <c r="Q21" s="2">
        <v>35000</v>
      </c>
      <c r="R21" s="2">
        <f t="shared" ref="R21:R22" si="0">Q21*P21</f>
        <v>3150000</v>
      </c>
    </row>
    <row r="22" spans="1:18" x14ac:dyDescent="0.25">
      <c r="A22" s="6" t="s">
        <v>178</v>
      </c>
      <c r="B22" s="2">
        <v>3080000</v>
      </c>
      <c r="C22" s="2">
        <v>0</v>
      </c>
      <c r="D22" s="2">
        <f>(B22+C22)*$D$19</f>
        <v>169708</v>
      </c>
      <c r="E22" s="2">
        <v>3249708</v>
      </c>
      <c r="F22" s="84"/>
      <c r="G22" s="1"/>
      <c r="H22" s="1"/>
      <c r="N22" s="6" t="s">
        <v>169</v>
      </c>
      <c r="O22" s="6" t="s">
        <v>166</v>
      </c>
      <c r="P22" s="6">
        <v>90</v>
      </c>
      <c r="Q22" s="2">
        <v>10000</v>
      </c>
      <c r="R22" s="2">
        <f t="shared" si="0"/>
        <v>900000</v>
      </c>
    </row>
    <row r="23" spans="1:18" x14ac:dyDescent="0.25">
      <c r="A23" s="6" t="s">
        <v>179</v>
      </c>
      <c r="B23" s="2">
        <v>143000</v>
      </c>
      <c r="C23" s="2">
        <v>0</v>
      </c>
      <c r="D23" s="2">
        <f>(B23+C23)*$D$19</f>
        <v>7879.3</v>
      </c>
      <c r="E23" s="2">
        <v>150879</v>
      </c>
      <c r="F23" s="84"/>
      <c r="G23" s="1"/>
      <c r="H23" s="1"/>
      <c r="N23" s="81" t="s">
        <v>204</v>
      </c>
      <c r="O23" s="211" t="s">
        <v>205</v>
      </c>
      <c r="P23" s="211"/>
      <c r="Q23" s="211"/>
      <c r="R23" s="82">
        <v>2500000</v>
      </c>
    </row>
    <row r="24" spans="1:18" x14ac:dyDescent="0.25">
      <c r="A24" s="6" t="s">
        <v>180</v>
      </c>
      <c r="B24" s="2">
        <v>229900</v>
      </c>
      <c r="C24" s="2">
        <v>0</v>
      </c>
      <c r="D24" s="2">
        <f>(B24+C24)*$D$19</f>
        <v>12667.490000000002</v>
      </c>
      <c r="E24" s="2">
        <v>242567</v>
      </c>
      <c r="F24" s="84"/>
      <c r="G24" s="1"/>
      <c r="H24" s="1"/>
      <c r="N24" s="183" t="s">
        <v>116</v>
      </c>
      <c r="O24" s="183"/>
      <c r="P24" s="183"/>
      <c r="Q24" s="183"/>
      <c r="R24" s="15">
        <f>SUM(R20:R23)</f>
        <v>9550000</v>
      </c>
    </row>
    <row r="25" spans="1:18" x14ac:dyDescent="0.25">
      <c r="A25" s="84"/>
      <c r="B25" s="84"/>
      <c r="C25" s="84"/>
      <c r="D25" s="84"/>
      <c r="E25" s="84"/>
      <c r="F25" s="84"/>
      <c r="Q25" s="1"/>
      <c r="R25" s="1"/>
    </row>
    <row r="26" spans="1:18" x14ac:dyDescent="0.25">
      <c r="A26" s="84"/>
      <c r="B26" s="84"/>
      <c r="C26" s="84"/>
      <c r="D26" s="84"/>
      <c r="E26" s="84"/>
      <c r="F26" s="84"/>
      <c r="N26" s="208" t="s">
        <v>172</v>
      </c>
      <c r="O26" s="209"/>
      <c r="P26" s="209"/>
      <c r="Q26" s="209"/>
      <c r="R26" s="210"/>
    </row>
    <row r="27" spans="1:18" x14ac:dyDescent="0.25">
      <c r="A27" s="193" t="s">
        <v>264</v>
      </c>
      <c r="B27" s="193"/>
      <c r="C27" s="193"/>
      <c r="D27" s="193"/>
      <c r="E27" s="191" t="s">
        <v>270</v>
      </c>
      <c r="F27" s="191"/>
      <c r="N27" s="132" t="s">
        <v>15</v>
      </c>
      <c r="O27" s="132" t="s">
        <v>166</v>
      </c>
      <c r="P27" s="132" t="s">
        <v>16</v>
      </c>
      <c r="Q27" s="136" t="s">
        <v>17</v>
      </c>
      <c r="R27" s="136" t="s">
        <v>18</v>
      </c>
    </row>
    <row r="28" spans="1:18" x14ac:dyDescent="0.25">
      <c r="A28" s="131" t="s">
        <v>15</v>
      </c>
      <c r="B28" s="131" t="s">
        <v>16</v>
      </c>
      <c r="C28" s="129" t="s">
        <v>17</v>
      </c>
      <c r="D28" s="129" t="s">
        <v>18</v>
      </c>
      <c r="E28" s="191" t="s">
        <v>271</v>
      </c>
      <c r="F28" s="191"/>
      <c r="G28" s="215"/>
      <c r="H28" s="215"/>
      <c r="N28" s="6" t="s">
        <v>167</v>
      </c>
      <c r="O28" s="6" t="s">
        <v>170</v>
      </c>
      <c r="P28" s="6">
        <v>1</v>
      </c>
      <c r="Q28" s="2">
        <v>1500000</v>
      </c>
      <c r="R28" s="2">
        <f>Q28*P28</f>
        <v>1500000</v>
      </c>
    </row>
    <row r="29" spans="1:18" x14ac:dyDescent="0.25">
      <c r="A29" s="5" t="s">
        <v>10</v>
      </c>
      <c r="B29" s="2">
        <f>4614*24</f>
        <v>110736</v>
      </c>
      <c r="C29" s="2">
        <f>E20</f>
        <v>3826</v>
      </c>
      <c r="D29" s="2">
        <f>B29*C29</f>
        <v>423675936</v>
      </c>
      <c r="E29" s="145" t="s">
        <v>274</v>
      </c>
      <c r="F29" s="145" t="s">
        <v>222</v>
      </c>
      <c r="G29" s="1"/>
      <c r="H29" s="68"/>
      <c r="N29" s="6" t="s">
        <v>168</v>
      </c>
      <c r="O29" s="6" t="s">
        <v>166</v>
      </c>
      <c r="P29" s="6">
        <v>26</v>
      </c>
      <c r="Q29" s="2">
        <v>35000</v>
      </c>
      <c r="R29" s="2">
        <f t="shared" ref="R29:R30" si="1">Q29*P29</f>
        <v>910000</v>
      </c>
    </row>
    <row r="30" spans="1:18" x14ac:dyDescent="0.25">
      <c r="A30" s="5" t="s">
        <v>11</v>
      </c>
      <c r="B30" s="2">
        <f>849*24</f>
        <v>20376</v>
      </c>
      <c r="C30" s="2">
        <f>E21</f>
        <v>5214</v>
      </c>
      <c r="D30" s="2">
        <f>B30*C30</f>
        <v>106240464</v>
      </c>
      <c r="E30" s="142">
        <f>D29+D30</f>
        <v>529916400</v>
      </c>
      <c r="F30" s="117">
        <f>'procesadoras ADICION 2'!B140</f>
        <v>261032548.40000001</v>
      </c>
      <c r="G30" s="1"/>
      <c r="H30" s="68"/>
      <c r="N30" s="6" t="s">
        <v>169</v>
      </c>
      <c r="O30" s="6" t="s">
        <v>166</v>
      </c>
      <c r="P30" s="6">
        <v>26</v>
      </c>
      <c r="Q30" s="2">
        <v>10000</v>
      </c>
      <c r="R30" s="2">
        <f t="shared" si="1"/>
        <v>260000</v>
      </c>
    </row>
    <row r="31" spans="1:18" x14ac:dyDescent="0.25">
      <c r="A31" s="6" t="s">
        <v>12</v>
      </c>
      <c r="B31" s="6">
        <v>4</v>
      </c>
      <c r="C31" s="2">
        <f>E22</f>
        <v>3249708</v>
      </c>
      <c r="D31" s="2">
        <f t="shared" ref="D31:D32" si="2">B31*C31</f>
        <v>12998832</v>
      </c>
      <c r="E31" s="192">
        <f>SUM(E30:F30)</f>
        <v>790948948.39999998</v>
      </c>
      <c r="F31" s="192"/>
      <c r="G31" s="1"/>
      <c r="H31" s="68"/>
      <c r="N31" s="81" t="s">
        <v>204</v>
      </c>
      <c r="O31" s="212" t="s">
        <v>205</v>
      </c>
      <c r="P31" s="213"/>
      <c r="Q31" s="214"/>
      <c r="R31" s="82">
        <v>1000000</v>
      </c>
    </row>
    <row r="32" spans="1:18" x14ac:dyDescent="0.25">
      <c r="A32" s="6" t="s">
        <v>287</v>
      </c>
      <c r="B32" s="6">
        <v>91</v>
      </c>
      <c r="C32" s="2">
        <f>E23</f>
        <v>150879</v>
      </c>
      <c r="D32" s="2">
        <f t="shared" si="2"/>
        <v>13729989</v>
      </c>
      <c r="E32" s="1"/>
      <c r="F32" s="68"/>
      <c r="G32" s="1"/>
      <c r="H32" s="68"/>
      <c r="N32" s="183" t="s">
        <v>116</v>
      </c>
      <c r="O32" s="183"/>
      <c r="P32" s="183"/>
      <c r="Q32" s="183"/>
      <c r="R32" s="15">
        <f>SUM(R28:R31)</f>
        <v>3670000</v>
      </c>
    </row>
    <row r="33" spans="1:18" x14ac:dyDescent="0.25">
      <c r="A33" s="6" t="s">
        <v>14</v>
      </c>
      <c r="B33" s="6">
        <v>0</v>
      </c>
      <c r="C33" s="2">
        <f>E24</f>
        <v>242567</v>
      </c>
      <c r="D33" s="123">
        <f>C33*B33</f>
        <v>0</v>
      </c>
      <c r="E33" s="190" t="s">
        <v>276</v>
      </c>
      <c r="F33" s="190"/>
      <c r="G33" s="1"/>
      <c r="H33" s="68"/>
      <c r="Q33" s="1"/>
      <c r="R33" s="1"/>
    </row>
    <row r="34" spans="1:18" x14ac:dyDescent="0.25">
      <c r="A34" s="14" t="s">
        <v>114</v>
      </c>
      <c r="B34" s="183" t="s">
        <v>115</v>
      </c>
      <c r="C34" s="183"/>
      <c r="D34" s="123">
        <f>'procesadoras ADICION 2'!B136</f>
        <v>261032548.40000001</v>
      </c>
      <c r="E34" s="64" t="s">
        <v>222</v>
      </c>
      <c r="F34" s="117">
        <f>'procesadoras ADICION 2'!B141</f>
        <v>0</v>
      </c>
      <c r="G34" s="1"/>
      <c r="H34" s="68"/>
    </row>
    <row r="35" spans="1:18" x14ac:dyDescent="0.25">
      <c r="A35" s="184" t="s">
        <v>116</v>
      </c>
      <c r="B35" s="185"/>
      <c r="C35" s="186"/>
      <c r="D35" s="124">
        <f>SUM(D29:D34)</f>
        <v>817677769.39999998</v>
      </c>
      <c r="E35" s="64" t="s">
        <v>178</v>
      </c>
      <c r="F35" s="2">
        <f>D31</f>
        <v>12998832</v>
      </c>
      <c r="G35" s="1"/>
      <c r="H35" s="1"/>
    </row>
    <row r="36" spans="1:18" x14ac:dyDescent="0.25">
      <c r="A36" s="134"/>
      <c r="B36" s="134"/>
      <c r="C36" s="134"/>
      <c r="D36" s="57"/>
      <c r="E36" s="64" t="s">
        <v>226</v>
      </c>
      <c r="F36" s="2">
        <f>D32</f>
        <v>13729989</v>
      </c>
      <c r="G36" s="1"/>
      <c r="H36" s="1"/>
    </row>
    <row r="37" spans="1:18" x14ac:dyDescent="0.25">
      <c r="A37" s="134"/>
      <c r="B37" s="134"/>
      <c r="C37" s="134"/>
      <c r="D37" s="57"/>
      <c r="E37" s="64" t="s">
        <v>225</v>
      </c>
      <c r="F37" s="2">
        <f>D33</f>
        <v>0</v>
      </c>
      <c r="G37" s="1"/>
      <c r="H37" s="1"/>
    </row>
    <row r="38" spans="1:18" ht="14.25" customHeight="1" x14ac:dyDescent="0.25">
      <c r="C38" s="1"/>
      <c r="D38" s="1"/>
      <c r="E38" s="146" t="s">
        <v>277</v>
      </c>
      <c r="F38" s="126">
        <f>SUM(F34:F37)</f>
        <v>26728821</v>
      </c>
    </row>
    <row r="39" spans="1:18" ht="14.25" customHeight="1" x14ac:dyDescent="0.25">
      <c r="C39" s="1"/>
      <c r="D39" s="1"/>
    </row>
    <row r="42" spans="1:18" x14ac:dyDescent="0.25">
      <c r="B42" s="1"/>
      <c r="C42" s="1"/>
      <c r="D42" s="1"/>
      <c r="E42" s="1"/>
      <c r="F42" s="1"/>
      <c r="G42" s="187"/>
      <c r="H42" s="1"/>
      <c r="I42" s="1"/>
    </row>
    <row r="43" spans="1:18" x14ac:dyDescent="0.25">
      <c r="B43" s="1"/>
      <c r="C43" s="1"/>
      <c r="D43" s="1"/>
      <c r="E43" s="1"/>
      <c r="F43" s="1"/>
      <c r="G43" s="187"/>
      <c r="H43" s="1"/>
      <c r="I43" s="1"/>
    </row>
    <row r="44" spans="1:18" x14ac:dyDescent="0.25">
      <c r="A44" s="188" t="s">
        <v>181</v>
      </c>
      <c r="B44" s="188"/>
      <c r="C44" s="188"/>
      <c r="D44" s="1"/>
      <c r="E44" s="1"/>
      <c r="F44" s="1"/>
      <c r="G44" s="187"/>
      <c r="H44" s="1"/>
      <c r="I44" s="1"/>
    </row>
    <row r="45" spans="1:18" x14ac:dyDescent="0.25">
      <c r="A45" s="130" t="s">
        <v>182</v>
      </c>
      <c r="B45" s="53" t="s">
        <v>183</v>
      </c>
      <c r="C45" s="53" t="s">
        <v>184</v>
      </c>
      <c r="D45" s="1"/>
      <c r="E45" s="1"/>
      <c r="F45" s="1"/>
      <c r="G45" s="187"/>
      <c r="H45" s="1"/>
      <c r="I45" s="1"/>
    </row>
    <row r="46" spans="1:18" x14ac:dyDescent="0.25">
      <c r="A46" s="6" t="s">
        <v>185</v>
      </c>
      <c r="B46" s="70">
        <v>0.01</v>
      </c>
      <c r="C46" s="70">
        <v>0.01</v>
      </c>
      <c r="D46" s="1"/>
      <c r="E46" s="83"/>
      <c r="F46" s="1"/>
      <c r="G46" s="1"/>
      <c r="H46" s="1"/>
      <c r="I46" s="1"/>
    </row>
    <row r="47" spans="1:18" x14ac:dyDescent="0.25">
      <c r="A47" s="6" t="s">
        <v>186</v>
      </c>
      <c r="B47" s="70">
        <v>0.04</v>
      </c>
      <c r="C47" s="70">
        <v>0.04</v>
      </c>
      <c r="D47" s="1"/>
      <c r="G47" s="1"/>
      <c r="H47" s="1"/>
      <c r="I47" s="1"/>
    </row>
    <row r="48" spans="1:18" x14ac:dyDescent="0.25">
      <c r="A48" s="6" t="s">
        <v>187</v>
      </c>
      <c r="B48" s="71">
        <v>1.4999999999999999E-2</v>
      </c>
      <c r="C48" s="71">
        <v>1.4999999999999999E-2</v>
      </c>
      <c r="D48" s="1"/>
      <c r="G48" s="1"/>
      <c r="H48" s="1"/>
      <c r="I48" s="1"/>
    </row>
    <row r="49" spans="1:6" x14ac:dyDescent="0.25">
      <c r="A49" s="6" t="s">
        <v>188</v>
      </c>
      <c r="B49" s="70">
        <v>0.01</v>
      </c>
      <c r="C49" s="70">
        <v>0.01</v>
      </c>
      <c r="D49" s="1"/>
    </row>
    <row r="50" spans="1:6" x14ac:dyDescent="0.25">
      <c r="A50" s="6" t="s">
        <v>189</v>
      </c>
      <c r="B50" s="70">
        <v>0.04</v>
      </c>
      <c r="C50" s="70">
        <v>0.04</v>
      </c>
      <c r="D50" s="1"/>
    </row>
    <row r="51" spans="1:6" x14ac:dyDescent="0.25">
      <c r="A51" s="6" t="s">
        <v>190</v>
      </c>
      <c r="B51" s="70">
        <v>0.01</v>
      </c>
      <c r="C51" s="70">
        <v>0.01</v>
      </c>
      <c r="D51" s="1"/>
      <c r="F51" s="1"/>
    </row>
    <row r="52" spans="1:6" x14ac:dyDescent="0.25">
      <c r="A52" s="6" t="s">
        <v>191</v>
      </c>
      <c r="B52" s="71">
        <v>2.5000000000000001E-2</v>
      </c>
      <c r="C52" s="71">
        <v>1.2E-2</v>
      </c>
      <c r="D52" s="1"/>
      <c r="E52" s="86"/>
      <c r="F52" s="86"/>
    </row>
    <row r="53" spans="1:6" x14ac:dyDescent="0.25">
      <c r="A53" s="6" t="s">
        <v>192</v>
      </c>
      <c r="B53" s="71">
        <v>0.02</v>
      </c>
      <c r="C53" s="71">
        <v>0.02</v>
      </c>
      <c r="D53" s="1"/>
      <c r="E53" s="1"/>
      <c r="F53" s="1"/>
    </row>
    <row r="54" spans="1:6" x14ac:dyDescent="0.25">
      <c r="A54" s="133" t="s">
        <v>160</v>
      </c>
      <c r="B54" s="69">
        <f>SUM(B46:B53)</f>
        <v>0.16999999999999998</v>
      </c>
      <c r="C54" s="69">
        <f>SUM(C46:C53)</f>
        <v>0.15699999999999997</v>
      </c>
      <c r="D54" s="1"/>
      <c r="E54" s="1"/>
      <c r="F54" s="1"/>
    </row>
    <row r="55" spans="1:6" x14ac:dyDescent="0.25">
      <c r="E55" s="1"/>
      <c r="F55" s="1"/>
    </row>
    <row r="56" spans="1:6" x14ac:dyDescent="0.25">
      <c r="E56" s="86"/>
      <c r="F56" s="86"/>
    </row>
    <row r="57" spans="1:6" x14ac:dyDescent="0.25">
      <c r="D57" s="1"/>
      <c r="E57" s="1"/>
      <c r="F57" s="1"/>
    </row>
    <row r="58" spans="1:6" x14ac:dyDescent="0.25">
      <c r="D58" s="1">
        <v>3719190517</v>
      </c>
      <c r="E58" s="1">
        <f>D58/2</f>
        <v>1859595258.5</v>
      </c>
      <c r="F58" s="83"/>
    </row>
    <row r="59" spans="1:6" x14ac:dyDescent="0.25">
      <c r="D59" s="1">
        <v>1018201286</v>
      </c>
      <c r="E59" s="1">
        <f>D59+D60</f>
        <v>1835849269</v>
      </c>
    </row>
    <row r="60" spans="1:6" x14ac:dyDescent="0.25">
      <c r="D60" s="1">
        <v>817647983</v>
      </c>
    </row>
    <row r="61" spans="1:6" x14ac:dyDescent="0.25">
      <c r="D61" s="1">
        <f>SUM(D58:D60)</f>
        <v>5555039786</v>
      </c>
    </row>
    <row r="62" spans="1:6" x14ac:dyDescent="0.25">
      <c r="D62" s="1"/>
    </row>
    <row r="63" spans="1:6" x14ac:dyDescent="0.25">
      <c r="D63" s="1"/>
    </row>
    <row r="64" spans="1:6" x14ac:dyDescent="0.25">
      <c r="D64" s="1"/>
    </row>
    <row r="65" spans="4:6" x14ac:dyDescent="0.25">
      <c r="D65" s="1"/>
    </row>
    <row r="68" spans="4:6" x14ac:dyDescent="0.25">
      <c r="F68" s="1"/>
    </row>
  </sheetData>
  <mergeCells count="23">
    <mergeCell ref="A1:J1"/>
    <mergeCell ref="A18:A19"/>
    <mergeCell ref="B18:B19"/>
    <mergeCell ref="E18:E19"/>
    <mergeCell ref="E27:F27"/>
    <mergeCell ref="A10:A11"/>
    <mergeCell ref="D10:D11"/>
    <mergeCell ref="N18:R18"/>
    <mergeCell ref="O23:Q23"/>
    <mergeCell ref="G42:G43"/>
    <mergeCell ref="A44:C44"/>
    <mergeCell ref="G44:G45"/>
    <mergeCell ref="O31:Q31"/>
    <mergeCell ref="N32:Q32"/>
    <mergeCell ref="B34:C34"/>
    <mergeCell ref="A35:C35"/>
    <mergeCell ref="A27:D27"/>
    <mergeCell ref="G28:H28"/>
    <mergeCell ref="E28:F28"/>
    <mergeCell ref="E31:F31"/>
    <mergeCell ref="E33:F33"/>
    <mergeCell ref="N24:Q24"/>
    <mergeCell ref="N26:R26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W151"/>
  <sheetViews>
    <sheetView topLeftCell="A3" zoomScaleNormal="100" workbookViewId="0">
      <pane ySplit="8" topLeftCell="A136" activePane="bottomLeft" state="frozen"/>
      <selection activeCell="A3" sqref="A3"/>
      <selection pane="bottomLeft" activeCell="A155" sqref="A155"/>
    </sheetView>
  </sheetViews>
  <sheetFormatPr baseColWidth="10" defaultRowHeight="15" x14ac:dyDescent="0.25"/>
  <cols>
    <col min="1" max="1" width="37.5703125" style="8" customWidth="1"/>
    <col min="2" max="2" width="18.85546875" customWidth="1"/>
    <col min="3" max="3" width="25.42578125" customWidth="1"/>
    <col min="4" max="4" width="21.42578125" customWidth="1"/>
    <col min="5" max="5" width="16.7109375" customWidth="1"/>
    <col min="6" max="6" width="14.5703125" style="1" customWidth="1"/>
    <col min="7" max="7" width="15.42578125" style="1" customWidth="1"/>
    <col min="8" max="8" width="14.85546875" style="1" customWidth="1"/>
    <col min="9" max="9" width="18.42578125" style="1" customWidth="1"/>
    <col min="10" max="10" width="12.140625" style="1" customWidth="1"/>
    <col min="11" max="11" width="18.42578125" style="1" customWidth="1"/>
    <col min="12" max="14" width="11.42578125" style="1" customWidth="1"/>
    <col min="15" max="15" width="18.42578125" style="1" customWidth="1"/>
    <col min="16" max="16" width="13.85546875" style="1" customWidth="1"/>
    <col min="17" max="17" width="18.42578125" style="1" customWidth="1"/>
    <col min="18" max="20" width="11.42578125" style="1"/>
    <col min="21" max="21" width="18.42578125" style="1" bestFit="1" customWidth="1"/>
    <col min="22" max="22" width="12.140625" style="1" bestFit="1" customWidth="1"/>
    <col min="23" max="23" width="18.42578125" style="1" bestFit="1" customWidth="1"/>
  </cols>
  <sheetData>
    <row r="1" spans="1:23" x14ac:dyDescent="0.25">
      <c r="A1" s="220" t="s">
        <v>19</v>
      </c>
      <c r="B1" s="220"/>
      <c r="C1" s="220"/>
      <c r="D1" s="220"/>
      <c r="E1" s="220"/>
      <c r="F1" s="1">
        <v>541660</v>
      </c>
      <c r="G1" s="1" t="e">
        <f>#REF!-F1</f>
        <v>#REF!</v>
      </c>
    </row>
    <row r="2" spans="1:23" x14ac:dyDescent="0.25">
      <c r="A2" s="137"/>
      <c r="B2" s="137"/>
      <c r="C2" s="137"/>
      <c r="D2" s="137"/>
      <c r="E2" s="137"/>
    </row>
    <row r="3" spans="1:23" x14ac:dyDescent="0.25">
      <c r="A3" s="130" t="s">
        <v>123</v>
      </c>
      <c r="B3" s="130" t="s">
        <v>121</v>
      </c>
      <c r="C3" s="130" t="s">
        <v>122</v>
      </c>
      <c r="D3" s="135" t="s">
        <v>124</v>
      </c>
      <c r="E3" s="137"/>
    </row>
    <row r="4" spans="1:23" x14ac:dyDescent="0.25">
      <c r="A4" s="25" t="s">
        <v>254</v>
      </c>
      <c r="B4" s="18">
        <v>1890000</v>
      </c>
      <c r="C4" s="18">
        <f>(B4*65%)/30</f>
        <v>40950</v>
      </c>
      <c r="D4" s="16">
        <v>1750905</v>
      </c>
      <c r="E4" s="93"/>
    </row>
    <row r="5" spans="1:23" x14ac:dyDescent="0.25">
      <c r="A5" s="26" t="s">
        <v>163</v>
      </c>
      <c r="B5" s="19">
        <v>1890000</v>
      </c>
      <c r="C5" s="23">
        <f>(B5*95%)/30</f>
        <v>59850</v>
      </c>
      <c r="D5" s="137"/>
      <c r="E5" s="93"/>
    </row>
    <row r="6" spans="1:23" x14ac:dyDescent="0.25">
      <c r="A6" s="27" t="s">
        <v>125</v>
      </c>
      <c r="B6" s="17">
        <v>1890000</v>
      </c>
      <c r="C6" s="17">
        <f>(B6*130%)/30</f>
        <v>81900</v>
      </c>
      <c r="D6" s="93"/>
      <c r="E6" s="93"/>
    </row>
    <row r="7" spans="1:23" x14ac:dyDescent="0.25">
      <c r="A7" s="137"/>
      <c r="B7" s="137"/>
      <c r="C7" s="137"/>
      <c r="D7" s="137"/>
      <c r="E7" s="137"/>
    </row>
    <row r="8" spans="1:23" x14ac:dyDescent="0.25">
      <c r="A8" s="137"/>
      <c r="B8" s="137"/>
      <c r="C8" s="137"/>
      <c r="D8" s="137"/>
      <c r="E8" s="137"/>
    </row>
    <row r="9" spans="1:23" x14ac:dyDescent="0.25">
      <c r="A9" s="137"/>
      <c r="B9" s="137"/>
      <c r="C9" s="137"/>
      <c r="D9" s="137"/>
      <c r="E9" s="137"/>
      <c r="F9" s="219" t="s">
        <v>258</v>
      </c>
      <c r="G9" s="219"/>
      <c r="H9" s="219"/>
      <c r="I9" s="219"/>
      <c r="J9" s="219"/>
      <c r="K9" s="219"/>
      <c r="L9" s="219" t="s">
        <v>288</v>
      </c>
      <c r="M9" s="219"/>
      <c r="N9" s="219"/>
      <c r="O9" s="219"/>
      <c r="P9" s="219"/>
      <c r="Q9" s="219"/>
      <c r="R9" s="219" t="s">
        <v>266</v>
      </c>
      <c r="S9" s="219"/>
      <c r="T9" s="219"/>
      <c r="U9" s="219"/>
      <c r="V9" s="219"/>
      <c r="W9" s="219"/>
    </row>
    <row r="10" spans="1:23" ht="30" x14ac:dyDescent="0.25">
      <c r="A10" s="130" t="s">
        <v>20</v>
      </c>
      <c r="B10" s="130" t="s">
        <v>21</v>
      </c>
      <c r="C10" s="130" t="s">
        <v>265</v>
      </c>
      <c r="D10" s="20" t="s">
        <v>118</v>
      </c>
      <c r="E10" s="20" t="s">
        <v>119</v>
      </c>
      <c r="F10" s="39" t="s">
        <v>127</v>
      </c>
      <c r="G10" s="39" t="s">
        <v>128</v>
      </c>
      <c r="H10" s="40" t="s">
        <v>129</v>
      </c>
      <c r="I10" s="40" t="s">
        <v>130</v>
      </c>
      <c r="J10" s="40" t="s">
        <v>131</v>
      </c>
      <c r="K10" s="40" t="s">
        <v>132</v>
      </c>
      <c r="L10" s="39" t="s">
        <v>127</v>
      </c>
      <c r="M10" s="39" t="s">
        <v>128</v>
      </c>
      <c r="N10" s="40" t="s">
        <v>129</v>
      </c>
      <c r="O10" s="40" t="s">
        <v>130</v>
      </c>
      <c r="P10" s="40" t="s">
        <v>131</v>
      </c>
      <c r="Q10" s="40" t="s">
        <v>132</v>
      </c>
      <c r="R10" s="39" t="s">
        <v>127</v>
      </c>
      <c r="S10" s="39" t="s">
        <v>128</v>
      </c>
      <c r="T10" s="40" t="s">
        <v>129</v>
      </c>
      <c r="U10" s="40" t="s">
        <v>130</v>
      </c>
      <c r="V10" s="40" t="s">
        <v>131</v>
      </c>
      <c r="W10" s="40" t="s">
        <v>132</v>
      </c>
    </row>
    <row r="11" spans="1:23" s="31" customFormat="1" x14ac:dyDescent="0.25">
      <c r="A11" s="29" t="s">
        <v>23</v>
      </c>
      <c r="B11" s="30">
        <v>1</v>
      </c>
      <c r="C11" s="30">
        <v>5</v>
      </c>
      <c r="D11" s="30">
        <v>0</v>
      </c>
      <c r="E11" s="30">
        <f>C11+D11</f>
        <v>5</v>
      </c>
      <c r="F11" s="41">
        <v>20</v>
      </c>
      <c r="G11" s="41">
        <f>$C$4*F11</f>
        <v>819000</v>
      </c>
      <c r="H11" s="41">
        <f>$D$4*12.5%</f>
        <v>218863.125</v>
      </c>
      <c r="I11" s="41">
        <f>$D$4*2.436%</f>
        <v>42652.0458</v>
      </c>
      <c r="J11" s="41">
        <f>$D$4*16%</f>
        <v>280144.8</v>
      </c>
      <c r="K11" s="41">
        <f>SUM(G11:J11)*B11</f>
        <v>1360659.9708</v>
      </c>
      <c r="L11" s="41">
        <v>2</v>
      </c>
      <c r="M11" s="41">
        <f>$C$4*L11</f>
        <v>81900</v>
      </c>
      <c r="N11" s="41">
        <f>($D$4*12.5%)/30*2</f>
        <v>14590.875</v>
      </c>
      <c r="O11" s="41">
        <f>($D$4*2.436%)/30*2</f>
        <v>2843.4697200000001</v>
      </c>
      <c r="P11" s="41">
        <f>($D$4*16%)/30*2</f>
        <v>18676.32</v>
      </c>
      <c r="Q11" s="41">
        <f>SUM(M11:P11)*B11</f>
        <v>118010.66472</v>
      </c>
      <c r="R11" s="41">
        <v>18</v>
      </c>
      <c r="S11" s="41">
        <f>$C$4*R11</f>
        <v>737100</v>
      </c>
      <c r="T11" s="41">
        <f t="shared" ref="T11:T88" si="0">$D$4*12.5%</f>
        <v>218863.125</v>
      </c>
      <c r="U11" s="41">
        <f t="shared" ref="U11:U88" si="1">$D$4*2.436%</f>
        <v>42652.0458</v>
      </c>
      <c r="V11" s="41">
        <f t="shared" ref="V11:V88" si="2">$D$4*16%</f>
        <v>280144.8</v>
      </c>
      <c r="W11" s="41">
        <f>SUM(S11:V11)*B11</f>
        <v>1278759.9708</v>
      </c>
    </row>
    <row r="12" spans="1:23" s="31" customFormat="1" x14ac:dyDescent="0.25">
      <c r="A12" s="29" t="s">
        <v>31</v>
      </c>
      <c r="B12" s="30">
        <v>1</v>
      </c>
      <c r="C12" s="30">
        <v>4</v>
      </c>
      <c r="D12" s="30">
        <v>0</v>
      </c>
      <c r="E12" s="30">
        <f t="shared" ref="E12:E75" si="3">C12+D12</f>
        <v>4</v>
      </c>
      <c r="F12" s="41">
        <v>20</v>
      </c>
      <c r="G12" s="41">
        <f t="shared" ref="G12:G24" si="4">$C$4*F12</f>
        <v>819000</v>
      </c>
      <c r="H12" s="41">
        <f t="shared" ref="H12:H88" si="5">$D$4*12.5%</f>
        <v>218863.125</v>
      </c>
      <c r="I12" s="41">
        <f t="shared" ref="I12:I88" si="6">$D$4*2.436%</f>
        <v>42652.0458</v>
      </c>
      <c r="J12" s="41">
        <f t="shared" ref="J12:J88" si="7">$D$4*16%</f>
        <v>280144.8</v>
      </c>
      <c r="K12" s="41">
        <f t="shared" ref="K12:K42" si="8">SUM(G12:J12)*B12</f>
        <v>1360659.9708</v>
      </c>
      <c r="L12" s="41">
        <v>2</v>
      </c>
      <c r="M12" s="41">
        <f t="shared" ref="M12:M24" si="9">$C$4*L12</f>
        <v>81900</v>
      </c>
      <c r="N12" s="41">
        <f t="shared" ref="N12:N34" si="10">($D$4*12.5%)/30*2</f>
        <v>14590.875</v>
      </c>
      <c r="O12" s="41">
        <f t="shared" ref="O12:O34" si="11">($D$4*2.436%)/30*2</f>
        <v>2843.4697200000001</v>
      </c>
      <c r="P12" s="41">
        <f t="shared" ref="P12:P34" si="12">($D$4*16%)/30*2</f>
        <v>18676.32</v>
      </c>
      <c r="Q12" s="41">
        <f t="shared" ref="Q12:Q42" si="13">SUM(M12:P12)*B12</f>
        <v>118010.66472</v>
      </c>
      <c r="R12" s="41">
        <v>18</v>
      </c>
      <c r="S12" s="41">
        <f t="shared" ref="S12:S34" si="14">$C$4*R12</f>
        <v>737100</v>
      </c>
      <c r="T12" s="41">
        <f t="shared" si="0"/>
        <v>218863.125</v>
      </c>
      <c r="U12" s="41">
        <f t="shared" si="1"/>
        <v>42652.0458</v>
      </c>
      <c r="V12" s="41">
        <f t="shared" si="2"/>
        <v>280144.8</v>
      </c>
      <c r="W12" s="41">
        <f t="shared" ref="W12:W42" si="15">SUM(S12:V12)*B12</f>
        <v>1278759.9708</v>
      </c>
    </row>
    <row r="13" spans="1:23" s="31" customFormat="1" x14ac:dyDescent="0.25">
      <c r="A13" s="29" t="s">
        <v>38</v>
      </c>
      <c r="B13" s="30">
        <v>1</v>
      </c>
      <c r="C13" s="30">
        <v>7</v>
      </c>
      <c r="D13" s="30">
        <v>0</v>
      </c>
      <c r="E13" s="30">
        <f t="shared" si="3"/>
        <v>7</v>
      </c>
      <c r="F13" s="41">
        <v>20</v>
      </c>
      <c r="G13" s="41">
        <f t="shared" si="4"/>
        <v>819000</v>
      </c>
      <c r="H13" s="41">
        <f t="shared" si="5"/>
        <v>218863.125</v>
      </c>
      <c r="I13" s="41">
        <f t="shared" si="6"/>
        <v>42652.0458</v>
      </c>
      <c r="J13" s="41">
        <f t="shared" si="7"/>
        <v>280144.8</v>
      </c>
      <c r="K13" s="41">
        <f t="shared" si="8"/>
        <v>1360659.9708</v>
      </c>
      <c r="L13" s="41">
        <v>2</v>
      </c>
      <c r="M13" s="41">
        <f t="shared" si="9"/>
        <v>81900</v>
      </c>
      <c r="N13" s="41">
        <f t="shared" si="10"/>
        <v>14590.875</v>
      </c>
      <c r="O13" s="41">
        <f t="shared" si="11"/>
        <v>2843.4697200000001</v>
      </c>
      <c r="P13" s="41">
        <f t="shared" si="12"/>
        <v>18676.32</v>
      </c>
      <c r="Q13" s="41">
        <f t="shared" si="13"/>
        <v>118010.66472</v>
      </c>
      <c r="R13" s="41">
        <v>18</v>
      </c>
      <c r="S13" s="41">
        <f t="shared" si="14"/>
        <v>737100</v>
      </c>
      <c r="T13" s="41">
        <f t="shared" si="0"/>
        <v>218863.125</v>
      </c>
      <c r="U13" s="41">
        <f t="shared" si="1"/>
        <v>42652.0458</v>
      </c>
      <c r="V13" s="41">
        <f t="shared" si="2"/>
        <v>280144.8</v>
      </c>
      <c r="W13" s="41">
        <f t="shared" si="15"/>
        <v>1278759.9708</v>
      </c>
    </row>
    <row r="14" spans="1:23" s="31" customFormat="1" x14ac:dyDescent="0.25">
      <c r="A14" s="29" t="s">
        <v>43</v>
      </c>
      <c r="B14" s="30">
        <v>1</v>
      </c>
      <c r="C14" s="30">
        <v>7</v>
      </c>
      <c r="D14" s="30">
        <v>0</v>
      </c>
      <c r="E14" s="30">
        <f t="shared" si="3"/>
        <v>7</v>
      </c>
      <c r="F14" s="41">
        <v>20</v>
      </c>
      <c r="G14" s="41">
        <f t="shared" si="4"/>
        <v>819000</v>
      </c>
      <c r="H14" s="41">
        <f t="shared" si="5"/>
        <v>218863.125</v>
      </c>
      <c r="I14" s="41">
        <f t="shared" si="6"/>
        <v>42652.0458</v>
      </c>
      <c r="J14" s="41">
        <f t="shared" si="7"/>
        <v>280144.8</v>
      </c>
      <c r="K14" s="41">
        <f t="shared" si="8"/>
        <v>1360659.9708</v>
      </c>
      <c r="L14" s="41">
        <v>2</v>
      </c>
      <c r="M14" s="41">
        <f t="shared" si="9"/>
        <v>81900</v>
      </c>
      <c r="N14" s="41">
        <f t="shared" si="10"/>
        <v>14590.875</v>
      </c>
      <c r="O14" s="41">
        <f t="shared" si="11"/>
        <v>2843.4697200000001</v>
      </c>
      <c r="P14" s="41">
        <f t="shared" si="12"/>
        <v>18676.32</v>
      </c>
      <c r="Q14" s="41">
        <f t="shared" si="13"/>
        <v>118010.66472</v>
      </c>
      <c r="R14" s="41">
        <v>18</v>
      </c>
      <c r="S14" s="41">
        <f t="shared" si="14"/>
        <v>737100</v>
      </c>
      <c r="T14" s="41">
        <f t="shared" si="0"/>
        <v>218863.125</v>
      </c>
      <c r="U14" s="41">
        <f t="shared" si="1"/>
        <v>42652.0458</v>
      </c>
      <c r="V14" s="41">
        <f t="shared" si="2"/>
        <v>280144.8</v>
      </c>
      <c r="W14" s="41">
        <f t="shared" si="15"/>
        <v>1278759.9708</v>
      </c>
    </row>
    <row r="15" spans="1:23" s="31" customFormat="1" x14ac:dyDescent="0.25">
      <c r="A15" s="29" t="s">
        <v>45</v>
      </c>
      <c r="B15" s="30">
        <v>1</v>
      </c>
      <c r="C15" s="30">
        <v>3</v>
      </c>
      <c r="D15" s="30">
        <v>0</v>
      </c>
      <c r="E15" s="30">
        <f t="shared" si="3"/>
        <v>3</v>
      </c>
      <c r="F15" s="41">
        <v>20</v>
      </c>
      <c r="G15" s="41">
        <f t="shared" si="4"/>
        <v>819000</v>
      </c>
      <c r="H15" s="41">
        <f t="shared" si="5"/>
        <v>218863.125</v>
      </c>
      <c r="I15" s="41">
        <f t="shared" si="6"/>
        <v>42652.0458</v>
      </c>
      <c r="J15" s="41">
        <f t="shared" si="7"/>
        <v>280144.8</v>
      </c>
      <c r="K15" s="41">
        <f t="shared" si="8"/>
        <v>1360659.9708</v>
      </c>
      <c r="L15" s="41">
        <v>2</v>
      </c>
      <c r="M15" s="41">
        <f t="shared" si="9"/>
        <v>81900</v>
      </c>
      <c r="N15" s="41">
        <f t="shared" si="10"/>
        <v>14590.875</v>
      </c>
      <c r="O15" s="41">
        <f t="shared" si="11"/>
        <v>2843.4697200000001</v>
      </c>
      <c r="P15" s="41">
        <f t="shared" si="12"/>
        <v>18676.32</v>
      </c>
      <c r="Q15" s="41">
        <f t="shared" si="13"/>
        <v>118010.66472</v>
      </c>
      <c r="R15" s="41">
        <v>18</v>
      </c>
      <c r="S15" s="41">
        <f t="shared" si="14"/>
        <v>737100</v>
      </c>
      <c r="T15" s="41">
        <f t="shared" si="0"/>
        <v>218863.125</v>
      </c>
      <c r="U15" s="41">
        <f t="shared" si="1"/>
        <v>42652.0458</v>
      </c>
      <c r="V15" s="41">
        <f t="shared" si="2"/>
        <v>280144.8</v>
      </c>
      <c r="W15" s="41">
        <f t="shared" si="15"/>
        <v>1278759.9708</v>
      </c>
    </row>
    <row r="16" spans="1:23" s="31" customFormat="1" x14ac:dyDescent="0.25">
      <c r="A16" s="29" t="s">
        <v>48</v>
      </c>
      <c r="B16" s="30">
        <v>1</v>
      </c>
      <c r="C16" s="30">
        <v>2</v>
      </c>
      <c r="D16" s="30">
        <v>0</v>
      </c>
      <c r="E16" s="30">
        <f t="shared" si="3"/>
        <v>2</v>
      </c>
      <c r="F16" s="41">
        <v>20</v>
      </c>
      <c r="G16" s="41">
        <f t="shared" si="4"/>
        <v>819000</v>
      </c>
      <c r="H16" s="41">
        <f t="shared" si="5"/>
        <v>218863.125</v>
      </c>
      <c r="I16" s="41">
        <f t="shared" si="6"/>
        <v>42652.0458</v>
      </c>
      <c r="J16" s="41">
        <f t="shared" si="7"/>
        <v>280144.8</v>
      </c>
      <c r="K16" s="41">
        <f t="shared" si="8"/>
        <v>1360659.9708</v>
      </c>
      <c r="L16" s="41">
        <v>2</v>
      </c>
      <c r="M16" s="41">
        <f t="shared" si="9"/>
        <v>81900</v>
      </c>
      <c r="N16" s="41">
        <f t="shared" si="10"/>
        <v>14590.875</v>
      </c>
      <c r="O16" s="41">
        <f t="shared" si="11"/>
        <v>2843.4697200000001</v>
      </c>
      <c r="P16" s="41">
        <f t="shared" si="12"/>
        <v>18676.32</v>
      </c>
      <c r="Q16" s="41">
        <f t="shared" si="13"/>
        <v>118010.66472</v>
      </c>
      <c r="R16" s="41">
        <v>18</v>
      </c>
      <c r="S16" s="41">
        <f t="shared" si="14"/>
        <v>737100</v>
      </c>
      <c r="T16" s="41">
        <f t="shared" si="0"/>
        <v>218863.125</v>
      </c>
      <c r="U16" s="41">
        <f t="shared" si="1"/>
        <v>42652.0458</v>
      </c>
      <c r="V16" s="41">
        <f t="shared" si="2"/>
        <v>280144.8</v>
      </c>
      <c r="W16" s="41">
        <f t="shared" si="15"/>
        <v>1278759.9708</v>
      </c>
    </row>
    <row r="17" spans="1:23" s="31" customFormat="1" x14ac:dyDescent="0.25">
      <c r="A17" s="29" t="s">
        <v>49</v>
      </c>
      <c r="B17" s="30">
        <v>1</v>
      </c>
      <c r="C17" s="30">
        <v>2</v>
      </c>
      <c r="D17" s="30">
        <v>0</v>
      </c>
      <c r="E17" s="30">
        <f t="shared" si="3"/>
        <v>2</v>
      </c>
      <c r="F17" s="41">
        <v>20</v>
      </c>
      <c r="G17" s="41">
        <f t="shared" si="4"/>
        <v>819000</v>
      </c>
      <c r="H17" s="41">
        <f t="shared" si="5"/>
        <v>218863.125</v>
      </c>
      <c r="I17" s="41">
        <f t="shared" si="6"/>
        <v>42652.0458</v>
      </c>
      <c r="J17" s="41">
        <f t="shared" si="7"/>
        <v>280144.8</v>
      </c>
      <c r="K17" s="41">
        <f t="shared" si="8"/>
        <v>1360659.9708</v>
      </c>
      <c r="L17" s="41">
        <v>2</v>
      </c>
      <c r="M17" s="41">
        <f t="shared" si="9"/>
        <v>81900</v>
      </c>
      <c r="N17" s="41">
        <f t="shared" si="10"/>
        <v>14590.875</v>
      </c>
      <c r="O17" s="41">
        <f t="shared" si="11"/>
        <v>2843.4697200000001</v>
      </c>
      <c r="P17" s="41">
        <f t="shared" si="12"/>
        <v>18676.32</v>
      </c>
      <c r="Q17" s="41">
        <f t="shared" si="13"/>
        <v>118010.66472</v>
      </c>
      <c r="R17" s="41">
        <v>18</v>
      </c>
      <c r="S17" s="41">
        <f t="shared" si="14"/>
        <v>737100</v>
      </c>
      <c r="T17" s="41">
        <f t="shared" si="0"/>
        <v>218863.125</v>
      </c>
      <c r="U17" s="41">
        <f t="shared" si="1"/>
        <v>42652.0458</v>
      </c>
      <c r="V17" s="41">
        <f t="shared" si="2"/>
        <v>280144.8</v>
      </c>
      <c r="W17" s="41">
        <f t="shared" si="15"/>
        <v>1278759.9708</v>
      </c>
    </row>
    <row r="18" spans="1:23" s="31" customFormat="1" x14ac:dyDescent="0.25">
      <c r="A18" s="29" t="s">
        <v>62</v>
      </c>
      <c r="B18" s="30">
        <v>1</v>
      </c>
      <c r="C18" s="30">
        <v>7</v>
      </c>
      <c r="D18" s="30">
        <v>0</v>
      </c>
      <c r="E18" s="30">
        <f t="shared" si="3"/>
        <v>7</v>
      </c>
      <c r="F18" s="41">
        <v>20</v>
      </c>
      <c r="G18" s="41">
        <f t="shared" si="4"/>
        <v>819000</v>
      </c>
      <c r="H18" s="41">
        <f t="shared" si="5"/>
        <v>218863.125</v>
      </c>
      <c r="I18" s="41">
        <f t="shared" si="6"/>
        <v>42652.0458</v>
      </c>
      <c r="J18" s="41">
        <f t="shared" si="7"/>
        <v>280144.8</v>
      </c>
      <c r="K18" s="41">
        <f t="shared" si="8"/>
        <v>1360659.9708</v>
      </c>
      <c r="L18" s="41">
        <v>2</v>
      </c>
      <c r="M18" s="41">
        <f t="shared" si="9"/>
        <v>81900</v>
      </c>
      <c r="N18" s="41">
        <f t="shared" si="10"/>
        <v>14590.875</v>
      </c>
      <c r="O18" s="41">
        <f t="shared" si="11"/>
        <v>2843.4697200000001</v>
      </c>
      <c r="P18" s="41">
        <f t="shared" si="12"/>
        <v>18676.32</v>
      </c>
      <c r="Q18" s="41">
        <f t="shared" si="13"/>
        <v>118010.66472</v>
      </c>
      <c r="R18" s="41">
        <v>18</v>
      </c>
      <c r="S18" s="41">
        <f t="shared" si="14"/>
        <v>737100</v>
      </c>
      <c r="T18" s="41">
        <f t="shared" si="0"/>
        <v>218863.125</v>
      </c>
      <c r="U18" s="41">
        <f t="shared" si="1"/>
        <v>42652.0458</v>
      </c>
      <c r="V18" s="41">
        <f t="shared" si="2"/>
        <v>280144.8</v>
      </c>
      <c r="W18" s="41">
        <f t="shared" si="15"/>
        <v>1278759.9708</v>
      </c>
    </row>
    <row r="19" spans="1:23" s="31" customFormat="1" x14ac:dyDescent="0.25">
      <c r="A19" s="29" t="s">
        <v>63</v>
      </c>
      <c r="B19" s="30">
        <v>1</v>
      </c>
      <c r="C19" s="30">
        <v>4</v>
      </c>
      <c r="D19" s="30">
        <v>0</v>
      </c>
      <c r="E19" s="30">
        <f t="shared" si="3"/>
        <v>4</v>
      </c>
      <c r="F19" s="41">
        <v>20</v>
      </c>
      <c r="G19" s="41">
        <f t="shared" si="4"/>
        <v>819000</v>
      </c>
      <c r="H19" s="41">
        <f t="shared" si="5"/>
        <v>218863.125</v>
      </c>
      <c r="I19" s="41">
        <f t="shared" si="6"/>
        <v>42652.0458</v>
      </c>
      <c r="J19" s="41">
        <f t="shared" si="7"/>
        <v>280144.8</v>
      </c>
      <c r="K19" s="41">
        <f t="shared" si="8"/>
        <v>1360659.9708</v>
      </c>
      <c r="L19" s="41">
        <v>2</v>
      </c>
      <c r="M19" s="41">
        <f t="shared" si="9"/>
        <v>81900</v>
      </c>
      <c r="N19" s="41">
        <f t="shared" si="10"/>
        <v>14590.875</v>
      </c>
      <c r="O19" s="41">
        <f t="shared" si="11"/>
        <v>2843.4697200000001</v>
      </c>
      <c r="P19" s="41">
        <f t="shared" si="12"/>
        <v>18676.32</v>
      </c>
      <c r="Q19" s="41">
        <f t="shared" si="13"/>
        <v>118010.66472</v>
      </c>
      <c r="R19" s="41">
        <v>18</v>
      </c>
      <c r="S19" s="41">
        <f t="shared" si="14"/>
        <v>737100</v>
      </c>
      <c r="T19" s="41">
        <f t="shared" si="0"/>
        <v>218863.125</v>
      </c>
      <c r="U19" s="41">
        <f t="shared" si="1"/>
        <v>42652.0458</v>
      </c>
      <c r="V19" s="41">
        <f t="shared" si="2"/>
        <v>280144.8</v>
      </c>
      <c r="W19" s="41">
        <f t="shared" si="15"/>
        <v>1278759.9708</v>
      </c>
    </row>
    <row r="20" spans="1:23" s="31" customFormat="1" x14ac:dyDescent="0.25">
      <c r="A20" s="29" t="s">
        <v>79</v>
      </c>
      <c r="B20" s="30">
        <v>1</v>
      </c>
      <c r="C20" s="30">
        <v>4</v>
      </c>
      <c r="D20" s="30">
        <v>0</v>
      </c>
      <c r="E20" s="30">
        <f t="shared" si="3"/>
        <v>4</v>
      </c>
      <c r="F20" s="41">
        <v>20</v>
      </c>
      <c r="G20" s="41">
        <f t="shared" si="4"/>
        <v>819000</v>
      </c>
      <c r="H20" s="41">
        <f t="shared" si="5"/>
        <v>218863.125</v>
      </c>
      <c r="I20" s="41">
        <f t="shared" si="6"/>
        <v>42652.0458</v>
      </c>
      <c r="J20" s="41">
        <f t="shared" si="7"/>
        <v>280144.8</v>
      </c>
      <c r="K20" s="41">
        <f t="shared" si="8"/>
        <v>1360659.9708</v>
      </c>
      <c r="L20" s="41">
        <v>2</v>
      </c>
      <c r="M20" s="41">
        <f t="shared" si="9"/>
        <v>81900</v>
      </c>
      <c r="N20" s="41">
        <f t="shared" si="10"/>
        <v>14590.875</v>
      </c>
      <c r="O20" s="41">
        <f t="shared" si="11"/>
        <v>2843.4697200000001</v>
      </c>
      <c r="P20" s="41">
        <f t="shared" si="12"/>
        <v>18676.32</v>
      </c>
      <c r="Q20" s="41">
        <f t="shared" si="13"/>
        <v>118010.66472</v>
      </c>
      <c r="R20" s="41">
        <v>18</v>
      </c>
      <c r="S20" s="41">
        <f t="shared" si="14"/>
        <v>737100</v>
      </c>
      <c r="T20" s="41">
        <f t="shared" si="0"/>
        <v>218863.125</v>
      </c>
      <c r="U20" s="41">
        <f t="shared" si="1"/>
        <v>42652.0458</v>
      </c>
      <c r="V20" s="41">
        <f t="shared" si="2"/>
        <v>280144.8</v>
      </c>
      <c r="W20" s="41">
        <f t="shared" si="15"/>
        <v>1278759.9708</v>
      </c>
    </row>
    <row r="21" spans="1:23" s="31" customFormat="1" x14ac:dyDescent="0.25">
      <c r="A21" s="29" t="s">
        <v>80</v>
      </c>
      <c r="B21" s="30">
        <v>1</v>
      </c>
      <c r="C21" s="30">
        <v>2</v>
      </c>
      <c r="D21" s="30">
        <v>0</v>
      </c>
      <c r="E21" s="30">
        <f t="shared" si="3"/>
        <v>2</v>
      </c>
      <c r="F21" s="41">
        <v>20</v>
      </c>
      <c r="G21" s="41">
        <f t="shared" si="4"/>
        <v>819000</v>
      </c>
      <c r="H21" s="41">
        <f t="shared" si="5"/>
        <v>218863.125</v>
      </c>
      <c r="I21" s="41">
        <f t="shared" si="6"/>
        <v>42652.0458</v>
      </c>
      <c r="J21" s="41">
        <f t="shared" si="7"/>
        <v>280144.8</v>
      </c>
      <c r="K21" s="41">
        <f t="shared" si="8"/>
        <v>1360659.9708</v>
      </c>
      <c r="L21" s="41">
        <v>2</v>
      </c>
      <c r="M21" s="41">
        <f t="shared" si="9"/>
        <v>81900</v>
      </c>
      <c r="N21" s="41">
        <f t="shared" si="10"/>
        <v>14590.875</v>
      </c>
      <c r="O21" s="41">
        <f t="shared" si="11"/>
        <v>2843.4697200000001</v>
      </c>
      <c r="P21" s="41">
        <f t="shared" si="12"/>
        <v>18676.32</v>
      </c>
      <c r="Q21" s="41">
        <f t="shared" si="13"/>
        <v>118010.66472</v>
      </c>
      <c r="R21" s="41">
        <v>18</v>
      </c>
      <c r="S21" s="41">
        <f t="shared" si="14"/>
        <v>737100</v>
      </c>
      <c r="T21" s="41">
        <f t="shared" si="0"/>
        <v>218863.125</v>
      </c>
      <c r="U21" s="41">
        <f t="shared" si="1"/>
        <v>42652.0458</v>
      </c>
      <c r="V21" s="41">
        <f t="shared" si="2"/>
        <v>280144.8</v>
      </c>
      <c r="W21" s="41">
        <f t="shared" si="15"/>
        <v>1278759.9708</v>
      </c>
    </row>
    <row r="22" spans="1:23" s="31" customFormat="1" x14ac:dyDescent="0.25">
      <c r="A22" s="29" t="s">
        <v>86</v>
      </c>
      <c r="B22" s="30">
        <v>1</v>
      </c>
      <c r="C22" s="30">
        <v>4</v>
      </c>
      <c r="D22" s="30">
        <v>0</v>
      </c>
      <c r="E22" s="30">
        <f t="shared" si="3"/>
        <v>4</v>
      </c>
      <c r="F22" s="41">
        <v>20</v>
      </c>
      <c r="G22" s="41">
        <f t="shared" si="4"/>
        <v>819000</v>
      </c>
      <c r="H22" s="41">
        <f t="shared" si="5"/>
        <v>218863.125</v>
      </c>
      <c r="I22" s="41">
        <f t="shared" si="6"/>
        <v>42652.0458</v>
      </c>
      <c r="J22" s="41">
        <f t="shared" si="7"/>
        <v>280144.8</v>
      </c>
      <c r="K22" s="41">
        <f t="shared" si="8"/>
        <v>1360659.9708</v>
      </c>
      <c r="L22" s="41">
        <v>2</v>
      </c>
      <c r="M22" s="41">
        <f t="shared" si="9"/>
        <v>81900</v>
      </c>
      <c r="N22" s="41">
        <f t="shared" si="10"/>
        <v>14590.875</v>
      </c>
      <c r="O22" s="41">
        <f t="shared" si="11"/>
        <v>2843.4697200000001</v>
      </c>
      <c r="P22" s="41">
        <f t="shared" si="12"/>
        <v>18676.32</v>
      </c>
      <c r="Q22" s="41">
        <f t="shared" si="13"/>
        <v>118010.66472</v>
      </c>
      <c r="R22" s="41">
        <v>18</v>
      </c>
      <c r="S22" s="41">
        <f t="shared" si="14"/>
        <v>737100</v>
      </c>
      <c r="T22" s="41">
        <f t="shared" si="0"/>
        <v>218863.125</v>
      </c>
      <c r="U22" s="41">
        <f t="shared" si="1"/>
        <v>42652.0458</v>
      </c>
      <c r="V22" s="41">
        <f t="shared" si="2"/>
        <v>280144.8</v>
      </c>
      <c r="W22" s="41">
        <f t="shared" si="15"/>
        <v>1278759.9708</v>
      </c>
    </row>
    <row r="23" spans="1:23" s="31" customFormat="1" x14ac:dyDescent="0.25">
      <c r="A23" s="29" t="s">
        <v>88</v>
      </c>
      <c r="B23" s="30">
        <v>1</v>
      </c>
      <c r="C23" s="30">
        <v>11</v>
      </c>
      <c r="D23" s="30">
        <v>0</v>
      </c>
      <c r="E23" s="30">
        <f t="shared" si="3"/>
        <v>11</v>
      </c>
      <c r="F23" s="41">
        <v>20</v>
      </c>
      <c r="G23" s="41">
        <f>$C$4*F23</f>
        <v>819000</v>
      </c>
      <c r="H23" s="41">
        <f t="shared" si="5"/>
        <v>218863.125</v>
      </c>
      <c r="I23" s="41">
        <f t="shared" si="6"/>
        <v>42652.0458</v>
      </c>
      <c r="J23" s="41">
        <f t="shared" si="7"/>
        <v>280144.8</v>
      </c>
      <c r="K23" s="41">
        <f t="shared" si="8"/>
        <v>1360659.9708</v>
      </c>
      <c r="L23" s="41">
        <v>2</v>
      </c>
      <c r="M23" s="41">
        <f t="shared" si="9"/>
        <v>81900</v>
      </c>
      <c r="N23" s="41">
        <f t="shared" si="10"/>
        <v>14590.875</v>
      </c>
      <c r="O23" s="41">
        <f t="shared" si="11"/>
        <v>2843.4697200000001</v>
      </c>
      <c r="P23" s="41">
        <f t="shared" si="12"/>
        <v>18676.32</v>
      </c>
      <c r="Q23" s="41">
        <f t="shared" si="13"/>
        <v>118010.66472</v>
      </c>
      <c r="R23" s="41">
        <v>18</v>
      </c>
      <c r="S23" s="41">
        <f t="shared" si="14"/>
        <v>737100</v>
      </c>
      <c r="T23" s="41">
        <f t="shared" si="0"/>
        <v>218863.125</v>
      </c>
      <c r="U23" s="41">
        <f t="shared" si="1"/>
        <v>42652.0458</v>
      </c>
      <c r="V23" s="41">
        <f t="shared" si="2"/>
        <v>280144.8</v>
      </c>
      <c r="W23" s="41">
        <f t="shared" si="15"/>
        <v>1278759.9708</v>
      </c>
    </row>
    <row r="24" spans="1:23" s="31" customFormat="1" x14ac:dyDescent="0.25">
      <c r="A24" s="29" t="s">
        <v>91</v>
      </c>
      <c r="B24" s="30">
        <v>1</v>
      </c>
      <c r="C24" s="30">
        <v>2</v>
      </c>
      <c r="D24" s="30">
        <v>6</v>
      </c>
      <c r="E24" s="30">
        <f t="shared" si="3"/>
        <v>8</v>
      </c>
      <c r="F24" s="41">
        <v>20</v>
      </c>
      <c r="G24" s="41">
        <f t="shared" si="4"/>
        <v>819000</v>
      </c>
      <c r="H24" s="41">
        <f t="shared" si="5"/>
        <v>218863.125</v>
      </c>
      <c r="I24" s="41">
        <f t="shared" si="6"/>
        <v>42652.0458</v>
      </c>
      <c r="J24" s="41">
        <f t="shared" si="7"/>
        <v>280144.8</v>
      </c>
      <c r="K24" s="41">
        <f t="shared" si="8"/>
        <v>1360659.9708</v>
      </c>
      <c r="L24" s="41">
        <v>2</v>
      </c>
      <c r="M24" s="41">
        <f t="shared" si="9"/>
        <v>81900</v>
      </c>
      <c r="N24" s="41">
        <f t="shared" si="10"/>
        <v>14590.875</v>
      </c>
      <c r="O24" s="41">
        <f t="shared" si="11"/>
        <v>2843.4697200000001</v>
      </c>
      <c r="P24" s="41">
        <f t="shared" si="12"/>
        <v>18676.32</v>
      </c>
      <c r="Q24" s="41">
        <f t="shared" si="13"/>
        <v>118010.66472</v>
      </c>
      <c r="R24" s="41">
        <v>18</v>
      </c>
      <c r="S24" s="41">
        <f t="shared" si="14"/>
        <v>737100</v>
      </c>
      <c r="T24" s="41">
        <f t="shared" si="0"/>
        <v>218863.125</v>
      </c>
      <c r="U24" s="41">
        <f t="shared" si="1"/>
        <v>42652.0458</v>
      </c>
      <c r="V24" s="41">
        <f t="shared" si="2"/>
        <v>280144.8</v>
      </c>
      <c r="W24" s="41">
        <f t="shared" si="15"/>
        <v>1278759.9708</v>
      </c>
    </row>
    <row r="25" spans="1:23" s="31" customFormat="1" x14ac:dyDescent="0.25">
      <c r="A25" s="29" t="s">
        <v>102</v>
      </c>
      <c r="B25" s="30">
        <v>1</v>
      </c>
      <c r="C25" s="30">
        <v>15</v>
      </c>
      <c r="D25" s="30">
        <v>0</v>
      </c>
      <c r="E25" s="30">
        <f t="shared" si="3"/>
        <v>15</v>
      </c>
      <c r="F25" s="41">
        <v>20</v>
      </c>
      <c r="G25" s="41">
        <f>$C$4*F25</f>
        <v>819000</v>
      </c>
      <c r="H25" s="41">
        <f t="shared" si="5"/>
        <v>218863.125</v>
      </c>
      <c r="I25" s="41">
        <f t="shared" si="6"/>
        <v>42652.0458</v>
      </c>
      <c r="J25" s="41">
        <f t="shared" si="7"/>
        <v>280144.8</v>
      </c>
      <c r="K25" s="41">
        <f t="shared" si="8"/>
        <v>1360659.9708</v>
      </c>
      <c r="L25" s="41">
        <v>2</v>
      </c>
      <c r="M25" s="41">
        <f>$C$4*L25</f>
        <v>81900</v>
      </c>
      <c r="N25" s="41">
        <f t="shared" si="10"/>
        <v>14590.875</v>
      </c>
      <c r="O25" s="41">
        <f t="shared" si="11"/>
        <v>2843.4697200000001</v>
      </c>
      <c r="P25" s="41">
        <f t="shared" si="12"/>
        <v>18676.32</v>
      </c>
      <c r="Q25" s="41">
        <f t="shared" si="13"/>
        <v>118010.66472</v>
      </c>
      <c r="R25" s="41">
        <v>18</v>
      </c>
      <c r="S25" s="41">
        <f t="shared" si="14"/>
        <v>737100</v>
      </c>
      <c r="T25" s="41">
        <f t="shared" si="0"/>
        <v>218863.125</v>
      </c>
      <c r="U25" s="41">
        <f t="shared" si="1"/>
        <v>42652.0458</v>
      </c>
      <c r="V25" s="41">
        <f t="shared" si="2"/>
        <v>280144.8</v>
      </c>
      <c r="W25" s="41">
        <f t="shared" si="15"/>
        <v>1278759.9708</v>
      </c>
    </row>
    <row r="26" spans="1:23" s="31" customFormat="1" x14ac:dyDescent="0.25">
      <c r="A26" s="29" t="s">
        <v>81</v>
      </c>
      <c r="B26" s="30">
        <v>1</v>
      </c>
      <c r="C26" s="30">
        <v>4</v>
      </c>
      <c r="D26" s="30">
        <v>8</v>
      </c>
      <c r="E26" s="30">
        <f t="shared" si="3"/>
        <v>12</v>
      </c>
      <c r="F26" s="41">
        <v>20</v>
      </c>
      <c r="G26" s="41">
        <f t="shared" ref="G26:G34" si="16">$C$4*F26</f>
        <v>819000</v>
      </c>
      <c r="H26" s="41">
        <f t="shared" si="5"/>
        <v>218863.125</v>
      </c>
      <c r="I26" s="41">
        <f t="shared" si="6"/>
        <v>42652.0458</v>
      </c>
      <c r="J26" s="41">
        <f t="shared" si="7"/>
        <v>280144.8</v>
      </c>
      <c r="K26" s="41">
        <f t="shared" si="8"/>
        <v>1360659.9708</v>
      </c>
      <c r="L26" s="41">
        <v>2</v>
      </c>
      <c r="M26" s="41">
        <f t="shared" ref="M26:M34" si="17">$C$4*L26</f>
        <v>81900</v>
      </c>
      <c r="N26" s="41">
        <f t="shared" si="10"/>
        <v>14590.875</v>
      </c>
      <c r="O26" s="41">
        <f t="shared" si="11"/>
        <v>2843.4697200000001</v>
      </c>
      <c r="P26" s="41">
        <f t="shared" si="12"/>
        <v>18676.32</v>
      </c>
      <c r="Q26" s="41">
        <f t="shared" si="13"/>
        <v>118010.66472</v>
      </c>
      <c r="R26" s="41">
        <v>18</v>
      </c>
      <c r="S26" s="41">
        <f t="shared" si="14"/>
        <v>737100</v>
      </c>
      <c r="T26" s="41">
        <f t="shared" si="0"/>
        <v>218863.125</v>
      </c>
      <c r="U26" s="41">
        <f t="shared" si="1"/>
        <v>42652.0458</v>
      </c>
      <c r="V26" s="41">
        <f t="shared" si="2"/>
        <v>280144.8</v>
      </c>
      <c r="W26" s="41">
        <f t="shared" si="15"/>
        <v>1278759.9708</v>
      </c>
    </row>
    <row r="27" spans="1:23" s="31" customFormat="1" x14ac:dyDescent="0.25">
      <c r="A27" s="29" t="s">
        <v>87</v>
      </c>
      <c r="B27" s="30">
        <v>1</v>
      </c>
      <c r="C27" s="30">
        <v>6</v>
      </c>
      <c r="D27" s="30">
        <v>6</v>
      </c>
      <c r="E27" s="30">
        <f t="shared" si="3"/>
        <v>12</v>
      </c>
      <c r="F27" s="41">
        <v>20</v>
      </c>
      <c r="G27" s="41">
        <f t="shared" si="16"/>
        <v>819000</v>
      </c>
      <c r="H27" s="41">
        <f t="shared" si="5"/>
        <v>218863.125</v>
      </c>
      <c r="I27" s="41">
        <f t="shared" si="6"/>
        <v>42652.0458</v>
      </c>
      <c r="J27" s="41">
        <f t="shared" si="7"/>
        <v>280144.8</v>
      </c>
      <c r="K27" s="41">
        <f t="shared" si="8"/>
        <v>1360659.9708</v>
      </c>
      <c r="L27" s="41">
        <v>2</v>
      </c>
      <c r="M27" s="41">
        <f t="shared" si="17"/>
        <v>81900</v>
      </c>
      <c r="N27" s="41">
        <f t="shared" si="10"/>
        <v>14590.875</v>
      </c>
      <c r="O27" s="41">
        <f t="shared" si="11"/>
        <v>2843.4697200000001</v>
      </c>
      <c r="P27" s="41">
        <f t="shared" si="12"/>
        <v>18676.32</v>
      </c>
      <c r="Q27" s="41">
        <f t="shared" si="13"/>
        <v>118010.66472</v>
      </c>
      <c r="R27" s="41">
        <v>18</v>
      </c>
      <c r="S27" s="41">
        <f t="shared" si="14"/>
        <v>737100</v>
      </c>
      <c r="T27" s="41">
        <f t="shared" si="0"/>
        <v>218863.125</v>
      </c>
      <c r="U27" s="41">
        <f t="shared" si="1"/>
        <v>42652.0458</v>
      </c>
      <c r="V27" s="41">
        <f t="shared" si="2"/>
        <v>280144.8</v>
      </c>
      <c r="W27" s="41">
        <f t="shared" si="15"/>
        <v>1278759.9708</v>
      </c>
    </row>
    <row r="28" spans="1:23" s="31" customFormat="1" x14ac:dyDescent="0.25">
      <c r="A28" s="29" t="s">
        <v>32</v>
      </c>
      <c r="B28" s="30">
        <v>1</v>
      </c>
      <c r="C28" s="30">
        <v>12</v>
      </c>
      <c r="D28" s="30">
        <v>0</v>
      </c>
      <c r="E28" s="30">
        <f t="shared" si="3"/>
        <v>12</v>
      </c>
      <c r="F28" s="41">
        <v>20</v>
      </c>
      <c r="G28" s="41">
        <f t="shared" si="16"/>
        <v>819000</v>
      </c>
      <c r="H28" s="41">
        <f t="shared" si="5"/>
        <v>218863.125</v>
      </c>
      <c r="I28" s="41">
        <f t="shared" si="6"/>
        <v>42652.0458</v>
      </c>
      <c r="J28" s="41">
        <f t="shared" si="7"/>
        <v>280144.8</v>
      </c>
      <c r="K28" s="41">
        <f t="shared" si="8"/>
        <v>1360659.9708</v>
      </c>
      <c r="L28" s="41">
        <v>2</v>
      </c>
      <c r="M28" s="41">
        <f t="shared" si="17"/>
        <v>81900</v>
      </c>
      <c r="N28" s="41">
        <f t="shared" si="10"/>
        <v>14590.875</v>
      </c>
      <c r="O28" s="41">
        <f t="shared" si="11"/>
        <v>2843.4697200000001</v>
      </c>
      <c r="P28" s="41">
        <f t="shared" si="12"/>
        <v>18676.32</v>
      </c>
      <c r="Q28" s="41">
        <f t="shared" si="13"/>
        <v>118010.66472</v>
      </c>
      <c r="R28" s="41">
        <v>18</v>
      </c>
      <c r="S28" s="41">
        <f t="shared" si="14"/>
        <v>737100</v>
      </c>
      <c r="T28" s="41">
        <f t="shared" si="0"/>
        <v>218863.125</v>
      </c>
      <c r="U28" s="41">
        <f t="shared" si="1"/>
        <v>42652.0458</v>
      </c>
      <c r="V28" s="41">
        <f t="shared" si="2"/>
        <v>280144.8</v>
      </c>
      <c r="W28" s="41">
        <f t="shared" si="15"/>
        <v>1278759.9708</v>
      </c>
    </row>
    <row r="29" spans="1:23" s="31" customFormat="1" x14ac:dyDescent="0.25">
      <c r="A29" s="29" t="s">
        <v>34</v>
      </c>
      <c r="B29" s="30">
        <v>1</v>
      </c>
      <c r="C29" s="30">
        <v>10</v>
      </c>
      <c r="D29" s="30">
        <v>0</v>
      </c>
      <c r="E29" s="30">
        <f t="shared" si="3"/>
        <v>10</v>
      </c>
      <c r="F29" s="41">
        <v>20</v>
      </c>
      <c r="G29" s="41">
        <f t="shared" si="16"/>
        <v>819000</v>
      </c>
      <c r="H29" s="41">
        <f t="shared" si="5"/>
        <v>218863.125</v>
      </c>
      <c r="I29" s="41">
        <f t="shared" si="6"/>
        <v>42652.0458</v>
      </c>
      <c r="J29" s="41">
        <f t="shared" si="7"/>
        <v>280144.8</v>
      </c>
      <c r="K29" s="41">
        <f t="shared" si="8"/>
        <v>1360659.9708</v>
      </c>
      <c r="L29" s="41">
        <v>2</v>
      </c>
      <c r="M29" s="41">
        <f t="shared" si="17"/>
        <v>81900</v>
      </c>
      <c r="N29" s="41">
        <f t="shared" si="10"/>
        <v>14590.875</v>
      </c>
      <c r="O29" s="41">
        <f t="shared" si="11"/>
        <v>2843.4697200000001</v>
      </c>
      <c r="P29" s="41">
        <f t="shared" si="12"/>
        <v>18676.32</v>
      </c>
      <c r="Q29" s="41">
        <f t="shared" si="13"/>
        <v>118010.66472</v>
      </c>
      <c r="R29" s="41">
        <v>18</v>
      </c>
      <c r="S29" s="41">
        <f t="shared" si="14"/>
        <v>737100</v>
      </c>
      <c r="T29" s="41">
        <f t="shared" si="0"/>
        <v>218863.125</v>
      </c>
      <c r="U29" s="41">
        <f t="shared" si="1"/>
        <v>42652.0458</v>
      </c>
      <c r="V29" s="41">
        <f t="shared" si="2"/>
        <v>280144.8</v>
      </c>
      <c r="W29" s="41">
        <f t="shared" si="15"/>
        <v>1278759.9708</v>
      </c>
    </row>
    <row r="30" spans="1:23" s="31" customFormat="1" x14ac:dyDescent="0.25">
      <c r="A30" s="29" t="s">
        <v>57</v>
      </c>
      <c r="B30" s="30">
        <v>1</v>
      </c>
      <c r="C30" s="30">
        <v>13</v>
      </c>
      <c r="D30" s="30">
        <v>0</v>
      </c>
      <c r="E30" s="30">
        <f t="shared" si="3"/>
        <v>13</v>
      </c>
      <c r="F30" s="41">
        <v>20</v>
      </c>
      <c r="G30" s="41">
        <f t="shared" si="16"/>
        <v>819000</v>
      </c>
      <c r="H30" s="41">
        <f t="shared" si="5"/>
        <v>218863.125</v>
      </c>
      <c r="I30" s="41">
        <f t="shared" si="6"/>
        <v>42652.0458</v>
      </c>
      <c r="J30" s="41">
        <f t="shared" si="7"/>
        <v>280144.8</v>
      </c>
      <c r="K30" s="41">
        <f t="shared" si="8"/>
        <v>1360659.9708</v>
      </c>
      <c r="L30" s="41">
        <v>2</v>
      </c>
      <c r="M30" s="41">
        <f t="shared" si="17"/>
        <v>81900</v>
      </c>
      <c r="N30" s="41">
        <f t="shared" si="10"/>
        <v>14590.875</v>
      </c>
      <c r="O30" s="41">
        <f t="shared" si="11"/>
        <v>2843.4697200000001</v>
      </c>
      <c r="P30" s="41">
        <f t="shared" si="12"/>
        <v>18676.32</v>
      </c>
      <c r="Q30" s="41">
        <f t="shared" si="13"/>
        <v>118010.66472</v>
      </c>
      <c r="R30" s="41">
        <v>18</v>
      </c>
      <c r="S30" s="41">
        <f t="shared" si="14"/>
        <v>737100</v>
      </c>
      <c r="T30" s="41">
        <f t="shared" si="0"/>
        <v>218863.125</v>
      </c>
      <c r="U30" s="41">
        <f t="shared" si="1"/>
        <v>42652.0458</v>
      </c>
      <c r="V30" s="41">
        <f t="shared" si="2"/>
        <v>280144.8</v>
      </c>
      <c r="W30" s="41">
        <f t="shared" si="15"/>
        <v>1278759.9708</v>
      </c>
    </row>
    <row r="31" spans="1:23" s="31" customFormat="1" x14ac:dyDescent="0.25">
      <c r="A31" s="29" t="s">
        <v>73</v>
      </c>
      <c r="B31" s="30">
        <v>1</v>
      </c>
      <c r="C31" s="30">
        <v>15</v>
      </c>
      <c r="D31" s="30">
        <v>0</v>
      </c>
      <c r="E31" s="30">
        <f t="shared" si="3"/>
        <v>15</v>
      </c>
      <c r="F31" s="41">
        <v>20</v>
      </c>
      <c r="G31" s="41">
        <f t="shared" si="16"/>
        <v>819000</v>
      </c>
      <c r="H31" s="41">
        <f t="shared" si="5"/>
        <v>218863.125</v>
      </c>
      <c r="I31" s="41">
        <f t="shared" si="6"/>
        <v>42652.0458</v>
      </c>
      <c r="J31" s="41">
        <f t="shared" si="7"/>
        <v>280144.8</v>
      </c>
      <c r="K31" s="41">
        <f t="shared" si="8"/>
        <v>1360659.9708</v>
      </c>
      <c r="L31" s="41">
        <v>2</v>
      </c>
      <c r="M31" s="41">
        <f t="shared" si="17"/>
        <v>81900</v>
      </c>
      <c r="N31" s="41">
        <f t="shared" si="10"/>
        <v>14590.875</v>
      </c>
      <c r="O31" s="41">
        <f t="shared" si="11"/>
        <v>2843.4697200000001</v>
      </c>
      <c r="P31" s="41">
        <f t="shared" si="12"/>
        <v>18676.32</v>
      </c>
      <c r="Q31" s="41">
        <f t="shared" si="13"/>
        <v>118010.66472</v>
      </c>
      <c r="R31" s="41">
        <v>18</v>
      </c>
      <c r="S31" s="41">
        <f t="shared" si="14"/>
        <v>737100</v>
      </c>
      <c r="T31" s="41">
        <f t="shared" si="0"/>
        <v>218863.125</v>
      </c>
      <c r="U31" s="41">
        <f t="shared" si="1"/>
        <v>42652.0458</v>
      </c>
      <c r="V31" s="41">
        <f t="shared" si="2"/>
        <v>280144.8</v>
      </c>
      <c r="W31" s="41">
        <f t="shared" si="15"/>
        <v>1278759.9708</v>
      </c>
    </row>
    <row r="32" spans="1:23" s="31" customFormat="1" x14ac:dyDescent="0.25">
      <c r="A32" s="29" t="s">
        <v>78</v>
      </c>
      <c r="B32" s="30">
        <v>1</v>
      </c>
      <c r="C32" s="30">
        <v>14</v>
      </c>
      <c r="D32" s="30">
        <v>0</v>
      </c>
      <c r="E32" s="30">
        <f t="shared" si="3"/>
        <v>14</v>
      </c>
      <c r="F32" s="41">
        <v>20</v>
      </c>
      <c r="G32" s="41">
        <f t="shared" si="16"/>
        <v>819000</v>
      </c>
      <c r="H32" s="41">
        <f t="shared" si="5"/>
        <v>218863.125</v>
      </c>
      <c r="I32" s="41">
        <f t="shared" si="6"/>
        <v>42652.0458</v>
      </c>
      <c r="J32" s="41">
        <f t="shared" si="7"/>
        <v>280144.8</v>
      </c>
      <c r="K32" s="41">
        <f t="shared" si="8"/>
        <v>1360659.9708</v>
      </c>
      <c r="L32" s="41">
        <v>2</v>
      </c>
      <c r="M32" s="41">
        <f t="shared" si="17"/>
        <v>81900</v>
      </c>
      <c r="N32" s="41">
        <f t="shared" si="10"/>
        <v>14590.875</v>
      </c>
      <c r="O32" s="41">
        <f t="shared" si="11"/>
        <v>2843.4697200000001</v>
      </c>
      <c r="P32" s="41">
        <f t="shared" si="12"/>
        <v>18676.32</v>
      </c>
      <c r="Q32" s="41">
        <f t="shared" si="13"/>
        <v>118010.66472</v>
      </c>
      <c r="R32" s="41">
        <v>18</v>
      </c>
      <c r="S32" s="41">
        <f t="shared" si="14"/>
        <v>737100</v>
      </c>
      <c r="T32" s="41">
        <f t="shared" si="0"/>
        <v>218863.125</v>
      </c>
      <c r="U32" s="41">
        <f t="shared" si="1"/>
        <v>42652.0458</v>
      </c>
      <c r="V32" s="41">
        <f t="shared" si="2"/>
        <v>280144.8</v>
      </c>
      <c r="W32" s="41">
        <f t="shared" si="15"/>
        <v>1278759.9708</v>
      </c>
    </row>
    <row r="33" spans="1:23" s="31" customFormat="1" x14ac:dyDescent="0.25">
      <c r="A33" s="29" t="s">
        <v>85</v>
      </c>
      <c r="B33" s="30">
        <v>1</v>
      </c>
      <c r="C33" s="30">
        <v>11</v>
      </c>
      <c r="D33" s="30">
        <v>0</v>
      </c>
      <c r="E33" s="30">
        <f t="shared" si="3"/>
        <v>11</v>
      </c>
      <c r="F33" s="41">
        <v>20</v>
      </c>
      <c r="G33" s="41">
        <f t="shared" si="16"/>
        <v>819000</v>
      </c>
      <c r="H33" s="41">
        <f t="shared" si="5"/>
        <v>218863.125</v>
      </c>
      <c r="I33" s="41">
        <f t="shared" si="6"/>
        <v>42652.0458</v>
      </c>
      <c r="J33" s="41">
        <f t="shared" si="7"/>
        <v>280144.8</v>
      </c>
      <c r="K33" s="41">
        <f t="shared" si="8"/>
        <v>1360659.9708</v>
      </c>
      <c r="L33" s="41">
        <v>2</v>
      </c>
      <c r="M33" s="41">
        <f t="shared" si="17"/>
        <v>81900</v>
      </c>
      <c r="N33" s="41">
        <f t="shared" si="10"/>
        <v>14590.875</v>
      </c>
      <c r="O33" s="41">
        <f t="shared" si="11"/>
        <v>2843.4697200000001</v>
      </c>
      <c r="P33" s="41">
        <f t="shared" si="12"/>
        <v>18676.32</v>
      </c>
      <c r="Q33" s="41">
        <f t="shared" si="13"/>
        <v>118010.66472</v>
      </c>
      <c r="R33" s="41">
        <v>18</v>
      </c>
      <c r="S33" s="41">
        <f t="shared" si="14"/>
        <v>737100</v>
      </c>
      <c r="T33" s="41">
        <f t="shared" si="0"/>
        <v>218863.125</v>
      </c>
      <c r="U33" s="41">
        <f t="shared" si="1"/>
        <v>42652.0458</v>
      </c>
      <c r="V33" s="41">
        <f t="shared" si="2"/>
        <v>280144.8</v>
      </c>
      <c r="W33" s="41">
        <f t="shared" si="15"/>
        <v>1278759.9708</v>
      </c>
    </row>
    <row r="34" spans="1:23" s="31" customFormat="1" x14ac:dyDescent="0.25">
      <c r="A34" s="29" t="s">
        <v>97</v>
      </c>
      <c r="B34" s="30">
        <v>1</v>
      </c>
      <c r="C34" s="30">
        <v>10</v>
      </c>
      <c r="D34" s="30">
        <v>0</v>
      </c>
      <c r="E34" s="30">
        <f t="shared" si="3"/>
        <v>10</v>
      </c>
      <c r="F34" s="41">
        <v>20</v>
      </c>
      <c r="G34" s="41">
        <f t="shared" si="16"/>
        <v>819000</v>
      </c>
      <c r="H34" s="41">
        <f t="shared" si="5"/>
        <v>218863.125</v>
      </c>
      <c r="I34" s="41">
        <f t="shared" si="6"/>
        <v>42652.0458</v>
      </c>
      <c r="J34" s="41">
        <f t="shared" si="7"/>
        <v>280144.8</v>
      </c>
      <c r="K34" s="41">
        <f t="shared" si="8"/>
        <v>1360659.9708</v>
      </c>
      <c r="L34" s="41">
        <v>2</v>
      </c>
      <c r="M34" s="41">
        <f t="shared" si="17"/>
        <v>81900</v>
      </c>
      <c r="N34" s="41">
        <f t="shared" si="10"/>
        <v>14590.875</v>
      </c>
      <c r="O34" s="41">
        <f t="shared" si="11"/>
        <v>2843.4697200000001</v>
      </c>
      <c r="P34" s="41">
        <f t="shared" si="12"/>
        <v>18676.32</v>
      </c>
      <c r="Q34" s="41">
        <f t="shared" si="13"/>
        <v>118010.66472</v>
      </c>
      <c r="R34" s="41">
        <v>18</v>
      </c>
      <c r="S34" s="41">
        <f t="shared" si="14"/>
        <v>737100</v>
      </c>
      <c r="T34" s="41">
        <f t="shared" si="0"/>
        <v>218863.125</v>
      </c>
      <c r="U34" s="41">
        <f t="shared" si="1"/>
        <v>42652.0458</v>
      </c>
      <c r="V34" s="41">
        <f t="shared" si="2"/>
        <v>280144.8</v>
      </c>
      <c r="W34" s="41">
        <f t="shared" si="15"/>
        <v>1278759.9708</v>
      </c>
    </row>
    <row r="35" spans="1:23" s="34" customFormat="1" x14ac:dyDescent="0.25">
      <c r="A35" s="32" t="s">
        <v>83</v>
      </c>
      <c r="B35" s="33">
        <v>1</v>
      </c>
      <c r="C35" s="33">
        <v>16</v>
      </c>
      <c r="D35" s="33">
        <v>0</v>
      </c>
      <c r="E35" s="33">
        <f>C35+D35</f>
        <v>16</v>
      </c>
      <c r="F35" s="42">
        <v>20</v>
      </c>
      <c r="G35" s="42">
        <f>$C$5*F35</f>
        <v>1197000</v>
      </c>
      <c r="H35" s="42">
        <f t="shared" si="5"/>
        <v>218863.125</v>
      </c>
      <c r="I35" s="42">
        <f t="shared" si="6"/>
        <v>42652.0458</v>
      </c>
      <c r="J35" s="42">
        <f t="shared" si="7"/>
        <v>280144.8</v>
      </c>
      <c r="K35" s="42">
        <f>SUM(G35:J35)*B35</f>
        <v>1738659.9708</v>
      </c>
      <c r="L35" s="42">
        <v>2</v>
      </c>
      <c r="M35" s="42">
        <f>$C$5*L35</f>
        <v>119700</v>
      </c>
      <c r="N35" s="42">
        <f>($D$4*12.5%)/30*2</f>
        <v>14590.875</v>
      </c>
      <c r="O35" s="42">
        <f>($D$4*2.436%)/30*2</f>
        <v>2843.4697200000001</v>
      </c>
      <c r="P35" s="42">
        <f>($D$4*16%)/30*2</f>
        <v>18676.32</v>
      </c>
      <c r="Q35" s="42">
        <f>SUM(M35:P35)*B35</f>
        <v>155810.66472</v>
      </c>
      <c r="R35" s="42">
        <v>18</v>
      </c>
      <c r="S35" s="42">
        <f>$C$5*R35</f>
        <v>1077300</v>
      </c>
      <c r="T35" s="42">
        <f t="shared" si="0"/>
        <v>218863.125</v>
      </c>
      <c r="U35" s="42">
        <f t="shared" si="1"/>
        <v>42652.0458</v>
      </c>
      <c r="V35" s="42">
        <f t="shared" si="2"/>
        <v>280144.8</v>
      </c>
      <c r="W35" s="42">
        <f>SUM(S35:V35)*B35</f>
        <v>1618959.9708</v>
      </c>
    </row>
    <row r="36" spans="1:23" s="34" customFormat="1" x14ac:dyDescent="0.25">
      <c r="A36" s="32" t="s">
        <v>107</v>
      </c>
      <c r="B36" s="33">
        <v>1</v>
      </c>
      <c r="C36" s="33">
        <v>10</v>
      </c>
      <c r="D36" s="33">
        <v>7</v>
      </c>
      <c r="E36" s="33">
        <f t="shared" si="3"/>
        <v>17</v>
      </c>
      <c r="F36" s="42">
        <v>20</v>
      </c>
      <c r="G36" s="42">
        <f>$C$5*F36</f>
        <v>1197000</v>
      </c>
      <c r="H36" s="42">
        <f t="shared" si="5"/>
        <v>218863.125</v>
      </c>
      <c r="I36" s="42">
        <f t="shared" si="6"/>
        <v>42652.0458</v>
      </c>
      <c r="J36" s="42">
        <f t="shared" si="7"/>
        <v>280144.8</v>
      </c>
      <c r="K36" s="42">
        <f t="shared" si="8"/>
        <v>1738659.9708</v>
      </c>
      <c r="L36" s="42">
        <v>2</v>
      </c>
      <c r="M36" s="42">
        <f>$C$5*L36</f>
        <v>119700</v>
      </c>
      <c r="N36" s="42">
        <f t="shared" ref="N36:N67" si="18">($D$4*12.5%)/30*2</f>
        <v>14590.875</v>
      </c>
      <c r="O36" s="42">
        <f t="shared" ref="O36:O67" si="19">($D$4*2.436%)/30*2</f>
        <v>2843.4697200000001</v>
      </c>
      <c r="P36" s="42">
        <f t="shared" ref="P36:P67" si="20">($D$4*16%)/30*2</f>
        <v>18676.32</v>
      </c>
      <c r="Q36" s="42">
        <f t="shared" si="13"/>
        <v>155810.66472</v>
      </c>
      <c r="R36" s="42">
        <v>18</v>
      </c>
      <c r="S36" s="42">
        <f>$C$5*R36</f>
        <v>1077300</v>
      </c>
      <c r="T36" s="42">
        <f t="shared" si="0"/>
        <v>218863.125</v>
      </c>
      <c r="U36" s="42">
        <f t="shared" si="1"/>
        <v>42652.0458</v>
      </c>
      <c r="V36" s="42">
        <f t="shared" si="2"/>
        <v>280144.8</v>
      </c>
      <c r="W36" s="42">
        <f t="shared" si="15"/>
        <v>1618959.9708</v>
      </c>
    </row>
    <row r="37" spans="1:23" s="34" customFormat="1" x14ac:dyDescent="0.25">
      <c r="A37" s="32" t="s">
        <v>27</v>
      </c>
      <c r="B37" s="33">
        <v>1</v>
      </c>
      <c r="C37" s="33">
        <v>10</v>
      </c>
      <c r="D37" s="33">
        <v>7</v>
      </c>
      <c r="E37" s="33">
        <f t="shared" si="3"/>
        <v>17</v>
      </c>
      <c r="F37" s="42">
        <v>20</v>
      </c>
      <c r="G37" s="42">
        <f t="shared" ref="G37:G68" si="21">$C$5*F37</f>
        <v>1197000</v>
      </c>
      <c r="H37" s="42">
        <f t="shared" si="5"/>
        <v>218863.125</v>
      </c>
      <c r="I37" s="42">
        <f t="shared" si="6"/>
        <v>42652.0458</v>
      </c>
      <c r="J37" s="42">
        <f t="shared" si="7"/>
        <v>280144.8</v>
      </c>
      <c r="K37" s="42">
        <f t="shared" si="8"/>
        <v>1738659.9708</v>
      </c>
      <c r="L37" s="42">
        <v>2</v>
      </c>
      <c r="M37" s="42">
        <f t="shared" ref="M37:M68" si="22">$C$5*L37</f>
        <v>119700</v>
      </c>
      <c r="N37" s="42">
        <f t="shared" si="18"/>
        <v>14590.875</v>
      </c>
      <c r="O37" s="42">
        <f t="shared" si="19"/>
        <v>2843.4697200000001</v>
      </c>
      <c r="P37" s="42">
        <f t="shared" si="20"/>
        <v>18676.32</v>
      </c>
      <c r="Q37" s="42">
        <f t="shared" si="13"/>
        <v>155810.66472</v>
      </c>
      <c r="R37" s="42">
        <v>18</v>
      </c>
      <c r="S37" s="42">
        <f t="shared" ref="S37:S65" si="23">$C$5*R37</f>
        <v>1077300</v>
      </c>
      <c r="T37" s="42">
        <f t="shared" si="0"/>
        <v>218863.125</v>
      </c>
      <c r="U37" s="42">
        <f t="shared" si="1"/>
        <v>42652.0458</v>
      </c>
      <c r="V37" s="42">
        <f t="shared" si="2"/>
        <v>280144.8</v>
      </c>
      <c r="W37" s="42">
        <f t="shared" si="15"/>
        <v>1618959.9708</v>
      </c>
    </row>
    <row r="38" spans="1:23" s="34" customFormat="1" x14ac:dyDescent="0.25">
      <c r="A38" s="32" t="s">
        <v>104</v>
      </c>
      <c r="B38" s="33">
        <v>1</v>
      </c>
      <c r="C38" s="33">
        <v>7</v>
      </c>
      <c r="D38" s="33">
        <v>15</v>
      </c>
      <c r="E38" s="33">
        <f t="shared" si="3"/>
        <v>22</v>
      </c>
      <c r="F38" s="42">
        <v>20</v>
      </c>
      <c r="G38" s="42">
        <f t="shared" si="21"/>
        <v>1197000</v>
      </c>
      <c r="H38" s="42">
        <f t="shared" si="5"/>
        <v>218863.125</v>
      </c>
      <c r="I38" s="42">
        <f t="shared" si="6"/>
        <v>42652.0458</v>
      </c>
      <c r="J38" s="42">
        <f t="shared" si="7"/>
        <v>280144.8</v>
      </c>
      <c r="K38" s="42">
        <f t="shared" si="8"/>
        <v>1738659.9708</v>
      </c>
      <c r="L38" s="42">
        <v>2</v>
      </c>
      <c r="M38" s="42">
        <f t="shared" si="22"/>
        <v>119700</v>
      </c>
      <c r="N38" s="42">
        <f t="shared" si="18"/>
        <v>14590.875</v>
      </c>
      <c r="O38" s="42">
        <f t="shared" si="19"/>
        <v>2843.4697200000001</v>
      </c>
      <c r="P38" s="42">
        <f t="shared" si="20"/>
        <v>18676.32</v>
      </c>
      <c r="Q38" s="42">
        <f t="shared" si="13"/>
        <v>155810.66472</v>
      </c>
      <c r="R38" s="42">
        <v>18</v>
      </c>
      <c r="S38" s="42">
        <f t="shared" si="23"/>
        <v>1077300</v>
      </c>
      <c r="T38" s="42">
        <f t="shared" si="0"/>
        <v>218863.125</v>
      </c>
      <c r="U38" s="42">
        <f t="shared" si="1"/>
        <v>42652.0458</v>
      </c>
      <c r="V38" s="42">
        <f t="shared" si="2"/>
        <v>280144.8</v>
      </c>
      <c r="W38" s="42">
        <f t="shared" si="15"/>
        <v>1618959.9708</v>
      </c>
    </row>
    <row r="39" spans="1:23" s="34" customFormat="1" x14ac:dyDescent="0.25">
      <c r="A39" s="32" t="s">
        <v>28</v>
      </c>
      <c r="B39" s="33">
        <v>1</v>
      </c>
      <c r="C39" s="33">
        <v>25</v>
      </c>
      <c r="D39" s="33">
        <v>0</v>
      </c>
      <c r="E39" s="33">
        <f t="shared" si="3"/>
        <v>25</v>
      </c>
      <c r="F39" s="42">
        <v>20</v>
      </c>
      <c r="G39" s="42">
        <f t="shared" si="21"/>
        <v>1197000</v>
      </c>
      <c r="H39" s="42">
        <f t="shared" si="5"/>
        <v>218863.125</v>
      </c>
      <c r="I39" s="42">
        <f t="shared" si="6"/>
        <v>42652.0458</v>
      </c>
      <c r="J39" s="42">
        <f t="shared" si="7"/>
        <v>280144.8</v>
      </c>
      <c r="K39" s="42">
        <f t="shared" si="8"/>
        <v>1738659.9708</v>
      </c>
      <c r="L39" s="42">
        <v>2</v>
      </c>
      <c r="M39" s="42">
        <f t="shared" si="22"/>
        <v>119700</v>
      </c>
      <c r="N39" s="42">
        <f t="shared" si="18"/>
        <v>14590.875</v>
      </c>
      <c r="O39" s="42">
        <f t="shared" si="19"/>
        <v>2843.4697200000001</v>
      </c>
      <c r="P39" s="42">
        <f t="shared" si="20"/>
        <v>18676.32</v>
      </c>
      <c r="Q39" s="42">
        <f t="shared" si="13"/>
        <v>155810.66472</v>
      </c>
      <c r="R39" s="42">
        <v>18</v>
      </c>
      <c r="S39" s="42">
        <f t="shared" si="23"/>
        <v>1077300</v>
      </c>
      <c r="T39" s="42">
        <f t="shared" si="0"/>
        <v>218863.125</v>
      </c>
      <c r="U39" s="42">
        <f t="shared" si="1"/>
        <v>42652.0458</v>
      </c>
      <c r="V39" s="42">
        <f t="shared" si="2"/>
        <v>280144.8</v>
      </c>
      <c r="W39" s="42">
        <f t="shared" si="15"/>
        <v>1618959.9708</v>
      </c>
    </row>
    <row r="40" spans="1:23" s="34" customFormat="1" x14ac:dyDescent="0.25">
      <c r="A40" s="32" t="s">
        <v>29</v>
      </c>
      <c r="B40" s="33">
        <v>1</v>
      </c>
      <c r="C40" s="33">
        <v>25</v>
      </c>
      <c r="D40" s="33">
        <v>0</v>
      </c>
      <c r="E40" s="33">
        <f t="shared" si="3"/>
        <v>25</v>
      </c>
      <c r="F40" s="42">
        <v>20</v>
      </c>
      <c r="G40" s="42">
        <f t="shared" si="21"/>
        <v>1197000</v>
      </c>
      <c r="H40" s="42">
        <f t="shared" si="5"/>
        <v>218863.125</v>
      </c>
      <c r="I40" s="42">
        <f t="shared" si="6"/>
        <v>42652.0458</v>
      </c>
      <c r="J40" s="42">
        <f t="shared" si="7"/>
        <v>280144.8</v>
      </c>
      <c r="K40" s="42">
        <f t="shared" si="8"/>
        <v>1738659.9708</v>
      </c>
      <c r="L40" s="42">
        <v>2</v>
      </c>
      <c r="M40" s="42">
        <f t="shared" si="22"/>
        <v>119700</v>
      </c>
      <c r="N40" s="42">
        <f t="shared" si="18"/>
        <v>14590.875</v>
      </c>
      <c r="O40" s="42">
        <f t="shared" si="19"/>
        <v>2843.4697200000001</v>
      </c>
      <c r="P40" s="42">
        <f t="shared" si="20"/>
        <v>18676.32</v>
      </c>
      <c r="Q40" s="42">
        <f t="shared" si="13"/>
        <v>155810.66472</v>
      </c>
      <c r="R40" s="42">
        <v>18</v>
      </c>
      <c r="S40" s="42">
        <f t="shared" si="23"/>
        <v>1077300</v>
      </c>
      <c r="T40" s="42">
        <f t="shared" si="0"/>
        <v>218863.125</v>
      </c>
      <c r="U40" s="42">
        <f t="shared" si="1"/>
        <v>42652.0458</v>
      </c>
      <c r="V40" s="42">
        <f t="shared" si="2"/>
        <v>280144.8</v>
      </c>
      <c r="W40" s="42">
        <f t="shared" si="15"/>
        <v>1618959.9708</v>
      </c>
    </row>
    <row r="41" spans="1:23" s="34" customFormat="1" x14ac:dyDescent="0.25">
      <c r="A41" s="32" t="s">
        <v>30</v>
      </c>
      <c r="B41" s="33">
        <v>1</v>
      </c>
      <c r="C41" s="33">
        <v>16</v>
      </c>
      <c r="D41" s="33">
        <v>21</v>
      </c>
      <c r="E41" s="33">
        <f t="shared" si="3"/>
        <v>37</v>
      </c>
      <c r="F41" s="42">
        <v>20</v>
      </c>
      <c r="G41" s="42">
        <f t="shared" si="21"/>
        <v>1197000</v>
      </c>
      <c r="H41" s="42">
        <f t="shared" si="5"/>
        <v>218863.125</v>
      </c>
      <c r="I41" s="42">
        <f t="shared" si="6"/>
        <v>42652.0458</v>
      </c>
      <c r="J41" s="42">
        <f t="shared" si="7"/>
        <v>280144.8</v>
      </c>
      <c r="K41" s="42">
        <f t="shared" si="8"/>
        <v>1738659.9708</v>
      </c>
      <c r="L41" s="42">
        <v>2</v>
      </c>
      <c r="M41" s="42">
        <f t="shared" si="22"/>
        <v>119700</v>
      </c>
      <c r="N41" s="42">
        <f t="shared" si="18"/>
        <v>14590.875</v>
      </c>
      <c r="O41" s="42">
        <f t="shared" si="19"/>
        <v>2843.4697200000001</v>
      </c>
      <c r="P41" s="42">
        <f t="shared" si="20"/>
        <v>18676.32</v>
      </c>
      <c r="Q41" s="42">
        <f t="shared" si="13"/>
        <v>155810.66472</v>
      </c>
      <c r="R41" s="42">
        <v>18</v>
      </c>
      <c r="S41" s="42">
        <f t="shared" si="23"/>
        <v>1077300</v>
      </c>
      <c r="T41" s="42">
        <f t="shared" si="0"/>
        <v>218863.125</v>
      </c>
      <c r="U41" s="42">
        <f t="shared" si="1"/>
        <v>42652.0458</v>
      </c>
      <c r="V41" s="42">
        <f t="shared" si="2"/>
        <v>280144.8</v>
      </c>
      <c r="W41" s="42">
        <f t="shared" si="15"/>
        <v>1618959.9708</v>
      </c>
    </row>
    <row r="42" spans="1:23" s="34" customFormat="1" x14ac:dyDescent="0.25">
      <c r="A42" s="32" t="s">
        <v>33</v>
      </c>
      <c r="B42" s="33">
        <v>1</v>
      </c>
      <c r="C42" s="33">
        <v>31</v>
      </c>
      <c r="D42" s="33">
        <v>0</v>
      </c>
      <c r="E42" s="33">
        <f t="shared" si="3"/>
        <v>31</v>
      </c>
      <c r="F42" s="42">
        <v>20</v>
      </c>
      <c r="G42" s="42">
        <f t="shared" si="21"/>
        <v>1197000</v>
      </c>
      <c r="H42" s="42">
        <f t="shared" si="5"/>
        <v>218863.125</v>
      </c>
      <c r="I42" s="42">
        <f t="shared" si="6"/>
        <v>42652.0458</v>
      </c>
      <c r="J42" s="42">
        <f t="shared" si="7"/>
        <v>280144.8</v>
      </c>
      <c r="K42" s="42">
        <f t="shared" si="8"/>
        <v>1738659.9708</v>
      </c>
      <c r="L42" s="42">
        <v>2</v>
      </c>
      <c r="M42" s="42">
        <f t="shared" si="22"/>
        <v>119700</v>
      </c>
      <c r="N42" s="42">
        <f t="shared" si="18"/>
        <v>14590.875</v>
      </c>
      <c r="O42" s="42">
        <f t="shared" si="19"/>
        <v>2843.4697200000001</v>
      </c>
      <c r="P42" s="42">
        <f t="shared" si="20"/>
        <v>18676.32</v>
      </c>
      <c r="Q42" s="42">
        <f t="shared" si="13"/>
        <v>155810.66472</v>
      </c>
      <c r="R42" s="42">
        <v>18</v>
      </c>
      <c r="S42" s="42">
        <f t="shared" si="23"/>
        <v>1077300</v>
      </c>
      <c r="T42" s="42">
        <f t="shared" si="0"/>
        <v>218863.125</v>
      </c>
      <c r="U42" s="42">
        <f t="shared" si="1"/>
        <v>42652.0458</v>
      </c>
      <c r="V42" s="42">
        <f t="shared" si="2"/>
        <v>280144.8</v>
      </c>
      <c r="W42" s="42">
        <f t="shared" si="15"/>
        <v>1618959.9708</v>
      </c>
    </row>
    <row r="43" spans="1:23" s="34" customFormat="1" x14ac:dyDescent="0.25">
      <c r="A43" s="32" t="s">
        <v>35</v>
      </c>
      <c r="B43" s="33">
        <v>1</v>
      </c>
      <c r="C43" s="33">
        <v>43</v>
      </c>
      <c r="D43" s="33">
        <v>0</v>
      </c>
      <c r="E43" s="33">
        <f t="shared" si="3"/>
        <v>43</v>
      </c>
      <c r="F43" s="42">
        <v>20</v>
      </c>
      <c r="G43" s="42">
        <f t="shared" si="21"/>
        <v>1197000</v>
      </c>
      <c r="H43" s="42">
        <f t="shared" si="5"/>
        <v>218863.125</v>
      </c>
      <c r="I43" s="42">
        <f t="shared" si="6"/>
        <v>42652.0458</v>
      </c>
      <c r="J43" s="42">
        <f t="shared" si="7"/>
        <v>280144.8</v>
      </c>
      <c r="K43" s="42">
        <f t="shared" ref="K43:K74" si="24">SUM(G43:J43)*B43</f>
        <v>1738659.9708</v>
      </c>
      <c r="L43" s="42">
        <v>2</v>
      </c>
      <c r="M43" s="42">
        <f t="shared" si="22"/>
        <v>119700</v>
      </c>
      <c r="N43" s="42">
        <f t="shared" si="18"/>
        <v>14590.875</v>
      </c>
      <c r="O43" s="42">
        <f t="shared" si="19"/>
        <v>2843.4697200000001</v>
      </c>
      <c r="P43" s="42">
        <f t="shared" si="20"/>
        <v>18676.32</v>
      </c>
      <c r="Q43" s="42">
        <f t="shared" ref="Q43:Q74" si="25">SUM(M43:P43)*B43</f>
        <v>155810.66472</v>
      </c>
      <c r="R43" s="42">
        <v>18</v>
      </c>
      <c r="S43" s="42">
        <f t="shared" si="23"/>
        <v>1077300</v>
      </c>
      <c r="T43" s="42">
        <f t="shared" si="0"/>
        <v>218863.125</v>
      </c>
      <c r="U43" s="42">
        <f t="shared" si="1"/>
        <v>42652.0458</v>
      </c>
      <c r="V43" s="42">
        <f t="shared" si="2"/>
        <v>280144.8</v>
      </c>
      <c r="W43" s="42">
        <f t="shared" ref="W43:W74" si="26">SUM(S43:V43)*B43</f>
        <v>1618959.9708</v>
      </c>
    </row>
    <row r="44" spans="1:23" s="34" customFormat="1" x14ac:dyDescent="0.25">
      <c r="A44" s="32" t="s">
        <v>36</v>
      </c>
      <c r="B44" s="33">
        <v>1</v>
      </c>
      <c r="C44" s="33">
        <v>23</v>
      </c>
      <c r="D44" s="33">
        <v>0</v>
      </c>
      <c r="E44" s="33">
        <f t="shared" si="3"/>
        <v>23</v>
      </c>
      <c r="F44" s="42">
        <v>20</v>
      </c>
      <c r="G44" s="42">
        <f t="shared" si="21"/>
        <v>1197000</v>
      </c>
      <c r="H44" s="42">
        <f t="shared" si="5"/>
        <v>218863.125</v>
      </c>
      <c r="I44" s="42">
        <f t="shared" si="6"/>
        <v>42652.0458</v>
      </c>
      <c r="J44" s="42">
        <f t="shared" si="7"/>
        <v>280144.8</v>
      </c>
      <c r="K44" s="42">
        <f t="shared" si="24"/>
        <v>1738659.9708</v>
      </c>
      <c r="L44" s="42">
        <v>2</v>
      </c>
      <c r="M44" s="42">
        <f t="shared" si="22"/>
        <v>119700</v>
      </c>
      <c r="N44" s="42">
        <f t="shared" si="18"/>
        <v>14590.875</v>
      </c>
      <c r="O44" s="42">
        <f t="shared" si="19"/>
        <v>2843.4697200000001</v>
      </c>
      <c r="P44" s="42">
        <f t="shared" si="20"/>
        <v>18676.32</v>
      </c>
      <c r="Q44" s="42">
        <f t="shared" si="25"/>
        <v>155810.66472</v>
      </c>
      <c r="R44" s="42">
        <v>18</v>
      </c>
      <c r="S44" s="42">
        <f t="shared" si="23"/>
        <v>1077300</v>
      </c>
      <c r="T44" s="42">
        <f t="shared" si="0"/>
        <v>218863.125</v>
      </c>
      <c r="U44" s="42">
        <f t="shared" si="1"/>
        <v>42652.0458</v>
      </c>
      <c r="V44" s="42">
        <f t="shared" si="2"/>
        <v>280144.8</v>
      </c>
      <c r="W44" s="42">
        <f t="shared" si="26"/>
        <v>1618959.9708</v>
      </c>
    </row>
    <row r="45" spans="1:23" s="34" customFormat="1" x14ac:dyDescent="0.25">
      <c r="A45" s="32" t="s">
        <v>37</v>
      </c>
      <c r="B45" s="33">
        <v>1</v>
      </c>
      <c r="C45" s="33">
        <v>16</v>
      </c>
      <c r="D45" s="33">
        <v>0</v>
      </c>
      <c r="E45" s="33">
        <f t="shared" si="3"/>
        <v>16</v>
      </c>
      <c r="F45" s="42">
        <v>20</v>
      </c>
      <c r="G45" s="42">
        <f t="shared" si="21"/>
        <v>1197000</v>
      </c>
      <c r="H45" s="42">
        <f t="shared" si="5"/>
        <v>218863.125</v>
      </c>
      <c r="I45" s="42">
        <f t="shared" si="6"/>
        <v>42652.0458</v>
      </c>
      <c r="J45" s="42">
        <f t="shared" si="7"/>
        <v>280144.8</v>
      </c>
      <c r="K45" s="42">
        <f t="shared" si="24"/>
        <v>1738659.9708</v>
      </c>
      <c r="L45" s="42">
        <v>2</v>
      </c>
      <c r="M45" s="42">
        <f t="shared" si="22"/>
        <v>119700</v>
      </c>
      <c r="N45" s="42">
        <f t="shared" si="18"/>
        <v>14590.875</v>
      </c>
      <c r="O45" s="42">
        <f t="shared" si="19"/>
        <v>2843.4697200000001</v>
      </c>
      <c r="P45" s="42">
        <f t="shared" si="20"/>
        <v>18676.32</v>
      </c>
      <c r="Q45" s="42">
        <f t="shared" si="25"/>
        <v>155810.66472</v>
      </c>
      <c r="R45" s="42">
        <v>18</v>
      </c>
      <c r="S45" s="42">
        <f t="shared" si="23"/>
        <v>1077300</v>
      </c>
      <c r="T45" s="42">
        <f t="shared" si="0"/>
        <v>218863.125</v>
      </c>
      <c r="U45" s="42">
        <f t="shared" si="1"/>
        <v>42652.0458</v>
      </c>
      <c r="V45" s="42">
        <f t="shared" si="2"/>
        <v>280144.8</v>
      </c>
      <c r="W45" s="42">
        <f t="shared" si="26"/>
        <v>1618959.9708</v>
      </c>
    </row>
    <row r="46" spans="1:23" s="34" customFormat="1" x14ac:dyDescent="0.25">
      <c r="A46" s="32" t="s">
        <v>40</v>
      </c>
      <c r="B46" s="33">
        <v>1</v>
      </c>
      <c r="C46" s="33">
        <v>16</v>
      </c>
      <c r="D46" s="33">
        <v>0</v>
      </c>
      <c r="E46" s="33">
        <f t="shared" si="3"/>
        <v>16</v>
      </c>
      <c r="F46" s="42">
        <v>20</v>
      </c>
      <c r="G46" s="42">
        <f t="shared" si="21"/>
        <v>1197000</v>
      </c>
      <c r="H46" s="42">
        <f t="shared" si="5"/>
        <v>218863.125</v>
      </c>
      <c r="I46" s="42">
        <f t="shared" si="6"/>
        <v>42652.0458</v>
      </c>
      <c r="J46" s="42">
        <f t="shared" si="7"/>
        <v>280144.8</v>
      </c>
      <c r="K46" s="42">
        <f t="shared" si="24"/>
        <v>1738659.9708</v>
      </c>
      <c r="L46" s="42">
        <v>2</v>
      </c>
      <c r="M46" s="42">
        <f t="shared" si="22"/>
        <v>119700</v>
      </c>
      <c r="N46" s="42">
        <f t="shared" si="18"/>
        <v>14590.875</v>
      </c>
      <c r="O46" s="42">
        <f t="shared" si="19"/>
        <v>2843.4697200000001</v>
      </c>
      <c r="P46" s="42">
        <f t="shared" si="20"/>
        <v>18676.32</v>
      </c>
      <c r="Q46" s="42">
        <f t="shared" si="25"/>
        <v>155810.66472</v>
      </c>
      <c r="R46" s="42">
        <v>18</v>
      </c>
      <c r="S46" s="42">
        <f t="shared" si="23"/>
        <v>1077300</v>
      </c>
      <c r="T46" s="42">
        <f t="shared" si="0"/>
        <v>218863.125</v>
      </c>
      <c r="U46" s="42">
        <f t="shared" si="1"/>
        <v>42652.0458</v>
      </c>
      <c r="V46" s="42">
        <f t="shared" si="2"/>
        <v>280144.8</v>
      </c>
      <c r="W46" s="42">
        <f t="shared" si="26"/>
        <v>1618959.9708</v>
      </c>
    </row>
    <row r="47" spans="1:23" s="34" customFormat="1" x14ac:dyDescent="0.25">
      <c r="A47" s="32" t="s">
        <v>41</v>
      </c>
      <c r="B47" s="33">
        <v>1</v>
      </c>
      <c r="C47" s="33">
        <v>31</v>
      </c>
      <c r="D47" s="33">
        <v>0</v>
      </c>
      <c r="E47" s="33">
        <f t="shared" si="3"/>
        <v>31</v>
      </c>
      <c r="F47" s="42">
        <v>20</v>
      </c>
      <c r="G47" s="42">
        <f t="shared" si="21"/>
        <v>1197000</v>
      </c>
      <c r="H47" s="42">
        <f t="shared" si="5"/>
        <v>218863.125</v>
      </c>
      <c r="I47" s="42">
        <f t="shared" si="6"/>
        <v>42652.0458</v>
      </c>
      <c r="J47" s="42">
        <f t="shared" si="7"/>
        <v>280144.8</v>
      </c>
      <c r="K47" s="42">
        <f t="shared" si="24"/>
        <v>1738659.9708</v>
      </c>
      <c r="L47" s="42">
        <v>2</v>
      </c>
      <c r="M47" s="42">
        <f t="shared" si="22"/>
        <v>119700</v>
      </c>
      <c r="N47" s="42">
        <f t="shared" si="18"/>
        <v>14590.875</v>
      </c>
      <c r="O47" s="42">
        <f t="shared" si="19"/>
        <v>2843.4697200000001</v>
      </c>
      <c r="P47" s="42">
        <f t="shared" si="20"/>
        <v>18676.32</v>
      </c>
      <c r="Q47" s="42">
        <f t="shared" si="25"/>
        <v>155810.66472</v>
      </c>
      <c r="R47" s="42">
        <v>18</v>
      </c>
      <c r="S47" s="42">
        <f t="shared" si="23"/>
        <v>1077300</v>
      </c>
      <c r="T47" s="42">
        <f t="shared" si="0"/>
        <v>218863.125</v>
      </c>
      <c r="U47" s="42">
        <f t="shared" si="1"/>
        <v>42652.0458</v>
      </c>
      <c r="V47" s="42">
        <f t="shared" si="2"/>
        <v>280144.8</v>
      </c>
      <c r="W47" s="42">
        <f t="shared" si="26"/>
        <v>1618959.9708</v>
      </c>
    </row>
    <row r="48" spans="1:23" s="34" customFormat="1" x14ac:dyDescent="0.25">
      <c r="A48" s="32" t="s">
        <v>47</v>
      </c>
      <c r="B48" s="33">
        <v>1</v>
      </c>
      <c r="C48" s="33">
        <v>22</v>
      </c>
      <c r="D48" s="33">
        <v>0</v>
      </c>
      <c r="E48" s="33">
        <f t="shared" si="3"/>
        <v>22</v>
      </c>
      <c r="F48" s="42">
        <v>20</v>
      </c>
      <c r="G48" s="42">
        <f t="shared" si="21"/>
        <v>1197000</v>
      </c>
      <c r="H48" s="42">
        <f t="shared" si="5"/>
        <v>218863.125</v>
      </c>
      <c r="I48" s="42">
        <f t="shared" si="6"/>
        <v>42652.0458</v>
      </c>
      <c r="J48" s="42">
        <f t="shared" si="7"/>
        <v>280144.8</v>
      </c>
      <c r="K48" s="42">
        <f t="shared" si="24"/>
        <v>1738659.9708</v>
      </c>
      <c r="L48" s="42">
        <v>2</v>
      </c>
      <c r="M48" s="42">
        <f t="shared" si="22"/>
        <v>119700</v>
      </c>
      <c r="N48" s="42">
        <f t="shared" si="18"/>
        <v>14590.875</v>
      </c>
      <c r="O48" s="42">
        <f t="shared" si="19"/>
        <v>2843.4697200000001</v>
      </c>
      <c r="P48" s="42">
        <f t="shared" si="20"/>
        <v>18676.32</v>
      </c>
      <c r="Q48" s="42">
        <f t="shared" si="25"/>
        <v>155810.66472</v>
      </c>
      <c r="R48" s="42">
        <v>18</v>
      </c>
      <c r="S48" s="42">
        <f t="shared" si="23"/>
        <v>1077300</v>
      </c>
      <c r="T48" s="42">
        <f t="shared" si="0"/>
        <v>218863.125</v>
      </c>
      <c r="U48" s="42">
        <f t="shared" si="1"/>
        <v>42652.0458</v>
      </c>
      <c r="V48" s="42">
        <f t="shared" si="2"/>
        <v>280144.8</v>
      </c>
      <c r="W48" s="42">
        <f t="shared" si="26"/>
        <v>1618959.9708</v>
      </c>
    </row>
    <row r="49" spans="1:23" s="34" customFormat="1" x14ac:dyDescent="0.25">
      <c r="A49" s="32" t="s">
        <v>52</v>
      </c>
      <c r="B49" s="33">
        <v>1</v>
      </c>
      <c r="C49" s="33">
        <v>16</v>
      </c>
      <c r="D49" s="33">
        <v>0</v>
      </c>
      <c r="E49" s="33">
        <f t="shared" si="3"/>
        <v>16</v>
      </c>
      <c r="F49" s="42">
        <v>20</v>
      </c>
      <c r="G49" s="42">
        <f t="shared" si="21"/>
        <v>1197000</v>
      </c>
      <c r="H49" s="42">
        <f t="shared" si="5"/>
        <v>218863.125</v>
      </c>
      <c r="I49" s="42">
        <f t="shared" si="6"/>
        <v>42652.0458</v>
      </c>
      <c r="J49" s="42">
        <f t="shared" si="7"/>
        <v>280144.8</v>
      </c>
      <c r="K49" s="42">
        <f t="shared" si="24"/>
        <v>1738659.9708</v>
      </c>
      <c r="L49" s="42">
        <v>2</v>
      </c>
      <c r="M49" s="42">
        <f t="shared" si="22"/>
        <v>119700</v>
      </c>
      <c r="N49" s="42">
        <f t="shared" si="18"/>
        <v>14590.875</v>
      </c>
      <c r="O49" s="42">
        <f t="shared" si="19"/>
        <v>2843.4697200000001</v>
      </c>
      <c r="P49" s="42">
        <f t="shared" si="20"/>
        <v>18676.32</v>
      </c>
      <c r="Q49" s="42">
        <f t="shared" si="25"/>
        <v>155810.66472</v>
      </c>
      <c r="R49" s="42">
        <v>18</v>
      </c>
      <c r="S49" s="42">
        <f t="shared" si="23"/>
        <v>1077300</v>
      </c>
      <c r="T49" s="42">
        <f t="shared" si="0"/>
        <v>218863.125</v>
      </c>
      <c r="U49" s="42">
        <f t="shared" si="1"/>
        <v>42652.0458</v>
      </c>
      <c r="V49" s="42">
        <f t="shared" si="2"/>
        <v>280144.8</v>
      </c>
      <c r="W49" s="42">
        <f t="shared" si="26"/>
        <v>1618959.9708</v>
      </c>
    </row>
    <row r="50" spans="1:23" s="34" customFormat="1" x14ac:dyDescent="0.25">
      <c r="A50" s="32" t="s">
        <v>56</v>
      </c>
      <c r="B50" s="33">
        <v>1</v>
      </c>
      <c r="C50" s="33">
        <v>33</v>
      </c>
      <c r="D50" s="33">
        <v>0</v>
      </c>
      <c r="E50" s="33">
        <f t="shared" si="3"/>
        <v>33</v>
      </c>
      <c r="F50" s="42">
        <v>20</v>
      </c>
      <c r="G50" s="42">
        <f t="shared" si="21"/>
        <v>1197000</v>
      </c>
      <c r="H50" s="42">
        <f t="shared" si="5"/>
        <v>218863.125</v>
      </c>
      <c r="I50" s="42">
        <f t="shared" si="6"/>
        <v>42652.0458</v>
      </c>
      <c r="J50" s="42">
        <f t="shared" si="7"/>
        <v>280144.8</v>
      </c>
      <c r="K50" s="42">
        <f t="shared" si="24"/>
        <v>1738659.9708</v>
      </c>
      <c r="L50" s="42">
        <v>2</v>
      </c>
      <c r="M50" s="42">
        <f t="shared" si="22"/>
        <v>119700</v>
      </c>
      <c r="N50" s="42">
        <f t="shared" si="18"/>
        <v>14590.875</v>
      </c>
      <c r="O50" s="42">
        <f t="shared" si="19"/>
        <v>2843.4697200000001</v>
      </c>
      <c r="P50" s="42">
        <f t="shared" si="20"/>
        <v>18676.32</v>
      </c>
      <c r="Q50" s="42">
        <f t="shared" si="25"/>
        <v>155810.66472</v>
      </c>
      <c r="R50" s="42">
        <v>18</v>
      </c>
      <c r="S50" s="42">
        <f t="shared" si="23"/>
        <v>1077300</v>
      </c>
      <c r="T50" s="42">
        <f t="shared" si="0"/>
        <v>218863.125</v>
      </c>
      <c r="U50" s="42">
        <f t="shared" si="1"/>
        <v>42652.0458</v>
      </c>
      <c r="V50" s="42">
        <f t="shared" si="2"/>
        <v>280144.8</v>
      </c>
      <c r="W50" s="42">
        <f t="shared" si="26"/>
        <v>1618959.9708</v>
      </c>
    </row>
    <row r="51" spans="1:23" s="34" customFormat="1" x14ac:dyDescent="0.25">
      <c r="A51" s="32" t="s">
        <v>58</v>
      </c>
      <c r="B51" s="33">
        <v>1</v>
      </c>
      <c r="C51" s="33">
        <v>15</v>
      </c>
      <c r="D51" s="33">
        <v>17</v>
      </c>
      <c r="E51" s="33">
        <f t="shared" si="3"/>
        <v>32</v>
      </c>
      <c r="F51" s="42">
        <v>20</v>
      </c>
      <c r="G51" s="42">
        <f t="shared" si="21"/>
        <v>1197000</v>
      </c>
      <c r="H51" s="42">
        <f t="shared" si="5"/>
        <v>218863.125</v>
      </c>
      <c r="I51" s="42">
        <f t="shared" si="6"/>
        <v>42652.0458</v>
      </c>
      <c r="J51" s="42">
        <f t="shared" si="7"/>
        <v>280144.8</v>
      </c>
      <c r="K51" s="42">
        <f t="shared" si="24"/>
        <v>1738659.9708</v>
      </c>
      <c r="L51" s="42">
        <v>2</v>
      </c>
      <c r="M51" s="42">
        <f>$C$5*L51</f>
        <v>119700</v>
      </c>
      <c r="N51" s="42">
        <f t="shared" si="18"/>
        <v>14590.875</v>
      </c>
      <c r="O51" s="42">
        <f t="shared" si="19"/>
        <v>2843.4697200000001</v>
      </c>
      <c r="P51" s="42">
        <f t="shared" si="20"/>
        <v>18676.32</v>
      </c>
      <c r="Q51" s="42">
        <f t="shared" si="25"/>
        <v>155810.66472</v>
      </c>
      <c r="R51" s="42">
        <v>18</v>
      </c>
      <c r="S51" s="42">
        <f>$C$5*R51</f>
        <v>1077300</v>
      </c>
      <c r="T51" s="42">
        <f t="shared" si="0"/>
        <v>218863.125</v>
      </c>
      <c r="U51" s="42">
        <f t="shared" si="1"/>
        <v>42652.0458</v>
      </c>
      <c r="V51" s="42">
        <f t="shared" si="2"/>
        <v>280144.8</v>
      </c>
      <c r="W51" s="42">
        <f t="shared" si="26"/>
        <v>1618959.9708</v>
      </c>
    </row>
    <row r="52" spans="1:23" s="34" customFormat="1" x14ac:dyDescent="0.25">
      <c r="A52" s="32" t="s">
        <v>59</v>
      </c>
      <c r="B52" s="33">
        <v>1</v>
      </c>
      <c r="C52" s="33">
        <v>16</v>
      </c>
      <c r="D52" s="33">
        <v>0</v>
      </c>
      <c r="E52" s="33">
        <f t="shared" si="3"/>
        <v>16</v>
      </c>
      <c r="F52" s="42">
        <v>20</v>
      </c>
      <c r="G52" s="42">
        <f t="shared" si="21"/>
        <v>1197000</v>
      </c>
      <c r="H52" s="42">
        <f t="shared" si="5"/>
        <v>218863.125</v>
      </c>
      <c r="I52" s="42">
        <f t="shared" si="6"/>
        <v>42652.0458</v>
      </c>
      <c r="J52" s="42">
        <f t="shared" si="7"/>
        <v>280144.8</v>
      </c>
      <c r="K52" s="42">
        <f t="shared" si="24"/>
        <v>1738659.9708</v>
      </c>
      <c r="L52" s="42">
        <v>2</v>
      </c>
      <c r="M52" s="42">
        <f t="shared" si="22"/>
        <v>119700</v>
      </c>
      <c r="N52" s="42">
        <f>($D$4*12.5%)/30*2</f>
        <v>14590.875</v>
      </c>
      <c r="O52" s="42">
        <f>($D$4*2.436%)/30*2</f>
        <v>2843.4697200000001</v>
      </c>
      <c r="P52" s="42">
        <f>($D$4*16%)/30*2</f>
        <v>18676.32</v>
      </c>
      <c r="Q52" s="42">
        <f t="shared" si="25"/>
        <v>155810.66472</v>
      </c>
      <c r="R52" s="42">
        <v>18</v>
      </c>
      <c r="S52" s="42">
        <f t="shared" si="23"/>
        <v>1077300</v>
      </c>
      <c r="T52" s="42">
        <f t="shared" si="0"/>
        <v>218863.125</v>
      </c>
      <c r="U52" s="42">
        <f t="shared" si="1"/>
        <v>42652.0458</v>
      </c>
      <c r="V52" s="42">
        <f t="shared" si="2"/>
        <v>280144.8</v>
      </c>
      <c r="W52" s="42">
        <f t="shared" si="26"/>
        <v>1618959.9708</v>
      </c>
    </row>
    <row r="53" spans="1:23" s="34" customFormat="1" x14ac:dyDescent="0.25">
      <c r="A53" s="32" t="s">
        <v>68</v>
      </c>
      <c r="B53" s="33">
        <v>1</v>
      </c>
      <c r="C53" s="33">
        <v>35</v>
      </c>
      <c r="D53" s="33">
        <v>0</v>
      </c>
      <c r="E53" s="33">
        <f t="shared" si="3"/>
        <v>35</v>
      </c>
      <c r="F53" s="42">
        <v>20</v>
      </c>
      <c r="G53" s="42">
        <f t="shared" si="21"/>
        <v>1197000</v>
      </c>
      <c r="H53" s="42">
        <f t="shared" si="5"/>
        <v>218863.125</v>
      </c>
      <c r="I53" s="42">
        <f t="shared" si="6"/>
        <v>42652.0458</v>
      </c>
      <c r="J53" s="42">
        <f t="shared" si="7"/>
        <v>280144.8</v>
      </c>
      <c r="K53" s="42">
        <f t="shared" si="24"/>
        <v>1738659.9708</v>
      </c>
      <c r="L53" s="42">
        <v>2</v>
      </c>
      <c r="M53" s="42">
        <f t="shared" si="22"/>
        <v>119700</v>
      </c>
      <c r="N53" s="42">
        <f t="shared" si="18"/>
        <v>14590.875</v>
      </c>
      <c r="O53" s="42">
        <f t="shared" si="19"/>
        <v>2843.4697200000001</v>
      </c>
      <c r="P53" s="42">
        <f t="shared" si="20"/>
        <v>18676.32</v>
      </c>
      <c r="Q53" s="42">
        <f t="shared" si="25"/>
        <v>155810.66472</v>
      </c>
      <c r="R53" s="42">
        <v>18</v>
      </c>
      <c r="S53" s="42">
        <f t="shared" si="23"/>
        <v>1077300</v>
      </c>
      <c r="T53" s="42">
        <f t="shared" si="0"/>
        <v>218863.125</v>
      </c>
      <c r="U53" s="42">
        <f t="shared" si="1"/>
        <v>42652.0458</v>
      </c>
      <c r="V53" s="42">
        <f t="shared" si="2"/>
        <v>280144.8</v>
      </c>
      <c r="W53" s="42">
        <f t="shared" si="26"/>
        <v>1618959.9708</v>
      </c>
    </row>
    <row r="54" spans="1:23" s="34" customFormat="1" x14ac:dyDescent="0.25">
      <c r="A54" s="32" t="s">
        <v>69</v>
      </c>
      <c r="B54" s="33">
        <v>1</v>
      </c>
      <c r="C54" s="33">
        <v>32</v>
      </c>
      <c r="D54" s="33">
        <v>0</v>
      </c>
      <c r="E54" s="33">
        <f t="shared" si="3"/>
        <v>32</v>
      </c>
      <c r="F54" s="42">
        <v>20</v>
      </c>
      <c r="G54" s="42">
        <f t="shared" si="21"/>
        <v>1197000</v>
      </c>
      <c r="H54" s="42">
        <f t="shared" si="5"/>
        <v>218863.125</v>
      </c>
      <c r="I54" s="42">
        <f t="shared" si="6"/>
        <v>42652.0458</v>
      </c>
      <c r="J54" s="42">
        <f t="shared" si="7"/>
        <v>280144.8</v>
      </c>
      <c r="K54" s="42">
        <f t="shared" si="24"/>
        <v>1738659.9708</v>
      </c>
      <c r="L54" s="42">
        <v>2</v>
      </c>
      <c r="M54" s="42">
        <f t="shared" si="22"/>
        <v>119700</v>
      </c>
      <c r="N54" s="42">
        <f t="shared" si="18"/>
        <v>14590.875</v>
      </c>
      <c r="O54" s="42">
        <f t="shared" si="19"/>
        <v>2843.4697200000001</v>
      </c>
      <c r="P54" s="42">
        <f t="shared" si="20"/>
        <v>18676.32</v>
      </c>
      <c r="Q54" s="42">
        <f t="shared" si="25"/>
        <v>155810.66472</v>
      </c>
      <c r="R54" s="42">
        <v>18</v>
      </c>
      <c r="S54" s="42">
        <f t="shared" si="23"/>
        <v>1077300</v>
      </c>
      <c r="T54" s="42">
        <f t="shared" si="0"/>
        <v>218863.125</v>
      </c>
      <c r="U54" s="42">
        <f t="shared" si="1"/>
        <v>42652.0458</v>
      </c>
      <c r="V54" s="42">
        <f t="shared" si="2"/>
        <v>280144.8</v>
      </c>
      <c r="W54" s="42">
        <f t="shared" si="26"/>
        <v>1618959.9708</v>
      </c>
    </row>
    <row r="55" spans="1:23" s="34" customFormat="1" x14ac:dyDescent="0.25">
      <c r="A55" s="32" t="s">
        <v>74</v>
      </c>
      <c r="B55" s="33">
        <v>1</v>
      </c>
      <c r="C55" s="33">
        <v>40</v>
      </c>
      <c r="D55" s="33">
        <v>0</v>
      </c>
      <c r="E55" s="33">
        <f t="shared" si="3"/>
        <v>40</v>
      </c>
      <c r="F55" s="42">
        <v>20</v>
      </c>
      <c r="G55" s="42">
        <f t="shared" si="21"/>
        <v>1197000</v>
      </c>
      <c r="H55" s="42">
        <f t="shared" si="5"/>
        <v>218863.125</v>
      </c>
      <c r="I55" s="42">
        <f t="shared" si="6"/>
        <v>42652.0458</v>
      </c>
      <c r="J55" s="42">
        <f t="shared" si="7"/>
        <v>280144.8</v>
      </c>
      <c r="K55" s="42">
        <f t="shared" si="24"/>
        <v>1738659.9708</v>
      </c>
      <c r="L55" s="42">
        <v>2</v>
      </c>
      <c r="M55" s="42">
        <f t="shared" si="22"/>
        <v>119700</v>
      </c>
      <c r="N55" s="42">
        <f t="shared" si="18"/>
        <v>14590.875</v>
      </c>
      <c r="O55" s="42">
        <f t="shared" si="19"/>
        <v>2843.4697200000001</v>
      </c>
      <c r="P55" s="42">
        <f t="shared" si="20"/>
        <v>18676.32</v>
      </c>
      <c r="Q55" s="42">
        <f t="shared" si="25"/>
        <v>155810.66472</v>
      </c>
      <c r="R55" s="42">
        <v>18</v>
      </c>
      <c r="S55" s="42">
        <f t="shared" si="23"/>
        <v>1077300</v>
      </c>
      <c r="T55" s="42">
        <f t="shared" si="0"/>
        <v>218863.125</v>
      </c>
      <c r="U55" s="42">
        <f t="shared" si="1"/>
        <v>42652.0458</v>
      </c>
      <c r="V55" s="42">
        <f t="shared" si="2"/>
        <v>280144.8</v>
      </c>
      <c r="W55" s="42">
        <f t="shared" si="26"/>
        <v>1618959.9708</v>
      </c>
    </row>
    <row r="56" spans="1:23" s="34" customFormat="1" x14ac:dyDescent="0.25">
      <c r="A56" s="32" t="s">
        <v>75</v>
      </c>
      <c r="B56" s="33">
        <v>1</v>
      </c>
      <c r="C56" s="33">
        <v>16</v>
      </c>
      <c r="D56" s="33">
        <v>0</v>
      </c>
      <c r="E56" s="33">
        <f t="shared" si="3"/>
        <v>16</v>
      </c>
      <c r="F56" s="42">
        <v>20</v>
      </c>
      <c r="G56" s="42">
        <f t="shared" si="21"/>
        <v>1197000</v>
      </c>
      <c r="H56" s="42">
        <f t="shared" si="5"/>
        <v>218863.125</v>
      </c>
      <c r="I56" s="42">
        <f t="shared" si="6"/>
        <v>42652.0458</v>
      </c>
      <c r="J56" s="42">
        <f t="shared" si="7"/>
        <v>280144.8</v>
      </c>
      <c r="K56" s="42">
        <f t="shared" si="24"/>
        <v>1738659.9708</v>
      </c>
      <c r="L56" s="42">
        <v>2</v>
      </c>
      <c r="M56" s="42">
        <f t="shared" si="22"/>
        <v>119700</v>
      </c>
      <c r="N56" s="42">
        <f t="shared" si="18"/>
        <v>14590.875</v>
      </c>
      <c r="O56" s="42">
        <f t="shared" si="19"/>
        <v>2843.4697200000001</v>
      </c>
      <c r="P56" s="42">
        <f t="shared" si="20"/>
        <v>18676.32</v>
      </c>
      <c r="Q56" s="42">
        <f t="shared" si="25"/>
        <v>155810.66472</v>
      </c>
      <c r="R56" s="42">
        <v>18</v>
      </c>
      <c r="S56" s="42">
        <f t="shared" si="23"/>
        <v>1077300</v>
      </c>
      <c r="T56" s="42">
        <f t="shared" si="0"/>
        <v>218863.125</v>
      </c>
      <c r="U56" s="42">
        <f t="shared" si="1"/>
        <v>42652.0458</v>
      </c>
      <c r="V56" s="42">
        <f t="shared" si="2"/>
        <v>280144.8</v>
      </c>
      <c r="W56" s="42">
        <f t="shared" si="26"/>
        <v>1618959.9708</v>
      </c>
    </row>
    <row r="57" spans="1:23" s="34" customFormat="1" x14ac:dyDescent="0.25">
      <c r="A57" s="32" t="s">
        <v>76</v>
      </c>
      <c r="B57" s="33">
        <v>1</v>
      </c>
      <c r="C57" s="33">
        <v>37</v>
      </c>
      <c r="D57" s="33">
        <v>0</v>
      </c>
      <c r="E57" s="33">
        <f t="shared" si="3"/>
        <v>37</v>
      </c>
      <c r="F57" s="42">
        <v>20</v>
      </c>
      <c r="G57" s="42">
        <f t="shared" si="21"/>
        <v>1197000</v>
      </c>
      <c r="H57" s="42">
        <f t="shared" si="5"/>
        <v>218863.125</v>
      </c>
      <c r="I57" s="42">
        <f t="shared" si="6"/>
        <v>42652.0458</v>
      </c>
      <c r="J57" s="42">
        <f t="shared" si="7"/>
        <v>280144.8</v>
      </c>
      <c r="K57" s="42">
        <f t="shared" si="24"/>
        <v>1738659.9708</v>
      </c>
      <c r="L57" s="42">
        <v>2</v>
      </c>
      <c r="M57" s="42">
        <f t="shared" si="22"/>
        <v>119700</v>
      </c>
      <c r="N57" s="42">
        <f t="shared" si="18"/>
        <v>14590.875</v>
      </c>
      <c r="O57" s="42">
        <f t="shared" si="19"/>
        <v>2843.4697200000001</v>
      </c>
      <c r="P57" s="42">
        <f t="shared" si="20"/>
        <v>18676.32</v>
      </c>
      <c r="Q57" s="42">
        <f t="shared" si="25"/>
        <v>155810.66472</v>
      </c>
      <c r="R57" s="42">
        <v>18</v>
      </c>
      <c r="S57" s="42">
        <f t="shared" si="23"/>
        <v>1077300</v>
      </c>
      <c r="T57" s="42">
        <f t="shared" si="0"/>
        <v>218863.125</v>
      </c>
      <c r="U57" s="42">
        <f t="shared" si="1"/>
        <v>42652.0458</v>
      </c>
      <c r="V57" s="42">
        <f t="shared" si="2"/>
        <v>280144.8</v>
      </c>
      <c r="W57" s="42">
        <f t="shared" si="26"/>
        <v>1618959.9708</v>
      </c>
    </row>
    <row r="58" spans="1:23" s="34" customFormat="1" x14ac:dyDescent="0.25">
      <c r="A58" s="32" t="s">
        <v>84</v>
      </c>
      <c r="B58" s="33">
        <v>1</v>
      </c>
      <c r="C58" s="33">
        <v>36</v>
      </c>
      <c r="D58" s="33">
        <v>0</v>
      </c>
      <c r="E58" s="33">
        <f t="shared" si="3"/>
        <v>36</v>
      </c>
      <c r="F58" s="42">
        <v>20</v>
      </c>
      <c r="G58" s="42">
        <f t="shared" si="21"/>
        <v>1197000</v>
      </c>
      <c r="H58" s="42">
        <f t="shared" si="5"/>
        <v>218863.125</v>
      </c>
      <c r="I58" s="42">
        <f t="shared" si="6"/>
        <v>42652.0458</v>
      </c>
      <c r="J58" s="42">
        <f t="shared" si="7"/>
        <v>280144.8</v>
      </c>
      <c r="K58" s="42">
        <f t="shared" si="24"/>
        <v>1738659.9708</v>
      </c>
      <c r="L58" s="42">
        <v>2</v>
      </c>
      <c r="M58" s="42">
        <f t="shared" si="22"/>
        <v>119700</v>
      </c>
      <c r="N58" s="42">
        <f t="shared" si="18"/>
        <v>14590.875</v>
      </c>
      <c r="O58" s="42">
        <f t="shared" si="19"/>
        <v>2843.4697200000001</v>
      </c>
      <c r="P58" s="42">
        <f t="shared" si="20"/>
        <v>18676.32</v>
      </c>
      <c r="Q58" s="42">
        <f t="shared" si="25"/>
        <v>155810.66472</v>
      </c>
      <c r="R58" s="42">
        <v>18</v>
      </c>
      <c r="S58" s="42">
        <f t="shared" si="23"/>
        <v>1077300</v>
      </c>
      <c r="T58" s="42">
        <f t="shared" si="0"/>
        <v>218863.125</v>
      </c>
      <c r="U58" s="42">
        <f t="shared" si="1"/>
        <v>42652.0458</v>
      </c>
      <c r="V58" s="42">
        <f t="shared" si="2"/>
        <v>280144.8</v>
      </c>
      <c r="W58" s="42">
        <f t="shared" si="26"/>
        <v>1618959.9708</v>
      </c>
    </row>
    <row r="59" spans="1:23" s="34" customFormat="1" x14ac:dyDescent="0.25">
      <c r="A59" s="32" t="s">
        <v>92</v>
      </c>
      <c r="B59" s="33">
        <v>1</v>
      </c>
      <c r="C59" s="33">
        <v>22</v>
      </c>
      <c r="D59" s="33">
        <v>0</v>
      </c>
      <c r="E59" s="33">
        <f t="shared" si="3"/>
        <v>22</v>
      </c>
      <c r="F59" s="42">
        <v>20</v>
      </c>
      <c r="G59" s="42">
        <f t="shared" si="21"/>
        <v>1197000</v>
      </c>
      <c r="H59" s="42">
        <f t="shared" si="5"/>
        <v>218863.125</v>
      </c>
      <c r="I59" s="42">
        <f t="shared" si="6"/>
        <v>42652.0458</v>
      </c>
      <c r="J59" s="42">
        <f t="shared" si="7"/>
        <v>280144.8</v>
      </c>
      <c r="K59" s="42">
        <f t="shared" si="24"/>
        <v>1738659.9708</v>
      </c>
      <c r="L59" s="42">
        <v>2</v>
      </c>
      <c r="M59" s="42">
        <f t="shared" si="22"/>
        <v>119700</v>
      </c>
      <c r="N59" s="42">
        <f t="shared" si="18"/>
        <v>14590.875</v>
      </c>
      <c r="O59" s="42">
        <f t="shared" si="19"/>
        <v>2843.4697200000001</v>
      </c>
      <c r="P59" s="42">
        <f t="shared" si="20"/>
        <v>18676.32</v>
      </c>
      <c r="Q59" s="42">
        <f t="shared" si="25"/>
        <v>155810.66472</v>
      </c>
      <c r="R59" s="42">
        <v>18</v>
      </c>
      <c r="S59" s="42">
        <f t="shared" si="23"/>
        <v>1077300</v>
      </c>
      <c r="T59" s="42">
        <f t="shared" si="0"/>
        <v>218863.125</v>
      </c>
      <c r="U59" s="42">
        <f t="shared" si="1"/>
        <v>42652.0458</v>
      </c>
      <c r="V59" s="42">
        <f t="shared" si="2"/>
        <v>280144.8</v>
      </c>
      <c r="W59" s="42">
        <f t="shared" si="26"/>
        <v>1618959.9708</v>
      </c>
    </row>
    <row r="60" spans="1:23" s="34" customFormat="1" x14ac:dyDescent="0.25">
      <c r="A60" s="32" t="s">
        <v>93</v>
      </c>
      <c r="B60" s="33">
        <v>1</v>
      </c>
      <c r="C60" s="33">
        <v>29</v>
      </c>
      <c r="D60" s="33">
        <v>0</v>
      </c>
      <c r="E60" s="33">
        <f t="shared" si="3"/>
        <v>29</v>
      </c>
      <c r="F60" s="42">
        <v>20</v>
      </c>
      <c r="G60" s="42">
        <f t="shared" si="21"/>
        <v>1197000</v>
      </c>
      <c r="H60" s="42">
        <f t="shared" si="5"/>
        <v>218863.125</v>
      </c>
      <c r="I60" s="42">
        <f t="shared" si="6"/>
        <v>42652.0458</v>
      </c>
      <c r="J60" s="42">
        <f t="shared" si="7"/>
        <v>280144.8</v>
      </c>
      <c r="K60" s="42">
        <f t="shared" si="24"/>
        <v>1738659.9708</v>
      </c>
      <c r="L60" s="42">
        <v>2</v>
      </c>
      <c r="M60" s="42">
        <f t="shared" si="22"/>
        <v>119700</v>
      </c>
      <c r="N60" s="42">
        <f t="shared" si="18"/>
        <v>14590.875</v>
      </c>
      <c r="O60" s="42">
        <f t="shared" si="19"/>
        <v>2843.4697200000001</v>
      </c>
      <c r="P60" s="42">
        <f t="shared" si="20"/>
        <v>18676.32</v>
      </c>
      <c r="Q60" s="42">
        <f t="shared" si="25"/>
        <v>155810.66472</v>
      </c>
      <c r="R60" s="42">
        <v>18</v>
      </c>
      <c r="S60" s="42">
        <f t="shared" si="23"/>
        <v>1077300</v>
      </c>
      <c r="T60" s="42">
        <f t="shared" si="0"/>
        <v>218863.125</v>
      </c>
      <c r="U60" s="42">
        <f t="shared" si="1"/>
        <v>42652.0458</v>
      </c>
      <c r="V60" s="42">
        <f t="shared" si="2"/>
        <v>280144.8</v>
      </c>
      <c r="W60" s="42">
        <f t="shared" si="26"/>
        <v>1618959.9708</v>
      </c>
    </row>
    <row r="61" spans="1:23" s="34" customFormat="1" x14ac:dyDescent="0.25">
      <c r="A61" s="32" t="s">
        <v>96</v>
      </c>
      <c r="B61" s="33">
        <v>1</v>
      </c>
      <c r="C61" s="33">
        <v>13</v>
      </c>
      <c r="D61" s="33">
        <v>18</v>
      </c>
      <c r="E61" s="33">
        <f t="shared" si="3"/>
        <v>31</v>
      </c>
      <c r="F61" s="42">
        <v>20</v>
      </c>
      <c r="G61" s="42">
        <f t="shared" si="21"/>
        <v>1197000</v>
      </c>
      <c r="H61" s="42">
        <f t="shared" si="5"/>
        <v>218863.125</v>
      </c>
      <c r="I61" s="42">
        <f t="shared" si="6"/>
        <v>42652.0458</v>
      </c>
      <c r="J61" s="42">
        <f t="shared" si="7"/>
        <v>280144.8</v>
      </c>
      <c r="K61" s="42">
        <f t="shared" si="24"/>
        <v>1738659.9708</v>
      </c>
      <c r="L61" s="42">
        <v>2</v>
      </c>
      <c r="M61" s="42">
        <f t="shared" si="22"/>
        <v>119700</v>
      </c>
      <c r="N61" s="42">
        <f t="shared" si="18"/>
        <v>14590.875</v>
      </c>
      <c r="O61" s="42">
        <f t="shared" si="19"/>
        <v>2843.4697200000001</v>
      </c>
      <c r="P61" s="42">
        <f t="shared" si="20"/>
        <v>18676.32</v>
      </c>
      <c r="Q61" s="42">
        <f t="shared" si="25"/>
        <v>155810.66472</v>
      </c>
      <c r="R61" s="42">
        <v>18</v>
      </c>
      <c r="S61" s="42">
        <f t="shared" si="23"/>
        <v>1077300</v>
      </c>
      <c r="T61" s="42">
        <f t="shared" si="0"/>
        <v>218863.125</v>
      </c>
      <c r="U61" s="42">
        <f t="shared" si="1"/>
        <v>42652.0458</v>
      </c>
      <c r="V61" s="42">
        <f t="shared" si="2"/>
        <v>280144.8</v>
      </c>
      <c r="W61" s="42">
        <f t="shared" si="26"/>
        <v>1618959.9708</v>
      </c>
    </row>
    <row r="62" spans="1:23" s="34" customFormat="1" x14ac:dyDescent="0.25">
      <c r="A62" s="32" t="s">
        <v>98</v>
      </c>
      <c r="B62" s="33">
        <v>1</v>
      </c>
      <c r="C62" s="33">
        <v>24</v>
      </c>
      <c r="D62" s="33">
        <v>15</v>
      </c>
      <c r="E62" s="33">
        <f t="shared" si="3"/>
        <v>39</v>
      </c>
      <c r="F62" s="42">
        <v>20</v>
      </c>
      <c r="G62" s="42">
        <f t="shared" si="21"/>
        <v>1197000</v>
      </c>
      <c r="H62" s="42">
        <f t="shared" si="5"/>
        <v>218863.125</v>
      </c>
      <c r="I62" s="42">
        <f t="shared" si="6"/>
        <v>42652.0458</v>
      </c>
      <c r="J62" s="42">
        <f t="shared" si="7"/>
        <v>280144.8</v>
      </c>
      <c r="K62" s="42">
        <f t="shared" si="24"/>
        <v>1738659.9708</v>
      </c>
      <c r="L62" s="42">
        <v>2</v>
      </c>
      <c r="M62" s="42">
        <f t="shared" si="22"/>
        <v>119700</v>
      </c>
      <c r="N62" s="42">
        <f t="shared" si="18"/>
        <v>14590.875</v>
      </c>
      <c r="O62" s="42">
        <f t="shared" si="19"/>
        <v>2843.4697200000001</v>
      </c>
      <c r="P62" s="42">
        <f t="shared" si="20"/>
        <v>18676.32</v>
      </c>
      <c r="Q62" s="42">
        <f t="shared" si="25"/>
        <v>155810.66472</v>
      </c>
      <c r="R62" s="42">
        <v>18</v>
      </c>
      <c r="S62" s="42">
        <f t="shared" si="23"/>
        <v>1077300</v>
      </c>
      <c r="T62" s="42">
        <f t="shared" si="0"/>
        <v>218863.125</v>
      </c>
      <c r="U62" s="42">
        <f t="shared" si="1"/>
        <v>42652.0458</v>
      </c>
      <c r="V62" s="42">
        <f t="shared" si="2"/>
        <v>280144.8</v>
      </c>
      <c r="W62" s="42">
        <f t="shared" si="26"/>
        <v>1618959.9708</v>
      </c>
    </row>
    <row r="63" spans="1:23" s="34" customFormat="1" x14ac:dyDescent="0.25">
      <c r="A63" s="32" t="s">
        <v>99</v>
      </c>
      <c r="B63" s="33">
        <v>1</v>
      </c>
      <c r="C63" s="33">
        <v>15</v>
      </c>
      <c r="D63" s="33">
        <v>12</v>
      </c>
      <c r="E63" s="33">
        <f t="shared" si="3"/>
        <v>27</v>
      </c>
      <c r="F63" s="42">
        <v>20</v>
      </c>
      <c r="G63" s="42">
        <f t="shared" si="21"/>
        <v>1197000</v>
      </c>
      <c r="H63" s="42">
        <f t="shared" si="5"/>
        <v>218863.125</v>
      </c>
      <c r="I63" s="42">
        <f t="shared" si="6"/>
        <v>42652.0458</v>
      </c>
      <c r="J63" s="42">
        <f t="shared" si="7"/>
        <v>280144.8</v>
      </c>
      <c r="K63" s="42">
        <f t="shared" si="24"/>
        <v>1738659.9708</v>
      </c>
      <c r="L63" s="42">
        <v>2</v>
      </c>
      <c r="M63" s="42">
        <f t="shared" si="22"/>
        <v>119700</v>
      </c>
      <c r="N63" s="42">
        <f t="shared" si="18"/>
        <v>14590.875</v>
      </c>
      <c r="O63" s="42">
        <f t="shared" si="19"/>
        <v>2843.4697200000001</v>
      </c>
      <c r="P63" s="42">
        <f t="shared" si="20"/>
        <v>18676.32</v>
      </c>
      <c r="Q63" s="42">
        <f t="shared" si="25"/>
        <v>155810.66472</v>
      </c>
      <c r="R63" s="42">
        <v>18</v>
      </c>
      <c r="S63" s="42">
        <f t="shared" si="23"/>
        <v>1077300</v>
      </c>
      <c r="T63" s="42">
        <f t="shared" si="0"/>
        <v>218863.125</v>
      </c>
      <c r="U63" s="42">
        <f t="shared" si="1"/>
        <v>42652.0458</v>
      </c>
      <c r="V63" s="42">
        <f t="shared" si="2"/>
        <v>280144.8</v>
      </c>
      <c r="W63" s="42">
        <f t="shared" si="26"/>
        <v>1618959.9708</v>
      </c>
    </row>
    <row r="64" spans="1:23" s="34" customFormat="1" x14ac:dyDescent="0.25">
      <c r="A64" s="32" t="s">
        <v>100</v>
      </c>
      <c r="B64" s="33">
        <v>1</v>
      </c>
      <c r="C64" s="33">
        <v>17</v>
      </c>
      <c r="D64" s="33">
        <v>0</v>
      </c>
      <c r="E64" s="33">
        <f t="shared" si="3"/>
        <v>17</v>
      </c>
      <c r="F64" s="42">
        <v>20</v>
      </c>
      <c r="G64" s="42">
        <f t="shared" si="21"/>
        <v>1197000</v>
      </c>
      <c r="H64" s="42">
        <f t="shared" si="5"/>
        <v>218863.125</v>
      </c>
      <c r="I64" s="42">
        <f t="shared" si="6"/>
        <v>42652.0458</v>
      </c>
      <c r="J64" s="42">
        <f t="shared" si="7"/>
        <v>280144.8</v>
      </c>
      <c r="K64" s="42">
        <f t="shared" si="24"/>
        <v>1738659.9708</v>
      </c>
      <c r="L64" s="42">
        <v>2</v>
      </c>
      <c r="M64" s="42">
        <f t="shared" si="22"/>
        <v>119700</v>
      </c>
      <c r="N64" s="42">
        <f t="shared" si="18"/>
        <v>14590.875</v>
      </c>
      <c r="O64" s="42">
        <f t="shared" si="19"/>
        <v>2843.4697200000001</v>
      </c>
      <c r="P64" s="42">
        <f t="shared" si="20"/>
        <v>18676.32</v>
      </c>
      <c r="Q64" s="42">
        <f t="shared" si="25"/>
        <v>155810.66472</v>
      </c>
      <c r="R64" s="42">
        <v>18</v>
      </c>
      <c r="S64" s="42">
        <f t="shared" si="23"/>
        <v>1077300</v>
      </c>
      <c r="T64" s="42">
        <f t="shared" si="0"/>
        <v>218863.125</v>
      </c>
      <c r="U64" s="42">
        <f t="shared" si="1"/>
        <v>42652.0458</v>
      </c>
      <c r="V64" s="42">
        <f t="shared" si="2"/>
        <v>280144.8</v>
      </c>
      <c r="W64" s="42">
        <f t="shared" si="26"/>
        <v>1618959.9708</v>
      </c>
    </row>
    <row r="65" spans="1:23" s="34" customFormat="1" x14ac:dyDescent="0.25">
      <c r="A65" s="32" t="s">
        <v>106</v>
      </c>
      <c r="B65" s="33">
        <v>1</v>
      </c>
      <c r="C65" s="33">
        <v>20</v>
      </c>
      <c r="D65" s="33">
        <v>0</v>
      </c>
      <c r="E65" s="33">
        <f t="shared" si="3"/>
        <v>20</v>
      </c>
      <c r="F65" s="42">
        <v>20</v>
      </c>
      <c r="G65" s="42">
        <f t="shared" si="21"/>
        <v>1197000</v>
      </c>
      <c r="H65" s="42">
        <f t="shared" si="5"/>
        <v>218863.125</v>
      </c>
      <c r="I65" s="42">
        <f t="shared" si="6"/>
        <v>42652.0458</v>
      </c>
      <c r="J65" s="42">
        <f t="shared" si="7"/>
        <v>280144.8</v>
      </c>
      <c r="K65" s="42">
        <f t="shared" si="24"/>
        <v>1738659.9708</v>
      </c>
      <c r="L65" s="42">
        <v>2</v>
      </c>
      <c r="M65" s="42">
        <f t="shared" si="22"/>
        <v>119700</v>
      </c>
      <c r="N65" s="42">
        <f t="shared" si="18"/>
        <v>14590.875</v>
      </c>
      <c r="O65" s="42">
        <f t="shared" si="19"/>
        <v>2843.4697200000001</v>
      </c>
      <c r="P65" s="42">
        <f t="shared" si="20"/>
        <v>18676.32</v>
      </c>
      <c r="Q65" s="42">
        <f t="shared" si="25"/>
        <v>155810.66472</v>
      </c>
      <c r="R65" s="42">
        <v>18</v>
      </c>
      <c r="S65" s="42">
        <f t="shared" si="23"/>
        <v>1077300</v>
      </c>
      <c r="T65" s="42">
        <f t="shared" si="0"/>
        <v>218863.125</v>
      </c>
      <c r="U65" s="42">
        <f t="shared" si="1"/>
        <v>42652.0458</v>
      </c>
      <c r="V65" s="42">
        <f t="shared" si="2"/>
        <v>280144.8</v>
      </c>
      <c r="W65" s="42">
        <f t="shared" si="26"/>
        <v>1618959.9708</v>
      </c>
    </row>
    <row r="66" spans="1:23" s="34" customFormat="1" x14ac:dyDescent="0.25">
      <c r="A66" s="32" t="s">
        <v>24</v>
      </c>
      <c r="B66" s="33">
        <v>1</v>
      </c>
      <c r="C66" s="33">
        <v>17</v>
      </c>
      <c r="D66" s="33">
        <v>23</v>
      </c>
      <c r="E66" s="33">
        <f>C66+D66</f>
        <v>40</v>
      </c>
      <c r="F66" s="42">
        <v>20</v>
      </c>
      <c r="G66" s="42">
        <f t="shared" si="21"/>
        <v>1197000</v>
      </c>
      <c r="H66" s="42">
        <f t="shared" si="5"/>
        <v>218863.125</v>
      </c>
      <c r="I66" s="42">
        <f t="shared" si="6"/>
        <v>42652.0458</v>
      </c>
      <c r="J66" s="42">
        <f t="shared" si="7"/>
        <v>280144.8</v>
      </c>
      <c r="K66" s="42">
        <f t="shared" si="24"/>
        <v>1738659.9708</v>
      </c>
      <c r="L66" s="42">
        <v>2</v>
      </c>
      <c r="M66" s="42">
        <f t="shared" si="22"/>
        <v>119700</v>
      </c>
      <c r="N66" s="42">
        <f t="shared" si="18"/>
        <v>14590.875</v>
      </c>
      <c r="O66" s="42">
        <f t="shared" si="19"/>
        <v>2843.4697200000001</v>
      </c>
      <c r="P66" s="42">
        <f t="shared" si="20"/>
        <v>18676.32</v>
      </c>
      <c r="Q66" s="42">
        <f t="shared" si="25"/>
        <v>155810.66472</v>
      </c>
      <c r="R66" s="42">
        <v>18</v>
      </c>
      <c r="S66" s="42">
        <f>$C$5*R66</f>
        <v>1077300</v>
      </c>
      <c r="T66" s="42">
        <f t="shared" si="0"/>
        <v>218863.125</v>
      </c>
      <c r="U66" s="42">
        <f t="shared" si="1"/>
        <v>42652.0458</v>
      </c>
      <c r="V66" s="42">
        <f t="shared" si="2"/>
        <v>280144.8</v>
      </c>
      <c r="W66" s="42">
        <f t="shared" si="26"/>
        <v>1618959.9708</v>
      </c>
    </row>
    <row r="67" spans="1:23" s="34" customFormat="1" x14ac:dyDescent="0.25">
      <c r="A67" s="32" t="s">
        <v>61</v>
      </c>
      <c r="B67" s="33">
        <v>1</v>
      </c>
      <c r="C67" s="33">
        <v>19</v>
      </c>
      <c r="D67" s="33">
        <v>0</v>
      </c>
      <c r="E67" s="33">
        <f>C67+D67</f>
        <v>19</v>
      </c>
      <c r="F67" s="42">
        <v>20</v>
      </c>
      <c r="G67" s="42">
        <f>$C$5*F67</f>
        <v>1197000</v>
      </c>
      <c r="H67" s="42">
        <f t="shared" si="5"/>
        <v>218863.125</v>
      </c>
      <c r="I67" s="42">
        <f t="shared" si="6"/>
        <v>42652.0458</v>
      </c>
      <c r="J67" s="42">
        <f t="shared" si="7"/>
        <v>280144.8</v>
      </c>
      <c r="K67" s="42">
        <f t="shared" si="24"/>
        <v>1738659.9708</v>
      </c>
      <c r="L67" s="42">
        <v>2</v>
      </c>
      <c r="M67" s="42">
        <f t="shared" si="22"/>
        <v>119700</v>
      </c>
      <c r="N67" s="42">
        <f t="shared" si="18"/>
        <v>14590.875</v>
      </c>
      <c r="O67" s="42">
        <f t="shared" si="19"/>
        <v>2843.4697200000001</v>
      </c>
      <c r="P67" s="42">
        <f t="shared" si="20"/>
        <v>18676.32</v>
      </c>
      <c r="Q67" s="42">
        <f t="shared" si="25"/>
        <v>155810.66472</v>
      </c>
      <c r="R67" s="42">
        <v>18</v>
      </c>
      <c r="S67" s="42">
        <f t="shared" ref="S67:S68" si="27">$C$5*R67</f>
        <v>1077300</v>
      </c>
      <c r="T67" s="42">
        <f t="shared" si="0"/>
        <v>218863.125</v>
      </c>
      <c r="U67" s="42">
        <f t="shared" si="1"/>
        <v>42652.0458</v>
      </c>
      <c r="V67" s="42">
        <f t="shared" si="2"/>
        <v>280144.8</v>
      </c>
      <c r="W67" s="42">
        <f t="shared" si="26"/>
        <v>1618959.9708</v>
      </c>
    </row>
    <row r="68" spans="1:23" s="34" customFormat="1" x14ac:dyDescent="0.25">
      <c r="A68" s="32" t="s">
        <v>71</v>
      </c>
      <c r="B68" s="33">
        <v>1</v>
      </c>
      <c r="C68" s="33">
        <v>19</v>
      </c>
      <c r="D68" s="33">
        <v>0</v>
      </c>
      <c r="E68" s="33">
        <f>C68+D68</f>
        <v>19</v>
      </c>
      <c r="F68" s="42">
        <v>20</v>
      </c>
      <c r="G68" s="42">
        <f t="shared" si="21"/>
        <v>1197000</v>
      </c>
      <c r="H68" s="42">
        <f t="shared" si="5"/>
        <v>218863.125</v>
      </c>
      <c r="I68" s="42">
        <f t="shared" si="6"/>
        <v>42652.0458</v>
      </c>
      <c r="J68" s="42">
        <f t="shared" si="7"/>
        <v>280144.8</v>
      </c>
      <c r="K68" s="42">
        <f t="shared" si="24"/>
        <v>1738659.9708</v>
      </c>
      <c r="L68" s="42">
        <v>2</v>
      </c>
      <c r="M68" s="42">
        <f t="shared" si="22"/>
        <v>119700</v>
      </c>
      <c r="N68" s="42">
        <f>($D$4*12.5%)/30*2</f>
        <v>14590.875</v>
      </c>
      <c r="O68" s="42">
        <f>($D$4*2.436%)/30*2</f>
        <v>2843.4697200000001</v>
      </c>
      <c r="P68" s="42">
        <f>($D$4*16%)/30*2</f>
        <v>18676.32</v>
      </c>
      <c r="Q68" s="42">
        <f t="shared" si="25"/>
        <v>155810.66472</v>
      </c>
      <c r="R68" s="42">
        <v>18</v>
      </c>
      <c r="S68" s="42">
        <f t="shared" si="27"/>
        <v>1077300</v>
      </c>
      <c r="T68" s="42">
        <f t="shared" si="0"/>
        <v>218863.125</v>
      </c>
      <c r="U68" s="42">
        <f t="shared" si="1"/>
        <v>42652.0458</v>
      </c>
      <c r="V68" s="42">
        <f t="shared" si="2"/>
        <v>280144.8</v>
      </c>
      <c r="W68" s="42">
        <f t="shared" si="26"/>
        <v>1618959.9708</v>
      </c>
    </row>
    <row r="69" spans="1:23" s="37" customFormat="1" x14ac:dyDescent="0.25">
      <c r="A69" s="35" t="s">
        <v>42</v>
      </c>
      <c r="B69" s="36">
        <v>1</v>
      </c>
      <c r="C69" s="36">
        <v>85</v>
      </c>
      <c r="D69" s="36">
        <v>0</v>
      </c>
      <c r="E69" s="36">
        <f t="shared" si="3"/>
        <v>85</v>
      </c>
      <c r="F69" s="43">
        <v>20</v>
      </c>
      <c r="G69" s="43">
        <f>$C$6*F69</f>
        <v>1638000</v>
      </c>
      <c r="H69" s="43">
        <f t="shared" si="5"/>
        <v>218863.125</v>
      </c>
      <c r="I69" s="43">
        <f t="shared" si="6"/>
        <v>42652.0458</v>
      </c>
      <c r="J69" s="43">
        <f t="shared" si="7"/>
        <v>280144.8</v>
      </c>
      <c r="K69" s="43">
        <f>SUM(G69:J69)*B69</f>
        <v>2179659.9707999998</v>
      </c>
      <c r="L69" s="43">
        <v>2</v>
      </c>
      <c r="M69" s="43">
        <f>$C$6*L69</f>
        <v>163800</v>
      </c>
      <c r="N69" s="43">
        <f>($D$4*12.5%)/30*2</f>
        <v>14590.875</v>
      </c>
      <c r="O69" s="43">
        <f>($D$4*2.436%)/30*2</f>
        <v>2843.4697200000001</v>
      </c>
      <c r="P69" s="43">
        <f>($D$4*16%)/30*2</f>
        <v>18676.32</v>
      </c>
      <c r="Q69" s="43">
        <f>SUM(M69:P69)*B69</f>
        <v>199910.66472</v>
      </c>
      <c r="R69" s="43">
        <v>18</v>
      </c>
      <c r="S69" s="43">
        <f>$C$6*R69</f>
        <v>1474200</v>
      </c>
      <c r="T69" s="43">
        <f t="shared" si="0"/>
        <v>218863.125</v>
      </c>
      <c r="U69" s="43">
        <f t="shared" si="1"/>
        <v>42652.0458</v>
      </c>
      <c r="V69" s="43">
        <f t="shared" si="2"/>
        <v>280144.8</v>
      </c>
      <c r="W69" s="43">
        <f>SUM(S69:V69)*B69</f>
        <v>2015859.9708</v>
      </c>
    </row>
    <row r="70" spans="1:23" s="37" customFormat="1" x14ac:dyDescent="0.25">
      <c r="A70" s="35" t="s">
        <v>39</v>
      </c>
      <c r="B70" s="36">
        <v>5</v>
      </c>
      <c r="C70" s="36">
        <v>468</v>
      </c>
      <c r="D70" s="36">
        <v>0</v>
      </c>
      <c r="E70" s="36">
        <f t="shared" si="3"/>
        <v>468</v>
      </c>
      <c r="F70" s="43">
        <v>20</v>
      </c>
      <c r="G70" s="43">
        <f t="shared" ref="G70:G89" si="28">$C$6*F70</f>
        <v>1638000</v>
      </c>
      <c r="H70" s="43">
        <f t="shared" si="5"/>
        <v>218863.125</v>
      </c>
      <c r="I70" s="43">
        <f t="shared" si="6"/>
        <v>42652.0458</v>
      </c>
      <c r="J70" s="43">
        <f t="shared" si="7"/>
        <v>280144.8</v>
      </c>
      <c r="K70" s="43">
        <f t="shared" si="24"/>
        <v>10898299.853999998</v>
      </c>
      <c r="L70" s="43">
        <v>2</v>
      </c>
      <c r="M70" s="43">
        <f t="shared" ref="M70:M89" si="29">$C$6*L70</f>
        <v>163800</v>
      </c>
      <c r="N70" s="43">
        <f t="shared" ref="N70:N89" si="30">($D$4*12.5%)/30*2</f>
        <v>14590.875</v>
      </c>
      <c r="O70" s="43">
        <f t="shared" ref="O70:O89" si="31">($D$4*2.436%)/30*2</f>
        <v>2843.4697200000001</v>
      </c>
      <c r="P70" s="43">
        <f t="shared" ref="P70:P89" si="32">($D$4*16%)/30*2</f>
        <v>18676.32</v>
      </c>
      <c r="Q70" s="43">
        <f t="shared" si="25"/>
        <v>999553.3236</v>
      </c>
      <c r="R70" s="43">
        <v>18</v>
      </c>
      <c r="S70" s="43">
        <f t="shared" ref="S70:S89" si="33">$C$6*R70</f>
        <v>1474200</v>
      </c>
      <c r="T70" s="43">
        <f t="shared" si="0"/>
        <v>218863.125</v>
      </c>
      <c r="U70" s="43">
        <f t="shared" si="1"/>
        <v>42652.0458</v>
      </c>
      <c r="V70" s="43">
        <f t="shared" si="2"/>
        <v>280144.8</v>
      </c>
      <c r="W70" s="43">
        <f t="shared" si="26"/>
        <v>10079299.854</v>
      </c>
    </row>
    <row r="71" spans="1:23" s="37" customFormat="1" x14ac:dyDescent="0.25">
      <c r="A71" s="35" t="s">
        <v>50</v>
      </c>
      <c r="B71" s="36">
        <v>5</v>
      </c>
      <c r="C71" s="36">
        <v>331</v>
      </c>
      <c r="D71" s="36">
        <v>0</v>
      </c>
      <c r="E71" s="36">
        <f t="shared" si="3"/>
        <v>331</v>
      </c>
      <c r="F71" s="43">
        <v>20</v>
      </c>
      <c r="G71" s="43">
        <f t="shared" si="28"/>
        <v>1638000</v>
      </c>
      <c r="H71" s="43">
        <f t="shared" si="5"/>
        <v>218863.125</v>
      </c>
      <c r="I71" s="43">
        <f t="shared" si="6"/>
        <v>42652.0458</v>
      </c>
      <c r="J71" s="43">
        <f t="shared" si="7"/>
        <v>280144.8</v>
      </c>
      <c r="K71" s="43">
        <f t="shared" si="24"/>
        <v>10898299.853999998</v>
      </c>
      <c r="L71" s="43">
        <v>2</v>
      </c>
      <c r="M71" s="43">
        <f t="shared" si="29"/>
        <v>163800</v>
      </c>
      <c r="N71" s="43">
        <f t="shared" si="30"/>
        <v>14590.875</v>
      </c>
      <c r="O71" s="43">
        <f t="shared" si="31"/>
        <v>2843.4697200000001</v>
      </c>
      <c r="P71" s="43">
        <f t="shared" si="32"/>
        <v>18676.32</v>
      </c>
      <c r="Q71" s="43">
        <f t="shared" si="25"/>
        <v>999553.3236</v>
      </c>
      <c r="R71" s="43">
        <v>18</v>
      </c>
      <c r="S71" s="43">
        <f t="shared" si="33"/>
        <v>1474200</v>
      </c>
      <c r="T71" s="43">
        <f t="shared" si="0"/>
        <v>218863.125</v>
      </c>
      <c r="U71" s="43">
        <f t="shared" si="1"/>
        <v>42652.0458</v>
      </c>
      <c r="V71" s="43">
        <f t="shared" si="2"/>
        <v>280144.8</v>
      </c>
      <c r="W71" s="43">
        <f t="shared" si="26"/>
        <v>10079299.854</v>
      </c>
    </row>
    <row r="72" spans="1:23" s="37" customFormat="1" x14ac:dyDescent="0.25">
      <c r="A72" s="35" t="s">
        <v>51</v>
      </c>
      <c r="B72" s="36">
        <v>6</v>
      </c>
      <c r="C72" s="36">
        <v>477</v>
      </c>
      <c r="D72" s="36">
        <v>0</v>
      </c>
      <c r="E72" s="36">
        <f t="shared" si="3"/>
        <v>477</v>
      </c>
      <c r="F72" s="43">
        <v>20</v>
      </c>
      <c r="G72" s="43">
        <f t="shared" si="28"/>
        <v>1638000</v>
      </c>
      <c r="H72" s="43">
        <f t="shared" si="5"/>
        <v>218863.125</v>
      </c>
      <c r="I72" s="43">
        <f t="shared" si="6"/>
        <v>42652.0458</v>
      </c>
      <c r="J72" s="43">
        <f t="shared" si="7"/>
        <v>280144.8</v>
      </c>
      <c r="K72" s="43">
        <f t="shared" si="24"/>
        <v>13077959.8248</v>
      </c>
      <c r="L72" s="43">
        <v>2</v>
      </c>
      <c r="M72" s="43">
        <f t="shared" si="29"/>
        <v>163800</v>
      </c>
      <c r="N72" s="43">
        <f t="shared" si="30"/>
        <v>14590.875</v>
      </c>
      <c r="O72" s="43">
        <f t="shared" si="31"/>
        <v>2843.4697200000001</v>
      </c>
      <c r="P72" s="43">
        <f t="shared" si="32"/>
        <v>18676.32</v>
      </c>
      <c r="Q72" s="43">
        <f t="shared" si="25"/>
        <v>1199463.98832</v>
      </c>
      <c r="R72" s="43">
        <v>18</v>
      </c>
      <c r="S72" s="43">
        <f t="shared" si="33"/>
        <v>1474200</v>
      </c>
      <c r="T72" s="43">
        <f t="shared" si="0"/>
        <v>218863.125</v>
      </c>
      <c r="U72" s="43">
        <f t="shared" si="1"/>
        <v>42652.0458</v>
      </c>
      <c r="V72" s="43">
        <f t="shared" si="2"/>
        <v>280144.8</v>
      </c>
      <c r="W72" s="43">
        <f t="shared" si="26"/>
        <v>12095159.8248</v>
      </c>
    </row>
    <row r="73" spans="1:23" s="37" customFormat="1" x14ac:dyDescent="0.25">
      <c r="A73" s="35" t="s">
        <v>53</v>
      </c>
      <c r="B73" s="36">
        <v>1</v>
      </c>
      <c r="C73" s="36">
        <v>50</v>
      </c>
      <c r="D73" s="36">
        <v>0</v>
      </c>
      <c r="E73" s="36">
        <f t="shared" si="3"/>
        <v>50</v>
      </c>
      <c r="F73" s="43">
        <v>20</v>
      </c>
      <c r="G73" s="43">
        <f t="shared" si="28"/>
        <v>1638000</v>
      </c>
      <c r="H73" s="43">
        <f t="shared" si="5"/>
        <v>218863.125</v>
      </c>
      <c r="I73" s="43">
        <f t="shared" si="6"/>
        <v>42652.0458</v>
      </c>
      <c r="J73" s="43">
        <f t="shared" si="7"/>
        <v>280144.8</v>
      </c>
      <c r="K73" s="43">
        <f t="shared" si="24"/>
        <v>2179659.9707999998</v>
      </c>
      <c r="L73" s="43">
        <v>2</v>
      </c>
      <c r="M73" s="43">
        <f t="shared" si="29"/>
        <v>163800</v>
      </c>
      <c r="N73" s="43">
        <f t="shared" si="30"/>
        <v>14590.875</v>
      </c>
      <c r="O73" s="43">
        <f t="shared" si="31"/>
        <v>2843.4697200000001</v>
      </c>
      <c r="P73" s="43">
        <f t="shared" si="32"/>
        <v>18676.32</v>
      </c>
      <c r="Q73" s="43">
        <f t="shared" si="25"/>
        <v>199910.66472</v>
      </c>
      <c r="R73" s="43">
        <v>18</v>
      </c>
      <c r="S73" s="43">
        <f t="shared" si="33"/>
        <v>1474200</v>
      </c>
      <c r="T73" s="43">
        <f t="shared" si="0"/>
        <v>218863.125</v>
      </c>
      <c r="U73" s="43">
        <f t="shared" si="1"/>
        <v>42652.0458</v>
      </c>
      <c r="V73" s="43">
        <f t="shared" si="2"/>
        <v>280144.8</v>
      </c>
      <c r="W73" s="43">
        <f t="shared" si="26"/>
        <v>2015859.9708</v>
      </c>
    </row>
    <row r="74" spans="1:23" s="37" customFormat="1" x14ac:dyDescent="0.25">
      <c r="A74" s="35" t="s">
        <v>54</v>
      </c>
      <c r="B74" s="36">
        <v>2</v>
      </c>
      <c r="C74" s="36">
        <v>286</v>
      </c>
      <c r="D74" s="36">
        <v>0</v>
      </c>
      <c r="E74" s="36">
        <f t="shared" si="3"/>
        <v>286</v>
      </c>
      <c r="F74" s="43">
        <v>20</v>
      </c>
      <c r="G74" s="43">
        <f t="shared" si="28"/>
        <v>1638000</v>
      </c>
      <c r="H74" s="43">
        <f t="shared" si="5"/>
        <v>218863.125</v>
      </c>
      <c r="I74" s="43">
        <f t="shared" si="6"/>
        <v>42652.0458</v>
      </c>
      <c r="J74" s="43">
        <f t="shared" si="7"/>
        <v>280144.8</v>
      </c>
      <c r="K74" s="43">
        <f t="shared" si="24"/>
        <v>4359319.9415999996</v>
      </c>
      <c r="L74" s="43">
        <v>2</v>
      </c>
      <c r="M74" s="43">
        <f t="shared" si="29"/>
        <v>163800</v>
      </c>
      <c r="N74" s="43">
        <f t="shared" si="30"/>
        <v>14590.875</v>
      </c>
      <c r="O74" s="43">
        <f t="shared" si="31"/>
        <v>2843.4697200000001</v>
      </c>
      <c r="P74" s="43">
        <f t="shared" si="32"/>
        <v>18676.32</v>
      </c>
      <c r="Q74" s="43">
        <f t="shared" si="25"/>
        <v>399821.32944</v>
      </c>
      <c r="R74" s="43">
        <v>18</v>
      </c>
      <c r="S74" s="43">
        <f t="shared" si="33"/>
        <v>1474200</v>
      </c>
      <c r="T74" s="43">
        <f t="shared" si="0"/>
        <v>218863.125</v>
      </c>
      <c r="U74" s="43">
        <f t="shared" si="1"/>
        <v>42652.0458</v>
      </c>
      <c r="V74" s="43">
        <f t="shared" si="2"/>
        <v>280144.8</v>
      </c>
      <c r="W74" s="43">
        <f t="shared" si="26"/>
        <v>4031719.9416</v>
      </c>
    </row>
    <row r="75" spans="1:23" s="37" customFormat="1" x14ac:dyDescent="0.25">
      <c r="A75" s="35" t="s">
        <v>55</v>
      </c>
      <c r="B75" s="36">
        <v>1</v>
      </c>
      <c r="C75" s="36">
        <v>84</v>
      </c>
      <c r="D75" s="36">
        <v>0</v>
      </c>
      <c r="E75" s="36">
        <f t="shared" si="3"/>
        <v>84</v>
      </c>
      <c r="F75" s="43">
        <v>20</v>
      </c>
      <c r="G75" s="43">
        <f t="shared" si="28"/>
        <v>1638000</v>
      </c>
      <c r="H75" s="43">
        <f t="shared" si="5"/>
        <v>218863.125</v>
      </c>
      <c r="I75" s="43">
        <f t="shared" si="6"/>
        <v>42652.0458</v>
      </c>
      <c r="J75" s="43">
        <f t="shared" si="7"/>
        <v>280144.8</v>
      </c>
      <c r="K75" s="43">
        <f t="shared" ref="K75:K89" si="34">SUM(G75:J75)*B75</f>
        <v>2179659.9707999998</v>
      </c>
      <c r="L75" s="43">
        <v>2</v>
      </c>
      <c r="M75" s="43">
        <f t="shared" si="29"/>
        <v>163800</v>
      </c>
      <c r="N75" s="43">
        <f t="shared" si="30"/>
        <v>14590.875</v>
      </c>
      <c r="O75" s="43">
        <f t="shared" si="31"/>
        <v>2843.4697200000001</v>
      </c>
      <c r="P75" s="43">
        <f t="shared" si="32"/>
        <v>18676.32</v>
      </c>
      <c r="Q75" s="43">
        <f t="shared" ref="Q75:Q89" si="35">SUM(M75:P75)*B75</f>
        <v>199910.66472</v>
      </c>
      <c r="R75" s="43">
        <v>18</v>
      </c>
      <c r="S75" s="43">
        <f t="shared" si="33"/>
        <v>1474200</v>
      </c>
      <c r="T75" s="43">
        <f t="shared" si="0"/>
        <v>218863.125</v>
      </c>
      <c r="U75" s="43">
        <f t="shared" si="1"/>
        <v>42652.0458</v>
      </c>
      <c r="V75" s="43">
        <f t="shared" si="2"/>
        <v>280144.8</v>
      </c>
      <c r="W75" s="43">
        <f t="shared" ref="W75:W89" si="36">SUM(S75:V75)*B75</f>
        <v>2015859.9708</v>
      </c>
    </row>
    <row r="76" spans="1:23" s="37" customFormat="1" x14ac:dyDescent="0.25">
      <c r="A76" s="35" t="s">
        <v>60</v>
      </c>
      <c r="B76" s="36">
        <v>1</v>
      </c>
      <c r="C76" s="36">
        <v>49</v>
      </c>
      <c r="D76" s="36">
        <v>0</v>
      </c>
      <c r="E76" s="36">
        <f t="shared" ref="E76:E89" si="37">C76+D76</f>
        <v>49</v>
      </c>
      <c r="F76" s="43">
        <v>20</v>
      </c>
      <c r="G76" s="43">
        <f t="shared" si="28"/>
        <v>1638000</v>
      </c>
      <c r="H76" s="43">
        <f t="shared" si="5"/>
        <v>218863.125</v>
      </c>
      <c r="I76" s="43">
        <f t="shared" si="6"/>
        <v>42652.0458</v>
      </c>
      <c r="J76" s="43">
        <f t="shared" si="7"/>
        <v>280144.8</v>
      </c>
      <c r="K76" s="43">
        <f t="shared" si="34"/>
        <v>2179659.9707999998</v>
      </c>
      <c r="L76" s="43">
        <v>2</v>
      </c>
      <c r="M76" s="43">
        <f t="shared" si="29"/>
        <v>163800</v>
      </c>
      <c r="N76" s="43">
        <f t="shared" si="30"/>
        <v>14590.875</v>
      </c>
      <c r="O76" s="43">
        <f t="shared" si="31"/>
        <v>2843.4697200000001</v>
      </c>
      <c r="P76" s="43">
        <f t="shared" si="32"/>
        <v>18676.32</v>
      </c>
      <c r="Q76" s="43">
        <f t="shared" si="35"/>
        <v>199910.66472</v>
      </c>
      <c r="R76" s="43">
        <v>18</v>
      </c>
      <c r="S76" s="43">
        <f t="shared" si="33"/>
        <v>1474200</v>
      </c>
      <c r="T76" s="43">
        <f t="shared" si="0"/>
        <v>218863.125</v>
      </c>
      <c r="U76" s="43">
        <f t="shared" si="1"/>
        <v>42652.0458</v>
      </c>
      <c r="V76" s="43">
        <f t="shared" si="2"/>
        <v>280144.8</v>
      </c>
      <c r="W76" s="43">
        <f t="shared" si="36"/>
        <v>2015859.9708</v>
      </c>
    </row>
    <row r="77" spans="1:23" s="37" customFormat="1" x14ac:dyDescent="0.25">
      <c r="A77" s="35" t="s">
        <v>64</v>
      </c>
      <c r="B77" s="36">
        <v>1</v>
      </c>
      <c r="C77" s="36">
        <v>49</v>
      </c>
      <c r="D77" s="36">
        <v>0</v>
      </c>
      <c r="E77" s="36">
        <f t="shared" si="37"/>
        <v>49</v>
      </c>
      <c r="F77" s="43">
        <v>20</v>
      </c>
      <c r="G77" s="43">
        <f t="shared" si="28"/>
        <v>1638000</v>
      </c>
      <c r="H77" s="43">
        <f t="shared" si="5"/>
        <v>218863.125</v>
      </c>
      <c r="I77" s="43">
        <f t="shared" si="6"/>
        <v>42652.0458</v>
      </c>
      <c r="J77" s="43">
        <f t="shared" si="7"/>
        <v>280144.8</v>
      </c>
      <c r="K77" s="43">
        <f t="shared" si="34"/>
        <v>2179659.9707999998</v>
      </c>
      <c r="L77" s="43">
        <v>2</v>
      </c>
      <c r="M77" s="43">
        <f t="shared" si="29"/>
        <v>163800</v>
      </c>
      <c r="N77" s="43">
        <f t="shared" si="30"/>
        <v>14590.875</v>
      </c>
      <c r="O77" s="43">
        <f t="shared" si="31"/>
        <v>2843.4697200000001</v>
      </c>
      <c r="P77" s="43">
        <f t="shared" si="32"/>
        <v>18676.32</v>
      </c>
      <c r="Q77" s="43">
        <f t="shared" si="35"/>
        <v>199910.66472</v>
      </c>
      <c r="R77" s="43">
        <v>18</v>
      </c>
      <c r="S77" s="43">
        <f t="shared" si="33"/>
        <v>1474200</v>
      </c>
      <c r="T77" s="43">
        <f t="shared" si="0"/>
        <v>218863.125</v>
      </c>
      <c r="U77" s="43">
        <f t="shared" si="1"/>
        <v>42652.0458</v>
      </c>
      <c r="V77" s="43">
        <f t="shared" si="2"/>
        <v>280144.8</v>
      </c>
      <c r="W77" s="43">
        <f t="shared" si="36"/>
        <v>2015859.9708</v>
      </c>
    </row>
    <row r="78" spans="1:23" s="37" customFormat="1" x14ac:dyDescent="0.25">
      <c r="A78" s="35" t="s">
        <v>65</v>
      </c>
      <c r="B78" s="36">
        <v>1</v>
      </c>
      <c r="C78" s="36">
        <v>68</v>
      </c>
      <c r="D78" s="36">
        <v>0</v>
      </c>
      <c r="E78" s="36">
        <f t="shared" si="37"/>
        <v>68</v>
      </c>
      <c r="F78" s="43">
        <v>20</v>
      </c>
      <c r="G78" s="43">
        <f t="shared" si="28"/>
        <v>1638000</v>
      </c>
      <c r="H78" s="43">
        <f t="shared" si="5"/>
        <v>218863.125</v>
      </c>
      <c r="I78" s="43">
        <f t="shared" si="6"/>
        <v>42652.0458</v>
      </c>
      <c r="J78" s="43">
        <f t="shared" si="7"/>
        <v>280144.8</v>
      </c>
      <c r="K78" s="43">
        <f t="shared" si="34"/>
        <v>2179659.9707999998</v>
      </c>
      <c r="L78" s="43">
        <v>2</v>
      </c>
      <c r="M78" s="43">
        <f t="shared" si="29"/>
        <v>163800</v>
      </c>
      <c r="N78" s="43">
        <f t="shared" si="30"/>
        <v>14590.875</v>
      </c>
      <c r="O78" s="43">
        <f t="shared" si="31"/>
        <v>2843.4697200000001</v>
      </c>
      <c r="P78" s="43">
        <f t="shared" si="32"/>
        <v>18676.32</v>
      </c>
      <c r="Q78" s="43">
        <f t="shared" si="35"/>
        <v>199910.66472</v>
      </c>
      <c r="R78" s="43">
        <v>18</v>
      </c>
      <c r="S78" s="43">
        <f t="shared" si="33"/>
        <v>1474200</v>
      </c>
      <c r="T78" s="43">
        <f t="shared" si="0"/>
        <v>218863.125</v>
      </c>
      <c r="U78" s="43">
        <f t="shared" si="1"/>
        <v>42652.0458</v>
      </c>
      <c r="V78" s="43">
        <f t="shared" si="2"/>
        <v>280144.8</v>
      </c>
      <c r="W78" s="43">
        <f t="shared" si="36"/>
        <v>2015859.9708</v>
      </c>
    </row>
    <row r="79" spans="1:23" s="37" customFormat="1" ht="30" x14ac:dyDescent="0.25">
      <c r="A79" s="35" t="s">
        <v>66</v>
      </c>
      <c r="B79" s="36">
        <v>2</v>
      </c>
      <c r="C79" s="36">
        <v>219</v>
      </c>
      <c r="D79" s="36">
        <v>0</v>
      </c>
      <c r="E79" s="36">
        <f t="shared" si="37"/>
        <v>219</v>
      </c>
      <c r="F79" s="43">
        <v>20</v>
      </c>
      <c r="G79" s="43">
        <f t="shared" si="28"/>
        <v>1638000</v>
      </c>
      <c r="H79" s="43">
        <f t="shared" si="5"/>
        <v>218863.125</v>
      </c>
      <c r="I79" s="43">
        <f t="shared" si="6"/>
        <v>42652.0458</v>
      </c>
      <c r="J79" s="43">
        <f t="shared" si="7"/>
        <v>280144.8</v>
      </c>
      <c r="K79" s="43">
        <f t="shared" si="34"/>
        <v>4359319.9415999996</v>
      </c>
      <c r="L79" s="43">
        <v>2</v>
      </c>
      <c r="M79" s="43">
        <f t="shared" si="29"/>
        <v>163800</v>
      </c>
      <c r="N79" s="43">
        <f t="shared" si="30"/>
        <v>14590.875</v>
      </c>
      <c r="O79" s="43">
        <f t="shared" si="31"/>
        <v>2843.4697200000001</v>
      </c>
      <c r="P79" s="43">
        <f t="shared" si="32"/>
        <v>18676.32</v>
      </c>
      <c r="Q79" s="43">
        <f t="shared" si="35"/>
        <v>399821.32944</v>
      </c>
      <c r="R79" s="43">
        <v>18</v>
      </c>
      <c r="S79" s="43">
        <f t="shared" si="33"/>
        <v>1474200</v>
      </c>
      <c r="T79" s="43">
        <f t="shared" si="0"/>
        <v>218863.125</v>
      </c>
      <c r="U79" s="43">
        <f t="shared" si="1"/>
        <v>42652.0458</v>
      </c>
      <c r="V79" s="43">
        <f t="shared" si="2"/>
        <v>280144.8</v>
      </c>
      <c r="W79" s="43">
        <f t="shared" si="36"/>
        <v>4031719.9416</v>
      </c>
    </row>
    <row r="80" spans="1:23" s="37" customFormat="1" x14ac:dyDescent="0.25">
      <c r="A80" s="35" t="s">
        <v>67</v>
      </c>
      <c r="B80" s="36">
        <v>2</v>
      </c>
      <c r="C80" s="36">
        <v>287</v>
      </c>
      <c r="D80" s="36">
        <v>0</v>
      </c>
      <c r="E80" s="36">
        <f t="shared" si="37"/>
        <v>287</v>
      </c>
      <c r="F80" s="43">
        <v>20</v>
      </c>
      <c r="G80" s="43">
        <f t="shared" si="28"/>
        <v>1638000</v>
      </c>
      <c r="H80" s="43">
        <f t="shared" si="5"/>
        <v>218863.125</v>
      </c>
      <c r="I80" s="43">
        <f t="shared" si="6"/>
        <v>42652.0458</v>
      </c>
      <c r="J80" s="43">
        <f t="shared" si="7"/>
        <v>280144.8</v>
      </c>
      <c r="K80" s="43">
        <f t="shared" si="34"/>
        <v>4359319.9415999996</v>
      </c>
      <c r="L80" s="43">
        <v>2</v>
      </c>
      <c r="M80" s="43">
        <f t="shared" si="29"/>
        <v>163800</v>
      </c>
      <c r="N80" s="43">
        <f t="shared" si="30"/>
        <v>14590.875</v>
      </c>
      <c r="O80" s="43">
        <f t="shared" si="31"/>
        <v>2843.4697200000001</v>
      </c>
      <c r="P80" s="43">
        <f t="shared" si="32"/>
        <v>18676.32</v>
      </c>
      <c r="Q80" s="43">
        <f t="shared" si="35"/>
        <v>399821.32944</v>
      </c>
      <c r="R80" s="43">
        <v>18</v>
      </c>
      <c r="S80" s="43">
        <f t="shared" si="33"/>
        <v>1474200</v>
      </c>
      <c r="T80" s="43">
        <f t="shared" si="0"/>
        <v>218863.125</v>
      </c>
      <c r="U80" s="43">
        <f t="shared" si="1"/>
        <v>42652.0458</v>
      </c>
      <c r="V80" s="43">
        <f t="shared" si="2"/>
        <v>280144.8</v>
      </c>
      <c r="W80" s="43">
        <f t="shared" si="36"/>
        <v>4031719.9416</v>
      </c>
    </row>
    <row r="81" spans="1:23" s="37" customFormat="1" x14ac:dyDescent="0.25">
      <c r="A81" s="35" t="s">
        <v>82</v>
      </c>
      <c r="B81" s="36">
        <v>1</v>
      </c>
      <c r="C81" s="36">
        <v>44</v>
      </c>
      <c r="D81" s="36">
        <v>0</v>
      </c>
      <c r="E81" s="36">
        <f t="shared" si="37"/>
        <v>44</v>
      </c>
      <c r="F81" s="43">
        <v>20</v>
      </c>
      <c r="G81" s="43">
        <f t="shared" si="28"/>
        <v>1638000</v>
      </c>
      <c r="H81" s="43">
        <f t="shared" si="5"/>
        <v>218863.125</v>
      </c>
      <c r="I81" s="43">
        <f t="shared" si="6"/>
        <v>42652.0458</v>
      </c>
      <c r="J81" s="43">
        <f t="shared" si="7"/>
        <v>280144.8</v>
      </c>
      <c r="K81" s="43">
        <f t="shared" si="34"/>
        <v>2179659.9707999998</v>
      </c>
      <c r="L81" s="43">
        <v>2</v>
      </c>
      <c r="M81" s="43">
        <f t="shared" si="29"/>
        <v>163800</v>
      </c>
      <c r="N81" s="43">
        <f t="shared" si="30"/>
        <v>14590.875</v>
      </c>
      <c r="O81" s="43">
        <f t="shared" si="31"/>
        <v>2843.4697200000001</v>
      </c>
      <c r="P81" s="43">
        <f t="shared" si="32"/>
        <v>18676.32</v>
      </c>
      <c r="Q81" s="43">
        <f t="shared" si="35"/>
        <v>199910.66472</v>
      </c>
      <c r="R81" s="43">
        <v>18</v>
      </c>
      <c r="S81" s="43">
        <f t="shared" si="33"/>
        <v>1474200</v>
      </c>
      <c r="T81" s="43">
        <f t="shared" si="0"/>
        <v>218863.125</v>
      </c>
      <c r="U81" s="43">
        <f t="shared" si="1"/>
        <v>42652.0458</v>
      </c>
      <c r="V81" s="43">
        <f t="shared" si="2"/>
        <v>280144.8</v>
      </c>
      <c r="W81" s="43">
        <f t="shared" si="36"/>
        <v>2015859.9708</v>
      </c>
    </row>
    <row r="82" spans="1:23" s="37" customFormat="1" ht="30" x14ac:dyDescent="0.25">
      <c r="A82" s="35" t="s">
        <v>77</v>
      </c>
      <c r="B82" s="36">
        <v>4</v>
      </c>
      <c r="C82" s="36">
        <v>679</v>
      </c>
      <c r="D82" s="36">
        <v>0</v>
      </c>
      <c r="E82" s="36">
        <f t="shared" si="37"/>
        <v>679</v>
      </c>
      <c r="F82" s="43">
        <v>20</v>
      </c>
      <c r="G82" s="43">
        <f t="shared" si="28"/>
        <v>1638000</v>
      </c>
      <c r="H82" s="43">
        <f t="shared" si="5"/>
        <v>218863.125</v>
      </c>
      <c r="I82" s="43">
        <f t="shared" si="6"/>
        <v>42652.0458</v>
      </c>
      <c r="J82" s="43">
        <f t="shared" si="7"/>
        <v>280144.8</v>
      </c>
      <c r="K82" s="43">
        <f t="shared" si="34"/>
        <v>8718639.8831999991</v>
      </c>
      <c r="L82" s="43">
        <v>2</v>
      </c>
      <c r="M82" s="43">
        <f t="shared" si="29"/>
        <v>163800</v>
      </c>
      <c r="N82" s="43">
        <f t="shared" si="30"/>
        <v>14590.875</v>
      </c>
      <c r="O82" s="43">
        <f t="shared" si="31"/>
        <v>2843.4697200000001</v>
      </c>
      <c r="P82" s="43">
        <f t="shared" si="32"/>
        <v>18676.32</v>
      </c>
      <c r="Q82" s="43">
        <f t="shared" si="35"/>
        <v>799642.65888</v>
      </c>
      <c r="R82" s="43">
        <v>18</v>
      </c>
      <c r="S82" s="43">
        <f t="shared" si="33"/>
        <v>1474200</v>
      </c>
      <c r="T82" s="43">
        <f t="shared" si="0"/>
        <v>218863.125</v>
      </c>
      <c r="U82" s="43">
        <f t="shared" si="1"/>
        <v>42652.0458</v>
      </c>
      <c r="V82" s="43">
        <f t="shared" si="2"/>
        <v>280144.8</v>
      </c>
      <c r="W82" s="43">
        <f t="shared" si="36"/>
        <v>8063439.8832</v>
      </c>
    </row>
    <row r="83" spans="1:23" s="37" customFormat="1" ht="30" x14ac:dyDescent="0.25">
      <c r="A83" s="35" t="s">
        <v>94</v>
      </c>
      <c r="B83" s="36">
        <v>4</v>
      </c>
      <c r="C83" s="36">
        <v>320</v>
      </c>
      <c r="D83" s="36">
        <v>0</v>
      </c>
      <c r="E83" s="36">
        <f t="shared" si="37"/>
        <v>320</v>
      </c>
      <c r="F83" s="43">
        <v>20</v>
      </c>
      <c r="G83" s="43">
        <f t="shared" si="28"/>
        <v>1638000</v>
      </c>
      <c r="H83" s="43">
        <f t="shared" si="5"/>
        <v>218863.125</v>
      </c>
      <c r="I83" s="43">
        <f t="shared" si="6"/>
        <v>42652.0458</v>
      </c>
      <c r="J83" s="43">
        <f t="shared" si="7"/>
        <v>280144.8</v>
      </c>
      <c r="K83" s="43">
        <f t="shared" si="34"/>
        <v>8718639.8831999991</v>
      </c>
      <c r="L83" s="43">
        <v>2</v>
      </c>
      <c r="M83" s="43">
        <f>$C$6*L83</f>
        <v>163800</v>
      </c>
      <c r="N83" s="43">
        <f>($D$4*12.5%)/30*2</f>
        <v>14590.875</v>
      </c>
      <c r="O83" s="43">
        <f>($D$4*2.436%)/30*2</f>
        <v>2843.4697200000001</v>
      </c>
      <c r="P83" s="43">
        <f>($D$4*16%)/30*2</f>
        <v>18676.32</v>
      </c>
      <c r="Q83" s="43">
        <f t="shared" si="35"/>
        <v>799642.65888</v>
      </c>
      <c r="R83" s="43">
        <v>18</v>
      </c>
      <c r="S83" s="43">
        <f t="shared" si="33"/>
        <v>1474200</v>
      </c>
      <c r="T83" s="43">
        <f t="shared" si="0"/>
        <v>218863.125</v>
      </c>
      <c r="U83" s="43">
        <f t="shared" si="1"/>
        <v>42652.0458</v>
      </c>
      <c r="V83" s="43">
        <f t="shared" si="2"/>
        <v>280144.8</v>
      </c>
      <c r="W83" s="43">
        <f t="shared" si="36"/>
        <v>8063439.8832</v>
      </c>
    </row>
    <row r="84" spans="1:23" s="37" customFormat="1" ht="30" x14ac:dyDescent="0.25">
      <c r="A84" s="35" t="s">
        <v>95</v>
      </c>
      <c r="B84" s="36">
        <v>1</v>
      </c>
      <c r="C84" s="36">
        <v>57</v>
      </c>
      <c r="D84" s="36">
        <v>0</v>
      </c>
      <c r="E84" s="36">
        <f t="shared" si="37"/>
        <v>57</v>
      </c>
      <c r="F84" s="43">
        <v>20</v>
      </c>
      <c r="G84" s="43">
        <f t="shared" si="28"/>
        <v>1638000</v>
      </c>
      <c r="H84" s="43">
        <f t="shared" si="5"/>
        <v>218863.125</v>
      </c>
      <c r="I84" s="43">
        <f t="shared" si="6"/>
        <v>42652.0458</v>
      </c>
      <c r="J84" s="43">
        <f t="shared" si="7"/>
        <v>280144.8</v>
      </c>
      <c r="K84" s="43">
        <f t="shared" si="34"/>
        <v>2179659.9707999998</v>
      </c>
      <c r="L84" s="43">
        <v>2</v>
      </c>
      <c r="M84" s="43">
        <f t="shared" si="29"/>
        <v>163800</v>
      </c>
      <c r="N84" s="43">
        <f t="shared" si="30"/>
        <v>14590.875</v>
      </c>
      <c r="O84" s="43">
        <f t="shared" si="31"/>
        <v>2843.4697200000001</v>
      </c>
      <c r="P84" s="43">
        <f t="shared" si="32"/>
        <v>18676.32</v>
      </c>
      <c r="Q84" s="43">
        <f t="shared" si="35"/>
        <v>199910.66472</v>
      </c>
      <c r="R84" s="43">
        <v>18</v>
      </c>
      <c r="S84" s="43">
        <f t="shared" si="33"/>
        <v>1474200</v>
      </c>
      <c r="T84" s="43">
        <f t="shared" si="0"/>
        <v>218863.125</v>
      </c>
      <c r="U84" s="43">
        <f t="shared" si="1"/>
        <v>42652.0458</v>
      </c>
      <c r="V84" s="43">
        <f t="shared" si="2"/>
        <v>280144.8</v>
      </c>
      <c r="W84" s="43">
        <f t="shared" si="36"/>
        <v>2015859.9708</v>
      </c>
    </row>
    <row r="85" spans="1:23" s="37" customFormat="1" x14ac:dyDescent="0.25">
      <c r="A85" s="35" t="s">
        <v>103</v>
      </c>
      <c r="B85" s="36">
        <v>1</v>
      </c>
      <c r="C85" s="36">
        <v>55</v>
      </c>
      <c r="D85" s="36">
        <v>0</v>
      </c>
      <c r="E85" s="36">
        <f t="shared" si="37"/>
        <v>55</v>
      </c>
      <c r="F85" s="43">
        <v>20</v>
      </c>
      <c r="G85" s="43">
        <f t="shared" si="28"/>
        <v>1638000</v>
      </c>
      <c r="H85" s="43">
        <f t="shared" si="5"/>
        <v>218863.125</v>
      </c>
      <c r="I85" s="43">
        <f t="shared" si="6"/>
        <v>42652.0458</v>
      </c>
      <c r="J85" s="43">
        <f t="shared" si="7"/>
        <v>280144.8</v>
      </c>
      <c r="K85" s="43">
        <f t="shared" si="34"/>
        <v>2179659.9707999998</v>
      </c>
      <c r="L85" s="43">
        <v>2</v>
      </c>
      <c r="M85" s="43">
        <f t="shared" si="29"/>
        <v>163800</v>
      </c>
      <c r="N85" s="43">
        <f t="shared" si="30"/>
        <v>14590.875</v>
      </c>
      <c r="O85" s="43">
        <f t="shared" si="31"/>
        <v>2843.4697200000001</v>
      </c>
      <c r="P85" s="43">
        <f t="shared" si="32"/>
        <v>18676.32</v>
      </c>
      <c r="Q85" s="43">
        <f t="shared" si="35"/>
        <v>199910.66472</v>
      </c>
      <c r="R85" s="43">
        <v>18</v>
      </c>
      <c r="S85" s="43">
        <f t="shared" si="33"/>
        <v>1474200</v>
      </c>
      <c r="T85" s="43">
        <f t="shared" si="0"/>
        <v>218863.125</v>
      </c>
      <c r="U85" s="43">
        <f t="shared" si="1"/>
        <v>42652.0458</v>
      </c>
      <c r="V85" s="43">
        <f t="shared" si="2"/>
        <v>280144.8</v>
      </c>
      <c r="W85" s="43">
        <f t="shared" si="36"/>
        <v>2015859.9708</v>
      </c>
    </row>
    <row r="86" spans="1:23" s="37" customFormat="1" x14ac:dyDescent="0.25">
      <c r="A86" s="35" t="s">
        <v>110</v>
      </c>
      <c r="B86" s="36">
        <v>2</v>
      </c>
      <c r="C86" s="36">
        <v>352</v>
      </c>
      <c r="D86" s="36">
        <v>0</v>
      </c>
      <c r="E86" s="36">
        <f t="shared" si="37"/>
        <v>352</v>
      </c>
      <c r="F86" s="43">
        <v>20</v>
      </c>
      <c r="G86" s="43">
        <f t="shared" si="28"/>
        <v>1638000</v>
      </c>
      <c r="H86" s="43">
        <f t="shared" si="5"/>
        <v>218863.125</v>
      </c>
      <c r="I86" s="43">
        <f t="shared" si="6"/>
        <v>42652.0458</v>
      </c>
      <c r="J86" s="43">
        <f t="shared" si="7"/>
        <v>280144.8</v>
      </c>
      <c r="K86" s="43">
        <f t="shared" si="34"/>
        <v>4359319.9415999996</v>
      </c>
      <c r="L86" s="43">
        <v>2</v>
      </c>
      <c r="M86" s="43">
        <f t="shared" si="29"/>
        <v>163800</v>
      </c>
      <c r="N86" s="43">
        <f t="shared" si="30"/>
        <v>14590.875</v>
      </c>
      <c r="O86" s="43">
        <f t="shared" si="31"/>
        <v>2843.4697200000001</v>
      </c>
      <c r="P86" s="43">
        <f t="shared" si="32"/>
        <v>18676.32</v>
      </c>
      <c r="Q86" s="43">
        <f t="shared" si="35"/>
        <v>399821.32944</v>
      </c>
      <c r="R86" s="43">
        <v>18</v>
      </c>
      <c r="S86" s="43">
        <f t="shared" si="33"/>
        <v>1474200</v>
      </c>
      <c r="T86" s="43">
        <f t="shared" si="0"/>
        <v>218863.125</v>
      </c>
      <c r="U86" s="43">
        <f t="shared" si="1"/>
        <v>42652.0458</v>
      </c>
      <c r="V86" s="43">
        <f t="shared" si="2"/>
        <v>280144.8</v>
      </c>
      <c r="W86" s="43">
        <f t="shared" si="36"/>
        <v>4031719.9416</v>
      </c>
    </row>
    <row r="87" spans="1:23" s="37" customFormat="1" ht="30" x14ac:dyDescent="0.25">
      <c r="A87" s="35" t="s">
        <v>111</v>
      </c>
      <c r="B87" s="36">
        <v>2</v>
      </c>
      <c r="C87" s="36">
        <v>234</v>
      </c>
      <c r="D87" s="36">
        <v>0</v>
      </c>
      <c r="E87" s="36">
        <f t="shared" si="37"/>
        <v>234</v>
      </c>
      <c r="F87" s="43">
        <v>20</v>
      </c>
      <c r="G87" s="43">
        <f>$C$6*F87</f>
        <v>1638000</v>
      </c>
      <c r="H87" s="43">
        <f t="shared" si="5"/>
        <v>218863.125</v>
      </c>
      <c r="I87" s="43">
        <f t="shared" si="6"/>
        <v>42652.0458</v>
      </c>
      <c r="J87" s="43">
        <f t="shared" si="7"/>
        <v>280144.8</v>
      </c>
      <c r="K87" s="43">
        <f t="shared" si="34"/>
        <v>4359319.9415999996</v>
      </c>
      <c r="L87" s="43">
        <v>2</v>
      </c>
      <c r="M87" s="43">
        <f t="shared" si="29"/>
        <v>163800</v>
      </c>
      <c r="N87" s="43">
        <f t="shared" si="30"/>
        <v>14590.875</v>
      </c>
      <c r="O87" s="43">
        <f t="shared" si="31"/>
        <v>2843.4697200000001</v>
      </c>
      <c r="P87" s="43">
        <f t="shared" si="32"/>
        <v>18676.32</v>
      </c>
      <c r="Q87" s="43">
        <f t="shared" si="35"/>
        <v>399821.32944</v>
      </c>
      <c r="R87" s="43">
        <v>18</v>
      </c>
      <c r="S87" s="43">
        <f t="shared" si="33"/>
        <v>1474200</v>
      </c>
      <c r="T87" s="43">
        <f t="shared" si="0"/>
        <v>218863.125</v>
      </c>
      <c r="U87" s="43">
        <f t="shared" si="1"/>
        <v>42652.0458</v>
      </c>
      <c r="V87" s="43">
        <f t="shared" si="2"/>
        <v>280144.8</v>
      </c>
      <c r="W87" s="43">
        <f t="shared" si="36"/>
        <v>4031719.9416</v>
      </c>
    </row>
    <row r="88" spans="1:23" s="37" customFormat="1" x14ac:dyDescent="0.25">
      <c r="A88" s="35" t="s">
        <v>89</v>
      </c>
      <c r="B88" s="36">
        <v>1</v>
      </c>
      <c r="C88" s="36">
        <v>44</v>
      </c>
      <c r="D88" s="36">
        <v>0</v>
      </c>
      <c r="E88" s="36">
        <f>C88+D88</f>
        <v>44</v>
      </c>
      <c r="F88" s="43">
        <v>20</v>
      </c>
      <c r="G88" s="43">
        <f>$C$6*F88</f>
        <v>1638000</v>
      </c>
      <c r="H88" s="43">
        <f t="shared" si="5"/>
        <v>218863.125</v>
      </c>
      <c r="I88" s="43">
        <f t="shared" si="6"/>
        <v>42652.0458</v>
      </c>
      <c r="J88" s="43">
        <f t="shared" si="7"/>
        <v>280144.8</v>
      </c>
      <c r="K88" s="43">
        <f t="shared" si="34"/>
        <v>2179659.9707999998</v>
      </c>
      <c r="L88" s="43">
        <v>2</v>
      </c>
      <c r="M88" s="43">
        <f t="shared" si="29"/>
        <v>163800</v>
      </c>
      <c r="N88" s="43">
        <f t="shared" si="30"/>
        <v>14590.875</v>
      </c>
      <c r="O88" s="43">
        <f t="shared" si="31"/>
        <v>2843.4697200000001</v>
      </c>
      <c r="P88" s="43">
        <f t="shared" si="32"/>
        <v>18676.32</v>
      </c>
      <c r="Q88" s="43">
        <f t="shared" si="35"/>
        <v>199910.66472</v>
      </c>
      <c r="R88" s="43">
        <v>18</v>
      </c>
      <c r="S88" s="43">
        <f>$C$6*R88</f>
        <v>1474200</v>
      </c>
      <c r="T88" s="43">
        <f t="shared" si="0"/>
        <v>218863.125</v>
      </c>
      <c r="U88" s="43">
        <f t="shared" si="1"/>
        <v>42652.0458</v>
      </c>
      <c r="V88" s="43">
        <f t="shared" si="2"/>
        <v>280144.8</v>
      </c>
      <c r="W88" s="43">
        <f t="shared" si="36"/>
        <v>2015859.9708</v>
      </c>
    </row>
    <row r="89" spans="1:23" s="37" customFormat="1" x14ac:dyDescent="0.25">
      <c r="A89" s="38" t="s">
        <v>113</v>
      </c>
      <c r="B89" s="36">
        <v>1</v>
      </c>
      <c r="C89" s="36">
        <v>0</v>
      </c>
      <c r="D89" s="36">
        <v>0</v>
      </c>
      <c r="E89" s="36">
        <f t="shared" si="37"/>
        <v>0</v>
      </c>
      <c r="F89" s="43">
        <v>20</v>
      </c>
      <c r="G89" s="43">
        <f t="shared" si="28"/>
        <v>1638000</v>
      </c>
      <c r="H89" s="43">
        <f t="shared" ref="H89" si="38">$D$4*12.5%</f>
        <v>218863.125</v>
      </c>
      <c r="I89" s="43">
        <f t="shared" ref="I89" si="39">$D$4*2.436%</f>
        <v>42652.0458</v>
      </c>
      <c r="J89" s="43">
        <f t="shared" ref="J89" si="40">$D$4*16%</f>
        <v>280144.8</v>
      </c>
      <c r="K89" s="43">
        <f t="shared" si="34"/>
        <v>2179659.9707999998</v>
      </c>
      <c r="L89" s="43">
        <v>2</v>
      </c>
      <c r="M89" s="43">
        <f t="shared" si="29"/>
        <v>163800</v>
      </c>
      <c r="N89" s="43">
        <f t="shared" si="30"/>
        <v>14590.875</v>
      </c>
      <c r="O89" s="43">
        <f t="shared" si="31"/>
        <v>2843.4697200000001</v>
      </c>
      <c r="P89" s="43">
        <f t="shared" si="32"/>
        <v>18676.32</v>
      </c>
      <c r="Q89" s="43">
        <f t="shared" si="35"/>
        <v>199910.66472</v>
      </c>
      <c r="R89" s="43">
        <v>18</v>
      </c>
      <c r="S89" s="43">
        <f t="shared" si="33"/>
        <v>1474200</v>
      </c>
      <c r="T89" s="43">
        <f t="shared" ref="T89" si="41">$D$4*12.5%</f>
        <v>218863.125</v>
      </c>
      <c r="U89" s="43">
        <f t="shared" ref="U89" si="42">$D$4*2.436%</f>
        <v>42652.0458</v>
      </c>
      <c r="V89" s="43">
        <f t="shared" ref="V89" si="43">$D$4*16%</f>
        <v>280144.8</v>
      </c>
      <c r="W89" s="43">
        <f t="shared" si="36"/>
        <v>2015859.9708</v>
      </c>
    </row>
    <row r="90" spans="1:23" x14ac:dyDescent="0.25">
      <c r="A90" s="21" t="s">
        <v>120</v>
      </c>
      <c r="B90" s="129">
        <f>SUM(B11:B89)</f>
        <v>103</v>
      </c>
      <c r="C90" s="47"/>
      <c r="D90" s="48">
        <f>SUM(D11:D89)</f>
        <v>155</v>
      </c>
      <c r="E90" s="47"/>
      <c r="F90" s="49"/>
      <c r="G90" s="49"/>
      <c r="H90" s="49"/>
      <c r="I90" s="49"/>
      <c r="J90" s="49"/>
      <c r="K90" s="50">
        <f>SUM(K11:K89)</f>
        <v>189854976.99239999</v>
      </c>
      <c r="L90" s="49"/>
      <c r="M90" s="49"/>
      <c r="N90" s="49"/>
      <c r="O90" s="49"/>
      <c r="P90" s="49"/>
      <c r="Q90" s="50">
        <f>SUM(Q11:Q89)</f>
        <v>17125798.466159992</v>
      </c>
      <c r="R90" s="49"/>
      <c r="S90" s="49"/>
      <c r="T90" s="49"/>
      <c r="U90" s="49"/>
      <c r="V90" s="49"/>
      <c r="W90" s="50">
        <f>SUM(W11:W89)</f>
        <v>176448576.99239993</v>
      </c>
    </row>
    <row r="93" spans="1:23" x14ac:dyDescent="0.25">
      <c r="A93" s="200" t="s">
        <v>140</v>
      </c>
      <c r="B93" s="200"/>
      <c r="C93" s="200"/>
      <c r="D93" s="200"/>
      <c r="E93" s="200"/>
    </row>
    <row r="94" spans="1:23" x14ac:dyDescent="0.25">
      <c r="A94" s="233"/>
      <c r="B94" s="233"/>
      <c r="C94" s="233"/>
      <c r="D94" s="233"/>
      <c r="E94" s="233"/>
    </row>
    <row r="97" spans="1:11" s="1" customFormat="1" x14ac:dyDescent="0.25">
      <c r="A97" s="188" t="s">
        <v>138</v>
      </c>
      <c r="B97" s="188" t="s">
        <v>139</v>
      </c>
      <c r="C97" s="231" t="s">
        <v>267</v>
      </c>
      <c r="D97" s="231"/>
      <c r="E97" s="231"/>
      <c r="F97" s="231"/>
      <c r="G97" s="231"/>
      <c r="H97" s="231"/>
      <c r="I97" s="231"/>
    </row>
    <row r="98" spans="1:11" s="1" customFormat="1" ht="45" x14ac:dyDescent="0.25">
      <c r="A98" s="188"/>
      <c r="B98" s="188"/>
      <c r="C98" s="138" t="s">
        <v>138</v>
      </c>
      <c r="D98" s="139" t="s">
        <v>127</v>
      </c>
      <c r="E98" s="139" t="s">
        <v>141</v>
      </c>
      <c r="F98" s="53" t="s">
        <v>143</v>
      </c>
      <c r="G98" s="53" t="s">
        <v>144</v>
      </c>
      <c r="H98" s="140" t="s">
        <v>269</v>
      </c>
      <c r="I98" s="149" t="s">
        <v>289</v>
      </c>
    </row>
    <row r="99" spans="1:11" s="1" customFormat="1" x14ac:dyDescent="0.25">
      <c r="A99" s="25" t="s">
        <v>146</v>
      </c>
      <c r="B99" s="6">
        <f>SUM(B11:B34)</f>
        <v>24</v>
      </c>
      <c r="C99" s="128">
        <f>C4</f>
        <v>40950</v>
      </c>
      <c r="D99" s="2">
        <v>20</v>
      </c>
      <c r="E99" s="2">
        <f>C99*D99</f>
        <v>819000</v>
      </c>
      <c r="F99" s="2">
        <v>541800</v>
      </c>
      <c r="G99" s="2">
        <f>F99*B99</f>
        <v>13003200</v>
      </c>
      <c r="H99" s="2">
        <f>E99*B99</f>
        <v>19656000</v>
      </c>
      <c r="I99" s="229">
        <f>SUM(G102:H102)</f>
        <v>189869400</v>
      </c>
      <c r="J99" s="1">
        <f>G99+H99</f>
        <v>32659200</v>
      </c>
      <c r="K99" s="1">
        <f>J99/B99</f>
        <v>1360800</v>
      </c>
    </row>
    <row r="100" spans="1:11" s="1" customFormat="1" x14ac:dyDescent="0.25">
      <c r="A100" s="26" t="s">
        <v>147</v>
      </c>
      <c r="B100" s="6">
        <f>SUM(B35:B68)</f>
        <v>34</v>
      </c>
      <c r="C100" s="128">
        <f>C5</f>
        <v>59850</v>
      </c>
      <c r="D100" s="2">
        <v>20</v>
      </c>
      <c r="E100" s="2">
        <f>C100*D100</f>
        <v>1197000</v>
      </c>
      <c r="F100" s="2">
        <f>F99</f>
        <v>541800</v>
      </c>
      <c r="G100" s="2">
        <f t="shared" ref="G100:G101" si="44">F100*B100</f>
        <v>18421200</v>
      </c>
      <c r="H100" s="2">
        <f t="shared" ref="H100:H101" si="45">E100*B100</f>
        <v>40698000</v>
      </c>
      <c r="I100" s="229"/>
      <c r="J100" s="1">
        <f t="shared" ref="J100:J101" si="46">G100+H100</f>
        <v>59119200</v>
      </c>
      <c r="K100" s="1">
        <f>J100/B100</f>
        <v>1738800</v>
      </c>
    </row>
    <row r="101" spans="1:11" s="1" customFormat="1" x14ac:dyDescent="0.25">
      <c r="A101" s="27" t="s">
        <v>148</v>
      </c>
      <c r="B101" s="6">
        <f>SUM(B69:B89)</f>
        <v>45</v>
      </c>
      <c r="C101" s="128">
        <f>C6</f>
        <v>81900</v>
      </c>
      <c r="D101" s="2">
        <v>20</v>
      </c>
      <c r="E101" s="2">
        <f>C101*D101</f>
        <v>1638000</v>
      </c>
      <c r="F101" s="2">
        <f>F99</f>
        <v>541800</v>
      </c>
      <c r="G101" s="2">
        <f t="shared" si="44"/>
        <v>24381000</v>
      </c>
      <c r="H101" s="2">
        <f t="shared" si="45"/>
        <v>73710000</v>
      </c>
      <c r="I101" s="229"/>
      <c r="J101" s="1">
        <f t="shared" si="46"/>
        <v>98091000</v>
      </c>
      <c r="K101" s="1">
        <f>J101/B101</f>
        <v>2179800</v>
      </c>
    </row>
    <row r="102" spans="1:11" s="1" customFormat="1" x14ac:dyDescent="0.25">
      <c r="A102" s="8"/>
      <c r="B102"/>
      <c r="C102"/>
      <c r="D102"/>
      <c r="E102"/>
      <c r="G102" s="15">
        <f>SUM(G99:G101)</f>
        <v>55805400</v>
      </c>
      <c r="H102" s="15">
        <f>SUM(H99:H101)</f>
        <v>134064000</v>
      </c>
      <c r="I102" s="229"/>
    </row>
    <row r="105" spans="1:11" x14ac:dyDescent="0.25">
      <c r="C105" s="232" t="s">
        <v>268</v>
      </c>
      <c r="D105" s="232"/>
      <c r="E105" s="232"/>
      <c r="F105" s="232"/>
      <c r="G105" s="232"/>
      <c r="H105" s="232"/>
      <c r="I105" s="232"/>
    </row>
    <row r="106" spans="1:11" ht="45" x14ac:dyDescent="0.25">
      <c r="C106" s="141" t="s">
        <v>138</v>
      </c>
      <c r="D106" s="139" t="s">
        <v>127</v>
      </c>
      <c r="E106" s="139" t="s">
        <v>141</v>
      </c>
      <c r="F106" s="53" t="s">
        <v>143</v>
      </c>
      <c r="G106" s="53" t="s">
        <v>144</v>
      </c>
      <c r="H106" s="149" t="s">
        <v>269</v>
      </c>
      <c r="I106" s="149" t="s">
        <v>289</v>
      </c>
    </row>
    <row r="107" spans="1:11" x14ac:dyDescent="0.25">
      <c r="C107" s="25" t="s">
        <v>146</v>
      </c>
      <c r="D107" s="2">
        <v>2</v>
      </c>
      <c r="E107" s="2">
        <f>C99*D107</f>
        <v>81900</v>
      </c>
      <c r="F107" s="2">
        <v>36200</v>
      </c>
      <c r="G107" s="2">
        <f>F107*B99</f>
        <v>868800</v>
      </c>
      <c r="H107" s="2">
        <f>E107*B99</f>
        <v>1965600</v>
      </c>
      <c r="I107" s="229">
        <f>SUM(G110:H110)</f>
        <v>17135000</v>
      </c>
      <c r="J107" s="1">
        <f>G107+H107</f>
        <v>2834400</v>
      </c>
      <c r="K107" s="1">
        <f>J107/B99</f>
        <v>118100</v>
      </c>
    </row>
    <row r="108" spans="1:11" x14ac:dyDescent="0.25">
      <c r="C108" s="26" t="s">
        <v>147</v>
      </c>
      <c r="D108" s="2">
        <v>2</v>
      </c>
      <c r="E108" s="2">
        <f t="shared" ref="E108:E109" si="47">C100*D108</f>
        <v>119700</v>
      </c>
      <c r="F108" s="2">
        <f>F107</f>
        <v>36200</v>
      </c>
      <c r="G108" s="2">
        <f t="shared" ref="G108:G109" si="48">F108*B100</f>
        <v>1230800</v>
      </c>
      <c r="H108" s="2">
        <f t="shared" ref="H108:H109" si="49">E108*B100</f>
        <v>4069800</v>
      </c>
      <c r="I108" s="229"/>
      <c r="J108" s="1">
        <f t="shared" ref="J108:J109" si="50">G108+H108</f>
        <v>5300600</v>
      </c>
      <c r="K108" s="1">
        <f t="shared" ref="K108:K109" si="51">J108/B100</f>
        <v>155900</v>
      </c>
    </row>
    <row r="109" spans="1:11" x14ac:dyDescent="0.25">
      <c r="C109" s="27" t="s">
        <v>148</v>
      </c>
      <c r="D109" s="2">
        <v>2</v>
      </c>
      <c r="E109" s="2">
        <f t="shared" si="47"/>
        <v>163800</v>
      </c>
      <c r="F109" s="2">
        <f>F107</f>
        <v>36200</v>
      </c>
      <c r="G109" s="2">
        <f t="shared" si="48"/>
        <v>1629000</v>
      </c>
      <c r="H109" s="2">
        <f t="shared" si="49"/>
        <v>7371000</v>
      </c>
      <c r="I109" s="229"/>
      <c r="J109" s="1">
        <f t="shared" si="50"/>
        <v>9000000</v>
      </c>
      <c r="K109" s="1">
        <f t="shared" si="51"/>
        <v>200000</v>
      </c>
    </row>
    <row r="110" spans="1:11" x14ac:dyDescent="0.25">
      <c r="G110" s="15">
        <f>SUM(G107:G109)</f>
        <v>3728600</v>
      </c>
      <c r="H110" s="15">
        <f>SUM(H107:H109)</f>
        <v>13406400</v>
      </c>
      <c r="I110" s="229"/>
    </row>
    <row r="114" spans="1:7" s="1" customFormat="1" x14ac:dyDescent="0.25">
      <c r="A114" s="8" t="s">
        <v>153</v>
      </c>
      <c r="B114"/>
      <c r="C114"/>
      <c r="D114"/>
      <c r="E114"/>
    </row>
    <row r="115" spans="1:7" s="1" customFormat="1" x14ac:dyDescent="0.25">
      <c r="A115" s="188" t="s">
        <v>138</v>
      </c>
      <c r="B115" s="223" t="s">
        <v>258</v>
      </c>
      <c r="C115" s="223"/>
      <c r="D115" s="224" t="s">
        <v>259</v>
      </c>
      <c r="E115" s="224"/>
    </row>
    <row r="116" spans="1:7" s="1" customFormat="1" x14ac:dyDescent="0.25">
      <c r="A116" s="188"/>
      <c r="B116" s="132" t="s">
        <v>128</v>
      </c>
      <c r="C116" s="132" t="s">
        <v>154</v>
      </c>
      <c r="D116" s="132" t="s">
        <v>128</v>
      </c>
      <c r="E116" s="132" t="s">
        <v>154</v>
      </c>
    </row>
    <row r="117" spans="1:7" s="1" customFormat="1" x14ac:dyDescent="0.25">
      <c r="A117" s="25" t="s">
        <v>146</v>
      </c>
      <c r="B117" s="2">
        <f>H99</f>
        <v>19656000</v>
      </c>
      <c r="C117" s="2">
        <f>G99</f>
        <v>13003200</v>
      </c>
      <c r="D117" s="2">
        <f>H107</f>
        <v>1965600</v>
      </c>
      <c r="E117" s="2">
        <f>G107</f>
        <v>868800</v>
      </c>
    </row>
    <row r="118" spans="1:7" s="1" customFormat="1" x14ac:dyDescent="0.25">
      <c r="A118" s="26" t="s">
        <v>147</v>
      </c>
      <c r="B118" s="2">
        <f t="shared" ref="B118:B119" si="52">H100</f>
        <v>40698000</v>
      </c>
      <c r="C118" s="2">
        <f t="shared" ref="C118:C119" si="53">G100</f>
        <v>18421200</v>
      </c>
      <c r="D118" s="2">
        <f t="shared" ref="D118:D119" si="54">H108</f>
        <v>4069800</v>
      </c>
      <c r="E118" s="2">
        <f t="shared" ref="E118:E119" si="55">G108</f>
        <v>1230800</v>
      </c>
    </row>
    <row r="119" spans="1:7" s="1" customFormat="1" x14ac:dyDescent="0.25">
      <c r="A119" s="27" t="s">
        <v>148</v>
      </c>
      <c r="B119" s="2">
        <f t="shared" si="52"/>
        <v>73710000</v>
      </c>
      <c r="C119" s="2">
        <f t="shared" si="53"/>
        <v>24381000</v>
      </c>
      <c r="D119" s="2">
        <f t="shared" si="54"/>
        <v>7371000</v>
      </c>
      <c r="E119" s="2">
        <f t="shared" si="55"/>
        <v>1629000</v>
      </c>
    </row>
    <row r="120" spans="1:7" s="1" customFormat="1" x14ac:dyDescent="0.25">
      <c r="A120" s="60" t="s">
        <v>156</v>
      </c>
      <c r="B120" s="15">
        <f t="shared" ref="B120:E120" si="56">SUM(B117:B119)</f>
        <v>134064000</v>
      </c>
      <c r="C120" s="15">
        <f>SUM(C117:C119)</f>
        <v>55805400</v>
      </c>
      <c r="D120" s="15">
        <f t="shared" si="56"/>
        <v>13406400</v>
      </c>
      <c r="E120" s="15">
        <f t="shared" si="56"/>
        <v>3728600</v>
      </c>
    </row>
    <row r="121" spans="1:7" s="1" customFormat="1" x14ac:dyDescent="0.25">
      <c r="A121" s="60" t="s">
        <v>155</v>
      </c>
      <c r="B121" s="190">
        <f>SUM(B120:C120)</f>
        <v>189869400</v>
      </c>
      <c r="C121" s="226"/>
      <c r="D121" s="190">
        <f>D120+E120</f>
        <v>17135000</v>
      </c>
      <c r="E121" s="226"/>
      <c r="F121" s="1">
        <f>D121*26.1%</f>
        <v>4472235</v>
      </c>
      <c r="G121" s="1">
        <f>D121+F121</f>
        <v>21607235</v>
      </c>
    </row>
    <row r="123" spans="1:7" s="1" customFormat="1" x14ac:dyDescent="0.25">
      <c r="A123" s="200" t="s">
        <v>158</v>
      </c>
      <c r="B123" s="200"/>
      <c r="C123"/>
      <c r="D123"/>
      <c r="E123"/>
    </row>
    <row r="124" spans="1:7" s="1" customFormat="1" x14ac:dyDescent="0.25">
      <c r="A124" s="62" t="s">
        <v>128</v>
      </c>
      <c r="B124" s="2">
        <f>B120+D120</f>
        <v>147470400</v>
      </c>
      <c r="C124" s="227"/>
      <c r="D124"/>
      <c r="E124"/>
    </row>
    <row r="125" spans="1:7" s="1" customFormat="1" x14ac:dyDescent="0.25">
      <c r="A125" s="62" t="s">
        <v>159</v>
      </c>
      <c r="B125" s="2">
        <f>C120+E120</f>
        <v>59534000</v>
      </c>
      <c r="C125" s="228"/>
      <c r="D125"/>
      <c r="E125"/>
    </row>
    <row r="126" spans="1:7" s="1" customFormat="1" x14ac:dyDescent="0.25">
      <c r="A126" s="63" t="s">
        <v>173</v>
      </c>
      <c r="B126" s="15">
        <f>SUM(B124:B125)</f>
        <v>207004400</v>
      </c>
      <c r="C126"/>
      <c r="D126"/>
      <c r="E126"/>
    </row>
    <row r="129" spans="1:7" s="1" customFormat="1" x14ac:dyDescent="0.25">
      <c r="A129" s="8"/>
    </row>
    <row r="130" spans="1:7" s="1" customFormat="1" x14ac:dyDescent="0.25">
      <c r="A130" s="200" t="s">
        <v>174</v>
      </c>
      <c r="B130" s="200"/>
    </row>
    <row r="131" spans="1:7" s="1" customFormat="1" x14ac:dyDescent="0.25">
      <c r="A131" s="62" t="s">
        <v>128</v>
      </c>
      <c r="B131" s="2">
        <f>B124</f>
        <v>147470400</v>
      </c>
    </row>
    <row r="132" spans="1:7" s="1" customFormat="1" x14ac:dyDescent="0.25">
      <c r="A132" s="62" t="s">
        <v>159</v>
      </c>
      <c r="B132" s="2">
        <f>B125</f>
        <v>59534000</v>
      </c>
    </row>
    <row r="133" spans="1:7" s="1" customFormat="1" x14ac:dyDescent="0.25">
      <c r="A133" s="62" t="s">
        <v>206</v>
      </c>
      <c r="B133" s="2">
        <v>0</v>
      </c>
      <c r="C133" s="1" t="s">
        <v>244</v>
      </c>
    </row>
    <row r="134" spans="1:7" s="1" customFormat="1" x14ac:dyDescent="0.25">
      <c r="A134" s="63" t="s">
        <v>120</v>
      </c>
      <c r="B134" s="15">
        <f>SUM(B131:B133)</f>
        <v>207004400</v>
      </c>
      <c r="C134" s="1">
        <f>B134*5%</f>
        <v>10350220</v>
      </c>
      <c r="D134" s="1">
        <f>C134-D136</f>
        <v>697604.82800000906</v>
      </c>
    </row>
    <row r="135" spans="1:7" s="1" customFormat="1" ht="32.25" customHeight="1" x14ac:dyDescent="0.25">
      <c r="A135" s="63" t="s">
        <v>217</v>
      </c>
      <c r="B135" s="15">
        <f>B134*26.1%</f>
        <v>54028148.399999999</v>
      </c>
      <c r="C135" s="144" t="s">
        <v>275</v>
      </c>
      <c r="D135" s="144"/>
      <c r="E135" s="147"/>
      <c r="F135" s="147"/>
      <c r="G135" s="140"/>
    </row>
    <row r="136" spans="1:7" s="1" customFormat="1" x14ac:dyDescent="0.25">
      <c r="A136" s="63" t="s">
        <v>214</v>
      </c>
      <c r="B136" s="15">
        <f>SUM(B134:B135)</f>
        <v>261032548.40000001</v>
      </c>
      <c r="C136" s="2">
        <f>B136-E140</f>
        <v>216657015.17199999</v>
      </c>
      <c r="D136" s="2">
        <f>C136-B134</f>
        <v>9652615.1719999909</v>
      </c>
      <c r="E136" s="148"/>
      <c r="F136" s="148"/>
      <c r="G136" s="2"/>
    </row>
    <row r="137" spans="1:7" s="1" customFormat="1" x14ac:dyDescent="0.25">
      <c r="A137" s="8"/>
      <c r="B137"/>
    </row>
    <row r="138" spans="1:7" s="1" customFormat="1" x14ac:dyDescent="0.25">
      <c r="A138" s="8"/>
      <c r="B138"/>
      <c r="C138" s="190" t="s">
        <v>243</v>
      </c>
      <c r="D138" s="190"/>
      <c r="E138" s="190"/>
    </row>
    <row r="139" spans="1:7" s="1" customFormat="1" x14ac:dyDescent="0.25">
      <c r="A139" s="200" t="s">
        <v>270</v>
      </c>
      <c r="B139" s="221"/>
      <c r="C139" s="125">
        <v>0.17</v>
      </c>
      <c r="D139" s="125">
        <v>0.157</v>
      </c>
      <c r="E139" s="15" t="s">
        <v>212</v>
      </c>
    </row>
    <row r="140" spans="1:7" s="1" customFormat="1" x14ac:dyDescent="0.25">
      <c r="A140" s="62" t="s">
        <v>271</v>
      </c>
      <c r="B140" s="123">
        <f>B136-B133</f>
        <v>261032548.40000001</v>
      </c>
      <c r="C140" s="222">
        <f>B140*C139</f>
        <v>44375533.228000008</v>
      </c>
      <c r="D140" s="222">
        <f>B141*D139</f>
        <v>0</v>
      </c>
      <c r="E140" s="225">
        <f>SUM(C140:D142)</f>
        <v>44375533.228000008</v>
      </c>
    </row>
    <row r="141" spans="1:7" s="1" customFormat="1" x14ac:dyDescent="0.25">
      <c r="A141" s="62" t="s">
        <v>272</v>
      </c>
      <c r="B141" s="123">
        <f>B136-B140</f>
        <v>0</v>
      </c>
      <c r="C141" s="222"/>
      <c r="D141" s="222"/>
      <c r="E141" s="225"/>
    </row>
    <row r="142" spans="1:7" s="1" customFormat="1" x14ac:dyDescent="0.25">
      <c r="A142" s="63" t="s">
        <v>160</v>
      </c>
      <c r="B142" s="124">
        <f>SUM(B140:B141)</f>
        <v>261032548.40000001</v>
      </c>
      <c r="C142" s="222"/>
      <c r="D142" s="222"/>
      <c r="E142" s="225"/>
    </row>
    <row r="143" spans="1:7" s="1" customFormat="1" x14ac:dyDescent="0.25">
      <c r="A143" s="8"/>
      <c r="B143" s="86"/>
      <c r="E143" s="86"/>
    </row>
    <row r="144" spans="1:7" s="1" customFormat="1" x14ac:dyDescent="0.25">
      <c r="A144" s="8"/>
      <c r="B144"/>
    </row>
    <row r="147" spans="1:5" ht="30" customHeight="1" x14ac:dyDescent="0.25">
      <c r="A147" s="230"/>
      <c r="B147" s="230"/>
      <c r="C147" s="230"/>
    </row>
    <row r="149" spans="1:5" x14ac:dyDescent="0.25">
      <c r="C149" t="s">
        <v>323</v>
      </c>
      <c r="D149" s="1">
        <v>261002762</v>
      </c>
      <c r="E149">
        <v>277938019</v>
      </c>
    </row>
    <row r="150" spans="1:5" x14ac:dyDescent="0.25">
      <c r="C150" t="s">
        <v>324</v>
      </c>
      <c r="D150" s="1">
        <f>E149-D149</f>
        <v>16935257</v>
      </c>
    </row>
    <row r="151" spans="1:5" x14ac:dyDescent="0.25">
      <c r="D151" s="1"/>
    </row>
  </sheetData>
  <mergeCells count="26">
    <mergeCell ref="A147:C147"/>
    <mergeCell ref="I107:I110"/>
    <mergeCell ref="C97:I97"/>
    <mergeCell ref="C105:I105"/>
    <mergeCell ref="L9:Q9"/>
    <mergeCell ref="A93:E93"/>
    <mergeCell ref="A94:E94"/>
    <mergeCell ref="F9:K9"/>
    <mergeCell ref="A97:A98"/>
    <mergeCell ref="B97:B98"/>
    <mergeCell ref="R9:W9"/>
    <mergeCell ref="A1:E1"/>
    <mergeCell ref="C138:E138"/>
    <mergeCell ref="A139:B139"/>
    <mergeCell ref="C140:C142"/>
    <mergeCell ref="D140:D142"/>
    <mergeCell ref="A115:A116"/>
    <mergeCell ref="B115:C115"/>
    <mergeCell ref="D115:E115"/>
    <mergeCell ref="E140:E142"/>
    <mergeCell ref="B121:C121"/>
    <mergeCell ref="D121:E121"/>
    <mergeCell ref="A123:B123"/>
    <mergeCell ref="C124:C125"/>
    <mergeCell ref="A130:B130"/>
    <mergeCell ref="I99:I102"/>
  </mergeCells>
  <pageMargins left="0.7" right="0.7" top="0.75" bottom="0.75" header="0.3" footer="0.3"/>
  <pageSetup paperSize="9" orientation="portrait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8"/>
  <sheetViews>
    <sheetView topLeftCell="A7" zoomScale="220" zoomScaleNormal="220" workbookViewId="0">
      <selection activeCell="B17" sqref="B17"/>
    </sheetView>
  </sheetViews>
  <sheetFormatPr baseColWidth="10" defaultRowHeight="15" x14ac:dyDescent="0.25"/>
  <sheetData>
    <row r="1" spans="1:3" x14ac:dyDescent="0.25">
      <c r="A1" s="194" t="s">
        <v>220</v>
      </c>
      <c r="B1" s="194"/>
    </row>
    <row r="2" spans="1:3" x14ac:dyDescent="0.25">
      <c r="A2" t="s">
        <v>126</v>
      </c>
      <c r="B2" s="118">
        <v>10</v>
      </c>
      <c r="C2" t="s">
        <v>255</v>
      </c>
    </row>
    <row r="3" spans="1:3" x14ac:dyDescent="0.25">
      <c r="A3" t="s">
        <v>133</v>
      </c>
      <c r="B3" s="118">
        <v>20</v>
      </c>
      <c r="C3" t="s">
        <v>255</v>
      </c>
    </row>
    <row r="4" spans="1:3" x14ac:dyDescent="0.25">
      <c r="A4" t="s">
        <v>134</v>
      </c>
      <c r="B4" s="118">
        <v>19</v>
      </c>
      <c r="C4" t="s">
        <v>255</v>
      </c>
    </row>
    <row r="5" spans="1:3" x14ac:dyDescent="0.25">
      <c r="A5" t="s">
        <v>135</v>
      </c>
      <c r="B5" s="118">
        <v>19</v>
      </c>
      <c r="C5" t="s">
        <v>255</v>
      </c>
    </row>
    <row r="6" spans="1:3" x14ac:dyDescent="0.25">
      <c r="A6" t="s">
        <v>136</v>
      </c>
      <c r="B6" s="118">
        <v>19</v>
      </c>
      <c r="C6" t="s">
        <v>255</v>
      </c>
    </row>
    <row r="7" spans="1:3" x14ac:dyDescent="0.25">
      <c r="A7" t="s">
        <v>137</v>
      </c>
      <c r="B7" s="118">
        <v>9</v>
      </c>
      <c r="C7" t="s">
        <v>255</v>
      </c>
    </row>
    <row r="8" spans="1:3" x14ac:dyDescent="0.25">
      <c r="A8" t="s">
        <v>157</v>
      </c>
      <c r="B8" s="118">
        <v>15</v>
      </c>
      <c r="C8" t="s">
        <v>256</v>
      </c>
    </row>
    <row r="9" spans="1:3" x14ac:dyDescent="0.25">
      <c r="B9">
        <f>SUM(B2:B8)</f>
        <v>111</v>
      </c>
    </row>
    <row r="10" spans="1:3" x14ac:dyDescent="0.25">
      <c r="A10" s="194" t="s">
        <v>221</v>
      </c>
      <c r="B10" s="194"/>
    </row>
    <row r="11" spans="1:3" x14ac:dyDescent="0.25">
      <c r="A11" t="s">
        <v>157</v>
      </c>
      <c r="B11" s="118">
        <v>4</v>
      </c>
      <c r="C11" t="s">
        <v>235</v>
      </c>
    </row>
    <row r="12" spans="1:3" x14ac:dyDescent="0.25">
      <c r="A12" t="s">
        <v>236</v>
      </c>
      <c r="B12" s="118">
        <v>19</v>
      </c>
      <c r="C12" t="s">
        <v>237</v>
      </c>
    </row>
    <row r="14" spans="1:3" x14ac:dyDescent="0.25">
      <c r="A14" s="194" t="s">
        <v>257</v>
      </c>
      <c r="B14" s="194"/>
    </row>
    <row r="15" spans="1:3" x14ac:dyDescent="0.25">
      <c r="A15" t="s">
        <v>258</v>
      </c>
      <c r="B15">
        <v>22</v>
      </c>
    </row>
    <row r="16" spans="1:3" x14ac:dyDescent="0.25">
      <c r="A16" t="s">
        <v>259</v>
      </c>
      <c r="B16">
        <v>16</v>
      </c>
    </row>
    <row r="17" spans="1:3" x14ac:dyDescent="0.25">
      <c r="A17" t="s">
        <v>260</v>
      </c>
      <c r="B17">
        <v>18</v>
      </c>
      <c r="C17" t="s">
        <v>303</v>
      </c>
    </row>
    <row r="18" spans="1:3" x14ac:dyDescent="0.25">
      <c r="B18">
        <f>SUM(B15:B17)</f>
        <v>56</v>
      </c>
    </row>
  </sheetData>
  <mergeCells count="3">
    <mergeCell ref="A10:B10"/>
    <mergeCell ref="A1:B1"/>
    <mergeCell ref="A14:B14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85"/>
  <sheetViews>
    <sheetView topLeftCell="A46" zoomScale="145" zoomScaleNormal="145" workbookViewId="0">
      <selection activeCell="B55" sqref="B55:C55"/>
    </sheetView>
  </sheetViews>
  <sheetFormatPr baseColWidth="10" defaultRowHeight="15" x14ac:dyDescent="0.25"/>
  <cols>
    <col min="1" max="1" width="26.85546875" customWidth="1"/>
    <col min="2" max="2" width="18.7109375" customWidth="1"/>
    <col min="3" max="3" width="21.85546875" customWidth="1"/>
    <col min="4" max="4" width="20.28515625" customWidth="1"/>
    <col min="5" max="5" width="29" customWidth="1"/>
    <col min="6" max="6" width="25.28515625" customWidth="1"/>
    <col min="7" max="7" width="21.140625" customWidth="1"/>
    <col min="8" max="8" width="19" customWidth="1"/>
    <col min="9" max="9" width="26.5703125" customWidth="1"/>
    <col min="11" max="11" width="13.7109375" customWidth="1"/>
    <col min="12" max="12" width="13.28515625" style="1" bestFit="1" customWidth="1"/>
    <col min="13" max="13" width="11.42578125" style="1"/>
  </cols>
  <sheetData>
    <row r="1" spans="1:18" x14ac:dyDescent="0.25">
      <c r="A1" s="194" t="s">
        <v>0</v>
      </c>
      <c r="B1" s="194"/>
      <c r="C1" s="194"/>
      <c r="D1" s="194"/>
      <c r="E1" s="194"/>
      <c r="F1" s="194"/>
      <c r="G1" s="194"/>
      <c r="H1" s="194"/>
      <c r="I1" s="194"/>
      <c r="J1" s="194"/>
    </row>
    <row r="3" spans="1:18" x14ac:dyDescent="0.25">
      <c r="A3" t="s">
        <v>1</v>
      </c>
    </row>
    <row r="4" spans="1:18" x14ac:dyDescent="0.25">
      <c r="A4" t="s">
        <v>4</v>
      </c>
    </row>
    <row r="5" spans="1:18" x14ac:dyDescent="0.25">
      <c r="A5" t="s">
        <v>229</v>
      </c>
    </row>
    <row r="6" spans="1:18" x14ac:dyDescent="0.25">
      <c r="A6" t="s">
        <v>3</v>
      </c>
    </row>
    <row r="7" spans="1:18" x14ac:dyDescent="0.25">
      <c r="A7" t="s">
        <v>230</v>
      </c>
    </row>
    <row r="8" spans="1:18" x14ac:dyDescent="0.25">
      <c r="A8" t="s">
        <v>9</v>
      </c>
    </row>
    <row r="9" spans="1:18" x14ac:dyDescent="0.25">
      <c r="A9" t="s">
        <v>8</v>
      </c>
    </row>
    <row r="10" spans="1:18" x14ac:dyDescent="0.25">
      <c r="A10" t="s">
        <v>231</v>
      </c>
    </row>
    <row r="11" spans="1:18" x14ac:dyDescent="0.25">
      <c r="A11" t="s">
        <v>232</v>
      </c>
    </row>
    <row r="12" spans="1:18" x14ac:dyDescent="0.25">
      <c r="N12" t="s">
        <v>165</v>
      </c>
      <c r="Q12" s="1"/>
      <c r="R12" s="1"/>
    </row>
    <row r="13" spans="1:18" x14ac:dyDescent="0.25">
      <c r="A13" s="84"/>
      <c r="B13" s="84"/>
      <c r="C13" s="84"/>
      <c r="D13" s="84"/>
      <c r="E13" s="84"/>
      <c r="F13" s="84"/>
      <c r="Q13" s="1"/>
      <c r="R13" s="1"/>
    </row>
    <row r="14" spans="1:18" ht="30" x14ac:dyDescent="0.25">
      <c r="A14" s="195" t="s">
        <v>15</v>
      </c>
      <c r="B14" s="188" t="s">
        <v>202</v>
      </c>
      <c r="C14" s="105" t="s">
        <v>203</v>
      </c>
      <c r="D14" s="106" t="s">
        <v>193</v>
      </c>
      <c r="E14" s="188" t="s">
        <v>194</v>
      </c>
      <c r="F14" s="84"/>
      <c r="N14" s="208" t="s">
        <v>171</v>
      </c>
      <c r="O14" s="209"/>
      <c r="P14" s="209"/>
      <c r="Q14" s="209"/>
      <c r="R14" s="210"/>
    </row>
    <row r="15" spans="1:18" x14ac:dyDescent="0.25">
      <c r="A15" s="195"/>
      <c r="B15" s="188"/>
      <c r="C15" s="80">
        <v>1.2999999999999999E-2</v>
      </c>
      <c r="D15" s="69">
        <v>5.5100000000000003E-2</v>
      </c>
      <c r="E15" s="188"/>
      <c r="F15" s="84"/>
      <c r="N15" s="106" t="s">
        <v>15</v>
      </c>
      <c r="O15" s="106" t="s">
        <v>166</v>
      </c>
      <c r="P15" s="106" t="s">
        <v>16</v>
      </c>
      <c r="Q15" s="66" t="s">
        <v>17</v>
      </c>
      <c r="R15" s="66" t="s">
        <v>18</v>
      </c>
    </row>
    <row r="16" spans="1:18" x14ac:dyDescent="0.25">
      <c r="A16" s="6" t="s">
        <v>176</v>
      </c>
      <c r="B16" s="2">
        <v>3624</v>
      </c>
      <c r="C16" s="2">
        <f>B16*$C$15</f>
        <v>47.111999999999995</v>
      </c>
      <c r="D16" s="2">
        <f>(B16+C16)*$D$15</f>
        <v>202.27827120000001</v>
      </c>
      <c r="E16" s="2">
        <v>3826</v>
      </c>
      <c r="F16" s="84"/>
      <c r="G16" s="1"/>
      <c r="H16" s="1"/>
      <c r="N16" s="6" t="s">
        <v>167</v>
      </c>
      <c r="O16" s="6" t="s">
        <v>170</v>
      </c>
      <c r="P16" s="6">
        <v>2</v>
      </c>
      <c r="Q16" s="2">
        <v>1500000</v>
      </c>
      <c r="R16" s="2">
        <f>Q16*P16</f>
        <v>3000000</v>
      </c>
    </row>
    <row r="17" spans="1:18" x14ac:dyDescent="0.25">
      <c r="A17" s="6" t="s">
        <v>177</v>
      </c>
      <c r="B17" s="2">
        <v>4938</v>
      </c>
      <c r="C17" s="2">
        <f>B17*$C$15</f>
        <v>64.194000000000003</v>
      </c>
      <c r="D17" s="2">
        <f>(B17+C17)*$D$15</f>
        <v>275.62088940000007</v>
      </c>
      <c r="E17" s="2">
        <v>5214</v>
      </c>
      <c r="F17" s="84"/>
      <c r="G17" s="1"/>
      <c r="H17" s="1"/>
      <c r="N17" s="6" t="s">
        <v>168</v>
      </c>
      <c r="O17" s="6" t="s">
        <v>166</v>
      </c>
      <c r="P17" s="6">
        <v>90</v>
      </c>
      <c r="Q17" s="2">
        <v>35000</v>
      </c>
      <c r="R17" s="2">
        <f t="shared" ref="R17:R18" si="0">Q17*P17</f>
        <v>3150000</v>
      </c>
    </row>
    <row r="18" spans="1:18" x14ac:dyDescent="0.25">
      <c r="A18" s="6" t="s">
        <v>178</v>
      </c>
      <c r="B18" s="2">
        <v>3080000</v>
      </c>
      <c r="C18" s="2">
        <v>0</v>
      </c>
      <c r="D18" s="2">
        <f>(B18+C18)*$D$15</f>
        <v>169708</v>
      </c>
      <c r="E18" s="2">
        <v>3249708</v>
      </c>
      <c r="F18" s="84"/>
      <c r="G18" s="1"/>
      <c r="H18" s="1"/>
      <c r="N18" s="6" t="s">
        <v>169</v>
      </c>
      <c r="O18" s="6" t="s">
        <v>166</v>
      </c>
      <c r="P18" s="6">
        <v>90</v>
      </c>
      <c r="Q18" s="2">
        <v>10000</v>
      </c>
      <c r="R18" s="2">
        <f t="shared" si="0"/>
        <v>900000</v>
      </c>
    </row>
    <row r="19" spans="1:18" x14ac:dyDescent="0.25">
      <c r="A19" s="6" t="s">
        <v>179</v>
      </c>
      <c r="B19" s="2">
        <v>143000</v>
      </c>
      <c r="C19" s="2">
        <v>0</v>
      </c>
      <c r="D19" s="2">
        <f>(B19+C19)*$D$15</f>
        <v>7879.3</v>
      </c>
      <c r="E19" s="2">
        <v>150879</v>
      </c>
      <c r="F19" s="84"/>
      <c r="G19" s="1"/>
      <c r="H19" s="1"/>
      <c r="N19" s="81" t="s">
        <v>204</v>
      </c>
      <c r="O19" s="211" t="s">
        <v>205</v>
      </c>
      <c r="P19" s="211"/>
      <c r="Q19" s="211"/>
      <c r="R19" s="82">
        <v>2500000</v>
      </c>
    </row>
    <row r="20" spans="1:18" x14ac:dyDescent="0.25">
      <c r="A20" s="6" t="s">
        <v>180</v>
      </c>
      <c r="B20" s="2">
        <v>229900</v>
      </c>
      <c r="C20" s="2">
        <v>0</v>
      </c>
      <c r="D20" s="2">
        <f>(B20+C20)*$D$15</f>
        <v>12667.490000000002</v>
      </c>
      <c r="E20" s="2">
        <v>242567</v>
      </c>
      <c r="F20" s="84"/>
      <c r="G20" s="1"/>
      <c r="H20" s="1"/>
      <c r="N20" s="183" t="s">
        <v>116</v>
      </c>
      <c r="O20" s="183"/>
      <c r="P20" s="183"/>
      <c r="Q20" s="183"/>
      <c r="R20" s="15">
        <f>SUM(R16:R19)</f>
        <v>9550000</v>
      </c>
    </row>
    <row r="21" spans="1:18" x14ac:dyDescent="0.25">
      <c r="A21" s="84"/>
      <c r="B21" s="84"/>
      <c r="C21" s="84"/>
      <c r="D21" s="84"/>
      <c r="E21" s="84"/>
      <c r="F21" s="84"/>
      <c r="Q21" s="1"/>
      <c r="R21" s="1"/>
    </row>
    <row r="22" spans="1:18" x14ac:dyDescent="0.25">
      <c r="A22" s="84"/>
      <c r="B22" s="84"/>
      <c r="C22" s="84"/>
      <c r="D22" s="84"/>
      <c r="E22" s="84"/>
      <c r="F22" s="84"/>
      <c r="N22" s="208" t="s">
        <v>172</v>
      </c>
      <c r="O22" s="209"/>
      <c r="P22" s="209"/>
      <c r="Q22" s="209"/>
      <c r="R22" s="210"/>
    </row>
    <row r="23" spans="1:18" x14ac:dyDescent="0.25">
      <c r="A23" s="193" t="s">
        <v>246</v>
      </c>
      <c r="B23" s="193"/>
      <c r="C23" s="193"/>
      <c r="D23" s="193"/>
      <c r="E23" s="226" t="s">
        <v>228</v>
      </c>
      <c r="F23" s="226"/>
      <c r="N23" s="106" t="s">
        <v>15</v>
      </c>
      <c r="O23" s="106" t="s">
        <v>166</v>
      </c>
      <c r="P23" s="106" t="s">
        <v>16</v>
      </c>
      <c r="Q23" s="66" t="s">
        <v>17</v>
      </c>
      <c r="R23" s="66" t="s">
        <v>18</v>
      </c>
    </row>
    <row r="24" spans="1:18" x14ac:dyDescent="0.25">
      <c r="A24" s="107" t="s">
        <v>15</v>
      </c>
      <c r="B24" s="107" t="s">
        <v>16</v>
      </c>
      <c r="C24" s="108" t="s">
        <v>17</v>
      </c>
      <c r="D24" s="108" t="s">
        <v>18</v>
      </c>
      <c r="E24" s="234" t="s">
        <v>227</v>
      </c>
      <c r="F24" s="234"/>
      <c r="G24" s="215"/>
      <c r="H24" s="215"/>
      <c r="N24" s="6" t="s">
        <v>167</v>
      </c>
      <c r="O24" s="6" t="s">
        <v>170</v>
      </c>
      <c r="P24" s="6">
        <v>1</v>
      </c>
      <c r="Q24" s="2">
        <v>1500000</v>
      </c>
      <c r="R24" s="2">
        <f>Q24*P24</f>
        <v>1500000</v>
      </c>
    </row>
    <row r="25" spans="1:18" x14ac:dyDescent="0.25">
      <c r="A25" s="5" t="s">
        <v>10</v>
      </c>
      <c r="B25" s="2">
        <v>512154</v>
      </c>
      <c r="C25" s="2">
        <f>E16</f>
        <v>3826</v>
      </c>
      <c r="D25" s="2">
        <f>B25*C25</f>
        <v>1959501204</v>
      </c>
      <c r="E25" s="2">
        <v>106122</v>
      </c>
      <c r="F25" s="117">
        <f>E25*C25</f>
        <v>406022772</v>
      </c>
      <c r="G25" s="1"/>
      <c r="H25" s="68"/>
      <c r="N25" s="6" t="s">
        <v>168</v>
      </c>
      <c r="O25" s="6" t="s">
        <v>166</v>
      </c>
      <c r="P25" s="6">
        <v>26</v>
      </c>
      <c r="Q25" s="2">
        <v>35000</v>
      </c>
      <c r="R25" s="2">
        <f t="shared" ref="R25:R26" si="1">Q25*P25</f>
        <v>910000</v>
      </c>
    </row>
    <row r="26" spans="1:18" x14ac:dyDescent="0.25">
      <c r="A26" s="5" t="s">
        <v>11</v>
      </c>
      <c r="B26" s="2">
        <v>94239</v>
      </c>
      <c r="C26" s="2">
        <f>E17</f>
        <v>5214</v>
      </c>
      <c r="D26" s="2">
        <f t="shared" ref="D26:D28" si="2">B26*C26</f>
        <v>491362146</v>
      </c>
      <c r="E26" s="2">
        <v>19527</v>
      </c>
      <c r="F26" s="117">
        <f>E26*C26</f>
        <v>101813778</v>
      </c>
      <c r="G26" s="1"/>
      <c r="H26" s="68"/>
      <c r="N26" s="6" t="s">
        <v>169</v>
      </c>
      <c r="O26" s="6" t="s">
        <v>166</v>
      </c>
      <c r="P26" s="6">
        <v>26</v>
      </c>
      <c r="Q26" s="2">
        <v>10000</v>
      </c>
      <c r="R26" s="2">
        <f t="shared" si="1"/>
        <v>260000</v>
      </c>
    </row>
    <row r="27" spans="1:18" x14ac:dyDescent="0.25">
      <c r="A27" s="6" t="s">
        <v>12</v>
      </c>
      <c r="B27" s="6">
        <v>10</v>
      </c>
      <c r="C27" s="2">
        <f>E18</f>
        <v>3249708</v>
      </c>
      <c r="D27" s="2">
        <f t="shared" si="2"/>
        <v>32497080</v>
      </c>
      <c r="E27" s="1"/>
      <c r="F27" s="68"/>
      <c r="G27" s="1"/>
      <c r="H27" s="68"/>
      <c r="N27" s="81" t="s">
        <v>204</v>
      </c>
      <c r="O27" s="212" t="s">
        <v>205</v>
      </c>
      <c r="P27" s="213"/>
      <c r="Q27" s="214"/>
      <c r="R27" s="82">
        <v>1000000</v>
      </c>
    </row>
    <row r="28" spans="1:18" x14ac:dyDescent="0.25">
      <c r="A28" s="6" t="s">
        <v>13</v>
      </c>
      <c r="B28" s="6">
        <f>80*2</f>
        <v>160</v>
      </c>
      <c r="C28" s="2">
        <f>E19</f>
        <v>150879</v>
      </c>
      <c r="D28" s="2">
        <f t="shared" si="2"/>
        <v>24140640</v>
      </c>
      <c r="E28" s="1">
        <f>D28/2</f>
        <v>12070320</v>
      </c>
      <c r="F28" s="68"/>
      <c r="G28" s="1"/>
      <c r="H28" s="68"/>
      <c r="N28" s="183" t="s">
        <v>116</v>
      </c>
      <c r="O28" s="183"/>
      <c r="P28" s="183"/>
      <c r="Q28" s="183"/>
      <c r="R28" s="15">
        <f>SUM(R24:R27)</f>
        <v>3670000</v>
      </c>
    </row>
    <row r="29" spans="1:18" x14ac:dyDescent="0.25">
      <c r="A29" s="6" t="s">
        <v>14</v>
      </c>
      <c r="B29" s="6">
        <f>104*2</f>
        <v>208</v>
      </c>
      <c r="C29" s="2">
        <f>E20</f>
        <v>242567</v>
      </c>
      <c r="D29" s="2">
        <f>C29*B29</f>
        <v>50453936</v>
      </c>
      <c r="E29" s="1">
        <f>D29/2</f>
        <v>25226968</v>
      </c>
      <c r="F29" s="68"/>
      <c r="G29" s="1"/>
      <c r="H29" s="68"/>
      <c r="Q29" s="1"/>
      <c r="R29" s="1"/>
    </row>
    <row r="30" spans="1:18" x14ac:dyDescent="0.25">
      <c r="A30" s="14" t="s">
        <v>114</v>
      </c>
      <c r="B30" s="183" t="s">
        <v>115</v>
      </c>
      <c r="C30" s="183"/>
      <c r="D30" s="2">
        <f>'proyección inicial procesadoras'!B174</f>
        <v>1161235518.1399701</v>
      </c>
      <c r="E30" s="1"/>
      <c r="F30" s="68"/>
      <c r="G30" s="1"/>
      <c r="H30" s="68"/>
    </row>
    <row r="31" spans="1:18" x14ac:dyDescent="0.25">
      <c r="A31" s="184" t="s">
        <v>116</v>
      </c>
      <c r="B31" s="185"/>
      <c r="C31" s="186"/>
      <c r="D31" s="15">
        <f>SUM(D25:D30)</f>
        <v>3719190524.1399698</v>
      </c>
      <c r="E31" s="1"/>
      <c r="F31" s="1"/>
      <c r="G31" s="1"/>
      <c r="H31" s="1"/>
    </row>
    <row r="32" spans="1:18" x14ac:dyDescent="0.25">
      <c r="A32" s="109"/>
      <c r="B32" s="109"/>
      <c r="C32" s="109"/>
      <c r="D32" s="57"/>
      <c r="E32" s="1"/>
      <c r="F32" s="1"/>
      <c r="G32" s="1"/>
      <c r="H32" s="1"/>
    </row>
    <row r="33" spans="1:9" x14ac:dyDescent="0.25">
      <c r="A33" s="109"/>
      <c r="B33" s="109"/>
      <c r="C33" s="109"/>
      <c r="D33" s="57"/>
      <c r="E33" s="1"/>
      <c r="F33" s="1"/>
      <c r="G33" s="1"/>
      <c r="H33" s="1"/>
    </row>
    <row r="34" spans="1:9" x14ac:dyDescent="0.25">
      <c r="A34" s="226" t="s">
        <v>219</v>
      </c>
      <c r="B34" s="226"/>
      <c r="C34" s="226"/>
      <c r="D34" s="226"/>
      <c r="E34" s="226"/>
      <c r="F34" s="1"/>
      <c r="G34" s="1"/>
      <c r="H34" s="1"/>
    </row>
    <row r="35" spans="1:9" x14ac:dyDescent="0.25">
      <c r="A35" s="108"/>
      <c r="B35" s="235" t="s">
        <v>210</v>
      </c>
      <c r="C35" s="236"/>
      <c r="D35" s="235" t="s">
        <v>211</v>
      </c>
      <c r="E35" s="236"/>
      <c r="F35" s="1"/>
      <c r="G35" s="1"/>
      <c r="H35" s="1"/>
    </row>
    <row r="36" spans="1:9" x14ac:dyDescent="0.25">
      <c r="A36" s="64" t="s">
        <v>15</v>
      </c>
      <c r="B36" s="108" t="s">
        <v>220</v>
      </c>
      <c r="C36" s="108" t="s">
        <v>221</v>
      </c>
      <c r="D36" s="108" t="s">
        <v>220</v>
      </c>
      <c r="E36" s="108" t="s">
        <v>221</v>
      </c>
      <c r="F36" s="1"/>
      <c r="G36" s="1"/>
      <c r="H36" s="1"/>
    </row>
    <row r="37" spans="1:9" x14ac:dyDescent="0.25">
      <c r="A37" s="113" t="s">
        <v>223</v>
      </c>
      <c r="B37" s="115">
        <f>D25</f>
        <v>1959501204</v>
      </c>
      <c r="C37" s="115">
        <f>F25</f>
        <v>406022772</v>
      </c>
      <c r="D37" s="114">
        <v>0</v>
      </c>
      <c r="E37" s="114">
        <v>0</v>
      </c>
      <c r="F37" s="1"/>
      <c r="G37" s="1"/>
      <c r="H37" s="1"/>
    </row>
    <row r="38" spans="1:9" x14ac:dyDescent="0.25">
      <c r="A38" s="113" t="s">
        <v>224</v>
      </c>
      <c r="B38" s="115">
        <f>D26</f>
        <v>491362146</v>
      </c>
      <c r="C38" s="115">
        <f>F26</f>
        <v>101813778</v>
      </c>
      <c r="D38" s="114">
        <v>0</v>
      </c>
      <c r="E38" s="114">
        <v>0</v>
      </c>
      <c r="F38" s="1"/>
      <c r="G38" s="1"/>
      <c r="H38" s="1"/>
    </row>
    <row r="39" spans="1:9" ht="14.25" customHeight="1" x14ac:dyDescent="0.25">
      <c r="A39" s="6" t="s">
        <v>222</v>
      </c>
      <c r="B39" s="116">
        <f>3364200299-(B37+B38)</f>
        <v>913336949</v>
      </c>
      <c r="C39" s="116">
        <f>833687557-(C37+C38)</f>
        <v>325851007</v>
      </c>
      <c r="D39" s="114">
        <f>D30-B39</f>
        <v>247898569.13997006</v>
      </c>
      <c r="E39" s="114">
        <f>'proyección Ad-1  procesadoras'!B185-('proyección general Ad-1'!B39+'proyección general Ad-1'!C39+'proyección general Ad-1'!D39)</f>
        <v>174764604.89982533</v>
      </c>
      <c r="F39" s="1">
        <f>SUM(B39:E39)</f>
        <v>1661851130.0397954</v>
      </c>
    </row>
    <row r="40" spans="1:9" ht="14.25" customHeight="1" x14ac:dyDescent="0.25">
      <c r="A40" s="6" t="s">
        <v>178</v>
      </c>
      <c r="B40" s="116">
        <v>0</v>
      </c>
      <c r="C40" s="116">
        <v>0</v>
      </c>
      <c r="D40" s="114">
        <f>D27</f>
        <v>32497080</v>
      </c>
      <c r="E40" s="114">
        <f>3*C27</f>
        <v>9749124</v>
      </c>
    </row>
    <row r="41" spans="1:9" ht="14.25" customHeight="1" x14ac:dyDescent="0.25">
      <c r="A41" s="6" t="s">
        <v>226</v>
      </c>
      <c r="B41" s="116">
        <v>0</v>
      </c>
      <c r="C41" s="116">
        <v>0</v>
      </c>
      <c r="D41" s="114">
        <f>D28</f>
        <v>24140640</v>
      </c>
      <c r="E41" s="114">
        <v>0</v>
      </c>
    </row>
    <row r="42" spans="1:9" ht="14.25" customHeight="1" x14ac:dyDescent="0.25">
      <c r="A42" s="6" t="s">
        <v>225</v>
      </c>
      <c r="B42" s="116">
        <v>0</v>
      </c>
      <c r="C42" s="116">
        <v>0</v>
      </c>
      <c r="D42" s="114">
        <f>D29</f>
        <v>50453936</v>
      </c>
      <c r="E42" s="114">
        <v>0</v>
      </c>
      <c r="F42" s="68"/>
    </row>
    <row r="43" spans="1:9" ht="14.25" customHeight="1" x14ac:dyDescent="0.25">
      <c r="A43" s="195" t="s">
        <v>248</v>
      </c>
      <c r="B43" s="126">
        <f>SUM(B37:B42)</f>
        <v>3364200299</v>
      </c>
      <c r="C43" s="15">
        <f>SUM(C37:C42)</f>
        <v>833687557</v>
      </c>
      <c r="D43" s="15">
        <f>SUM(D37:D42)</f>
        <v>354990225.13997006</v>
      </c>
      <c r="E43" s="15">
        <f>SUM(E37:E42)</f>
        <v>184513728.89982533</v>
      </c>
      <c r="F43" s="1">
        <f>C43+E43</f>
        <v>1018201285.8998253</v>
      </c>
    </row>
    <row r="44" spans="1:9" ht="14.25" customHeight="1" x14ac:dyDescent="0.25">
      <c r="A44" s="195"/>
      <c r="B44" s="192">
        <f>SUM(B43:C43)</f>
        <v>4197887856</v>
      </c>
      <c r="C44" s="226"/>
      <c r="D44" s="190">
        <f>SUM(D43:E43)</f>
        <v>539503954.0397954</v>
      </c>
      <c r="E44" s="190"/>
      <c r="F44" s="68">
        <f>SUM(B44:E44)</f>
        <v>4737391810.0397949</v>
      </c>
      <c r="G44" s="68"/>
    </row>
    <row r="45" spans="1:9" ht="14.25" customHeight="1" x14ac:dyDescent="0.25">
      <c r="B45" s="192">
        <f>SUM(B44+D44)</f>
        <v>4737391810.0397949</v>
      </c>
      <c r="C45" s="226"/>
      <c r="D45" s="226"/>
      <c r="E45" s="226"/>
    </row>
    <row r="46" spans="1:9" ht="14.25" customHeight="1" x14ac:dyDescent="0.25">
      <c r="C46" s="1"/>
      <c r="D46" s="1"/>
    </row>
    <row r="47" spans="1:9" ht="14.25" customHeight="1" x14ac:dyDescent="0.25">
      <c r="C47" s="1"/>
      <c r="D47" s="1"/>
    </row>
    <row r="48" spans="1:9" ht="14.25" customHeight="1" x14ac:dyDescent="0.25">
      <c r="A48" s="193" t="s">
        <v>247</v>
      </c>
      <c r="B48" s="193"/>
      <c r="C48" s="193"/>
      <c r="D48" s="193"/>
      <c r="F48" s="215"/>
      <c r="G48" s="215"/>
      <c r="H48" s="215"/>
      <c r="I48" s="215"/>
    </row>
    <row r="49" spans="1:9" ht="14.25" customHeight="1" x14ac:dyDescent="0.25">
      <c r="A49" s="122" t="s">
        <v>15</v>
      </c>
      <c r="B49" s="122" t="s">
        <v>16</v>
      </c>
      <c r="C49" s="121" t="s">
        <v>17</v>
      </c>
      <c r="D49" s="121" t="s">
        <v>18</v>
      </c>
      <c r="F49" s="84"/>
      <c r="G49" s="127"/>
      <c r="H49" s="120"/>
      <c r="I49" s="120"/>
    </row>
    <row r="50" spans="1:9" ht="14.25" customHeight="1" x14ac:dyDescent="0.25">
      <c r="A50" s="5" t="s">
        <v>10</v>
      </c>
      <c r="B50" s="2">
        <f>B25+E25</f>
        <v>618276</v>
      </c>
      <c r="C50" s="2">
        <f>C25</f>
        <v>3826</v>
      </c>
      <c r="D50" s="2">
        <f>B50*C50</f>
        <v>2365523976</v>
      </c>
      <c r="F50" s="84"/>
      <c r="G50" s="127"/>
    </row>
    <row r="51" spans="1:9" ht="14.25" customHeight="1" x14ac:dyDescent="0.25">
      <c r="A51" s="5" t="s">
        <v>11</v>
      </c>
      <c r="B51" s="2">
        <f>B26+E26</f>
        <v>113766</v>
      </c>
      <c r="C51" s="2">
        <f>C26</f>
        <v>5214</v>
      </c>
      <c r="D51" s="2">
        <f t="shared" ref="D51:D54" si="3">B51*C51</f>
        <v>593175924</v>
      </c>
      <c r="G51" s="1"/>
    </row>
    <row r="52" spans="1:9" ht="14.25" customHeight="1" x14ac:dyDescent="0.25">
      <c r="A52" s="6" t="s">
        <v>12</v>
      </c>
      <c r="B52" s="6">
        <v>13</v>
      </c>
      <c r="C52" s="2">
        <f>C27</f>
        <v>3249708</v>
      </c>
      <c r="D52" s="2">
        <f t="shared" si="3"/>
        <v>42246204</v>
      </c>
    </row>
    <row r="53" spans="1:9" ht="14.25" customHeight="1" x14ac:dyDescent="0.25">
      <c r="A53" s="6" t="s">
        <v>13</v>
      </c>
      <c r="B53" s="6">
        <v>160</v>
      </c>
      <c r="C53" s="2">
        <f>C28</f>
        <v>150879</v>
      </c>
      <c r="D53" s="2">
        <f t="shared" si="3"/>
        <v>24140640</v>
      </c>
      <c r="G53" s="68"/>
    </row>
    <row r="54" spans="1:9" ht="14.25" customHeight="1" x14ac:dyDescent="0.25">
      <c r="A54" s="6" t="s">
        <v>14</v>
      </c>
      <c r="B54" s="6">
        <v>208</v>
      </c>
      <c r="C54" s="2">
        <f>C29</f>
        <v>242567</v>
      </c>
      <c r="D54" s="2">
        <f t="shared" si="3"/>
        <v>50453936</v>
      </c>
      <c r="G54" s="1"/>
    </row>
    <row r="55" spans="1:9" ht="14.25" customHeight="1" x14ac:dyDescent="0.25">
      <c r="A55" s="14" t="s">
        <v>114</v>
      </c>
      <c r="B55" s="183" t="s">
        <v>115</v>
      </c>
      <c r="C55" s="183"/>
      <c r="D55" s="2">
        <f>'proyección Ad-1  procesadoras'!B185</f>
        <v>1661851130.0397954</v>
      </c>
    </row>
    <row r="56" spans="1:9" ht="14.25" customHeight="1" x14ac:dyDescent="0.25">
      <c r="A56" s="184" t="s">
        <v>116</v>
      </c>
      <c r="B56" s="185"/>
      <c r="C56" s="186"/>
      <c r="D56" s="15">
        <f>SUM(D50:D55)</f>
        <v>4737391810.0397949</v>
      </c>
      <c r="E56" s="1">
        <f>D56-D31</f>
        <v>1018201285.8998251</v>
      </c>
    </row>
    <row r="59" spans="1:9" x14ac:dyDescent="0.25">
      <c r="B59" s="1"/>
      <c r="C59" s="1"/>
      <c r="D59" s="1"/>
      <c r="E59" s="1" t="s">
        <v>252</v>
      </c>
      <c r="F59" s="1">
        <f>B43</f>
        <v>3364200299</v>
      </c>
      <c r="G59" s="187">
        <f>SUM(F59:F60)</f>
        <v>4197887856</v>
      </c>
      <c r="H59" s="1"/>
      <c r="I59" s="1"/>
    </row>
    <row r="60" spans="1:9" x14ac:dyDescent="0.25">
      <c r="B60" s="1"/>
      <c r="C60" s="1"/>
      <c r="D60" s="1"/>
      <c r="E60" s="1" t="s">
        <v>249</v>
      </c>
      <c r="F60" s="1">
        <f>C43</f>
        <v>833687557</v>
      </c>
      <c r="G60" s="187"/>
      <c r="H60" s="1"/>
      <c r="I60" s="1"/>
    </row>
    <row r="61" spans="1:9" x14ac:dyDescent="0.25">
      <c r="A61" s="188" t="s">
        <v>181</v>
      </c>
      <c r="B61" s="188"/>
      <c r="C61" s="188"/>
      <c r="D61" s="1"/>
      <c r="E61" s="1" t="s">
        <v>253</v>
      </c>
      <c r="F61" s="1">
        <f>D43</f>
        <v>354990225.13997006</v>
      </c>
      <c r="G61" s="187">
        <f>SUM(F61:F62)</f>
        <v>539503954.03979516</v>
      </c>
      <c r="H61" s="1"/>
      <c r="I61" s="1"/>
    </row>
    <row r="62" spans="1:9" x14ac:dyDescent="0.25">
      <c r="A62" s="105" t="s">
        <v>182</v>
      </c>
      <c r="B62" s="53" t="s">
        <v>183</v>
      </c>
      <c r="C62" s="53" t="s">
        <v>184</v>
      </c>
      <c r="D62" s="1"/>
      <c r="E62" s="1" t="s">
        <v>250</v>
      </c>
      <c r="F62" s="1">
        <f>F63-(F59+F60+F61)</f>
        <v>184513728.8998251</v>
      </c>
      <c r="G62" s="187"/>
      <c r="H62" s="1"/>
      <c r="I62" s="1"/>
    </row>
    <row r="63" spans="1:9" x14ac:dyDescent="0.25">
      <c r="A63" s="6" t="s">
        <v>185</v>
      </c>
      <c r="B63" s="70">
        <v>0.01</v>
      </c>
      <c r="C63" s="70">
        <v>0.01</v>
      </c>
      <c r="D63" s="1"/>
      <c r="E63" s="83" t="s">
        <v>251</v>
      </c>
      <c r="F63" s="1">
        <f>D56</f>
        <v>4737391810.0397949</v>
      </c>
      <c r="G63" s="1"/>
      <c r="H63" s="1"/>
      <c r="I63" s="1"/>
    </row>
    <row r="64" spans="1:9" x14ac:dyDescent="0.25">
      <c r="A64" s="6" t="s">
        <v>186</v>
      </c>
      <c r="B64" s="70">
        <v>0.04</v>
      </c>
      <c r="C64" s="70">
        <v>0.04</v>
      </c>
      <c r="D64" s="1"/>
      <c r="G64" s="1"/>
      <c r="H64" s="1"/>
      <c r="I64" s="1"/>
    </row>
    <row r="65" spans="1:9" x14ac:dyDescent="0.25">
      <c r="A65" s="6" t="s">
        <v>187</v>
      </c>
      <c r="B65" s="71">
        <v>1.4999999999999999E-2</v>
      </c>
      <c r="C65" s="71">
        <v>1.4999999999999999E-2</v>
      </c>
      <c r="D65" s="1"/>
      <c r="G65" s="1"/>
      <c r="H65" s="1"/>
      <c r="I65" s="1"/>
    </row>
    <row r="66" spans="1:9" x14ac:dyDescent="0.25">
      <c r="A66" s="6" t="s">
        <v>188</v>
      </c>
      <c r="B66" s="70">
        <v>0.01</v>
      </c>
      <c r="C66" s="70">
        <v>0.01</v>
      </c>
      <c r="D66" s="1"/>
    </row>
    <row r="67" spans="1:9" x14ac:dyDescent="0.25">
      <c r="A67" s="6" t="s">
        <v>189</v>
      </c>
      <c r="B67" s="70">
        <v>0.04</v>
      </c>
      <c r="C67" s="70">
        <v>0.04</v>
      </c>
      <c r="D67" s="1"/>
    </row>
    <row r="68" spans="1:9" x14ac:dyDescent="0.25">
      <c r="A68" s="6" t="s">
        <v>190</v>
      </c>
      <c r="B68" s="70">
        <v>0.01</v>
      </c>
      <c r="C68" s="70">
        <v>0.01</v>
      </c>
      <c r="D68" s="1"/>
      <c r="F68" s="1"/>
    </row>
    <row r="69" spans="1:9" x14ac:dyDescent="0.25">
      <c r="A69" s="6" t="s">
        <v>191</v>
      </c>
      <c r="B69" s="71">
        <v>2.5000000000000001E-2</v>
      </c>
      <c r="C69" s="71">
        <v>1.2E-2</v>
      </c>
      <c r="D69" s="1"/>
      <c r="E69" s="86"/>
      <c r="F69" s="86"/>
    </row>
    <row r="70" spans="1:9" x14ac:dyDescent="0.25">
      <c r="A70" s="6" t="s">
        <v>192</v>
      </c>
      <c r="B70" s="71">
        <v>0.02</v>
      </c>
      <c r="C70" s="71">
        <v>0.02</v>
      </c>
      <c r="D70" s="1"/>
      <c r="E70" s="1"/>
      <c r="F70" s="1"/>
    </row>
    <row r="71" spans="1:9" x14ac:dyDescent="0.25">
      <c r="A71" s="73" t="s">
        <v>160</v>
      </c>
      <c r="B71" s="69">
        <f>SUM(B63:B70)</f>
        <v>0.16999999999999998</v>
      </c>
      <c r="C71" s="69">
        <f>SUM(C63:C70)</f>
        <v>0.15699999999999997</v>
      </c>
      <c r="D71" s="1"/>
      <c r="E71" s="1"/>
      <c r="F71" s="1"/>
    </row>
    <row r="72" spans="1:9" x14ac:dyDescent="0.25">
      <c r="E72" s="1"/>
      <c r="F72" s="1"/>
    </row>
    <row r="73" spans="1:9" x14ac:dyDescent="0.25">
      <c r="E73" s="86"/>
      <c r="F73" s="86"/>
    </row>
    <row r="74" spans="1:9" x14ac:dyDescent="0.25">
      <c r="E74" s="1"/>
      <c r="F74" s="1"/>
    </row>
    <row r="75" spans="1:9" x14ac:dyDescent="0.25">
      <c r="F75" s="83"/>
    </row>
    <row r="85" spans="6:6" x14ac:dyDescent="0.25">
      <c r="F85" s="1"/>
    </row>
  </sheetData>
  <mergeCells count="31">
    <mergeCell ref="O19:Q19"/>
    <mergeCell ref="A1:J1"/>
    <mergeCell ref="A14:A15"/>
    <mergeCell ref="B14:B15"/>
    <mergeCell ref="E14:E15"/>
    <mergeCell ref="N14:R14"/>
    <mergeCell ref="H48:I48"/>
    <mergeCell ref="B44:C44"/>
    <mergeCell ref="D44:E44"/>
    <mergeCell ref="A43:A44"/>
    <mergeCell ref="N20:Q20"/>
    <mergeCell ref="N22:R22"/>
    <mergeCell ref="A23:D23"/>
    <mergeCell ref="O27:Q27"/>
    <mergeCell ref="N28:Q28"/>
    <mergeCell ref="E23:F23"/>
    <mergeCell ref="E24:F24"/>
    <mergeCell ref="G24:H24"/>
    <mergeCell ref="A34:E34"/>
    <mergeCell ref="B35:C35"/>
    <mergeCell ref="D35:E35"/>
    <mergeCell ref="B30:C30"/>
    <mergeCell ref="G59:G60"/>
    <mergeCell ref="G61:G62"/>
    <mergeCell ref="B45:E45"/>
    <mergeCell ref="A31:C31"/>
    <mergeCell ref="A61:C61"/>
    <mergeCell ref="A48:D48"/>
    <mergeCell ref="B55:C55"/>
    <mergeCell ref="A56:C56"/>
    <mergeCell ref="F48:G48"/>
  </mergeCell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BA194"/>
  <sheetViews>
    <sheetView topLeftCell="A3" zoomScale="115" zoomScaleNormal="115" workbookViewId="0">
      <pane ySplit="8" topLeftCell="A167" activePane="bottomLeft" state="frozen"/>
      <selection activeCell="A3" sqref="A3"/>
      <selection pane="bottomLeft" activeCell="A182" sqref="A182"/>
    </sheetView>
  </sheetViews>
  <sheetFormatPr baseColWidth="10" defaultRowHeight="15" x14ac:dyDescent="0.25"/>
  <cols>
    <col min="1" max="1" width="37.5703125" style="8" customWidth="1"/>
    <col min="2" max="2" width="18.85546875" customWidth="1"/>
    <col min="3" max="3" width="20.7109375" customWidth="1"/>
    <col min="4" max="4" width="21.42578125" customWidth="1"/>
    <col min="5" max="5" width="16.7109375" customWidth="1"/>
    <col min="6" max="6" width="14.140625" customWidth="1"/>
    <col min="7" max="7" width="16" style="1" customWidth="1"/>
    <col min="8" max="8" width="15.28515625" style="1" customWidth="1"/>
    <col min="9" max="9" width="18.42578125" style="1" customWidth="1"/>
    <col min="10" max="10" width="14.5703125" style="1" customWidth="1"/>
    <col min="11" max="11" width="18.42578125" style="1" customWidth="1"/>
    <col min="12" max="12" width="14.5703125" style="1" customWidth="1"/>
    <col min="13" max="13" width="15.42578125" style="1" customWidth="1"/>
    <col min="14" max="14" width="13.140625" style="1" customWidth="1"/>
    <col min="15" max="15" width="18.42578125" style="1" customWidth="1"/>
    <col min="16" max="16" width="12.140625" style="1" customWidth="1"/>
    <col min="17" max="17" width="18.42578125" style="1" customWidth="1"/>
    <col min="18" max="20" width="11.42578125" style="1" customWidth="1"/>
    <col min="21" max="21" width="18.42578125" style="1" customWidth="1"/>
    <col min="22" max="22" width="13.85546875" style="1" customWidth="1"/>
    <col min="23" max="23" width="18.42578125" style="1" customWidth="1"/>
    <col min="24" max="26" width="11.42578125" style="1"/>
    <col min="27" max="27" width="18.42578125" style="1" bestFit="1" customWidth="1"/>
    <col min="28" max="28" width="12.140625" style="1" bestFit="1" customWidth="1"/>
    <col min="29" max="29" width="18.42578125" style="1" bestFit="1" customWidth="1"/>
    <col min="30" max="32" width="11.42578125" style="1"/>
    <col min="33" max="33" width="18.42578125" style="1" bestFit="1" customWidth="1"/>
    <col min="34" max="34" width="12.140625" style="1" bestFit="1" customWidth="1"/>
    <col min="35" max="35" width="18.42578125" style="1" bestFit="1" customWidth="1"/>
    <col min="37" max="40" width="11.42578125" style="1"/>
    <col min="41" max="41" width="18.85546875" style="1" customWidth="1"/>
    <col min="42" max="46" width="11.42578125" style="1"/>
    <col min="47" max="47" width="18.42578125" style="1" bestFit="1" customWidth="1"/>
    <col min="48" max="52" width="11.42578125" style="1"/>
    <col min="53" max="53" width="17.85546875" style="1" customWidth="1"/>
  </cols>
  <sheetData>
    <row r="1" spans="1:53" x14ac:dyDescent="0.25">
      <c r="A1" s="220" t="s">
        <v>19</v>
      </c>
      <c r="B1" s="220"/>
      <c r="C1" s="220"/>
      <c r="D1" s="220"/>
      <c r="E1" s="220"/>
      <c r="F1" s="220"/>
      <c r="K1" s="1">
        <v>541800</v>
      </c>
      <c r="L1" s="1">
        <v>541660</v>
      </c>
      <c r="M1" s="1">
        <f>K1-L1</f>
        <v>140</v>
      </c>
    </row>
    <row r="2" spans="1:53" x14ac:dyDescent="0.25">
      <c r="A2" s="104"/>
      <c r="B2" s="104"/>
      <c r="C2" s="104"/>
      <c r="D2" s="104"/>
      <c r="E2" s="104"/>
      <c r="F2" s="104"/>
    </row>
    <row r="3" spans="1:53" x14ac:dyDescent="0.25">
      <c r="A3" s="100" t="s">
        <v>123</v>
      </c>
      <c r="B3" s="100" t="s">
        <v>121</v>
      </c>
      <c r="C3" s="100" t="s">
        <v>122</v>
      </c>
      <c r="D3" s="102" t="s">
        <v>124</v>
      </c>
      <c r="E3" s="104"/>
      <c r="F3" s="104"/>
    </row>
    <row r="4" spans="1:53" x14ac:dyDescent="0.25">
      <c r="A4" s="25" t="s">
        <v>254</v>
      </c>
      <c r="B4" s="18">
        <v>1890000</v>
      </c>
      <c r="C4" s="18">
        <f>(B4*65%)/30</f>
        <v>40950</v>
      </c>
      <c r="D4" s="16">
        <v>1750905</v>
      </c>
      <c r="E4" s="93"/>
      <c r="F4" s="104"/>
    </row>
    <row r="5" spans="1:53" x14ac:dyDescent="0.25">
      <c r="A5" s="26" t="s">
        <v>163</v>
      </c>
      <c r="B5" s="19">
        <v>1890000</v>
      </c>
      <c r="C5" s="23">
        <f>(B5*95%)/30</f>
        <v>59850</v>
      </c>
      <c r="D5" s="104"/>
      <c r="E5" s="93"/>
      <c r="F5" s="104"/>
    </row>
    <row r="6" spans="1:53" x14ac:dyDescent="0.25">
      <c r="A6" s="27" t="s">
        <v>125</v>
      </c>
      <c r="B6" s="17">
        <v>1890000</v>
      </c>
      <c r="C6" s="17">
        <f>(B6*130%)/30</f>
        <v>81900</v>
      </c>
      <c r="D6" s="93"/>
      <c r="E6" s="93"/>
      <c r="F6" s="104"/>
    </row>
    <row r="7" spans="1:53" x14ac:dyDescent="0.25">
      <c r="A7" s="104"/>
      <c r="B7" s="104"/>
      <c r="C7" s="104"/>
      <c r="D7" s="104"/>
      <c r="E7" s="104"/>
      <c r="F7" s="104"/>
      <c r="G7" s="1">
        <f>G12-G11</f>
        <v>0</v>
      </c>
    </row>
    <row r="8" spans="1:53" x14ac:dyDescent="0.25">
      <c r="A8" s="104"/>
      <c r="B8" s="104"/>
      <c r="C8" s="104"/>
      <c r="D8" s="104"/>
      <c r="E8" s="104"/>
      <c r="F8" s="104"/>
    </row>
    <row r="9" spans="1:53" x14ac:dyDescent="0.25">
      <c r="A9" s="104"/>
      <c r="B9" s="104"/>
      <c r="C9" s="104"/>
      <c r="D9" s="104"/>
      <c r="E9" s="104"/>
      <c r="F9" s="239" t="s">
        <v>126</v>
      </c>
      <c r="G9" s="239"/>
      <c r="H9" s="239"/>
      <c r="I9" s="239"/>
      <c r="J9" s="239"/>
      <c r="K9" s="239"/>
      <c r="L9" s="219" t="s">
        <v>133</v>
      </c>
      <c r="M9" s="219"/>
      <c r="N9" s="219"/>
      <c r="O9" s="219"/>
      <c r="P9" s="219"/>
      <c r="Q9" s="219"/>
      <c r="R9" s="219" t="s">
        <v>134</v>
      </c>
      <c r="S9" s="219"/>
      <c r="T9" s="219"/>
      <c r="U9" s="219"/>
      <c r="V9" s="219"/>
      <c r="W9" s="219"/>
      <c r="X9" s="219" t="s">
        <v>135</v>
      </c>
      <c r="Y9" s="219"/>
      <c r="Z9" s="219"/>
      <c r="AA9" s="219"/>
      <c r="AB9" s="219"/>
      <c r="AC9" s="219"/>
      <c r="AD9" s="219" t="s">
        <v>136</v>
      </c>
      <c r="AE9" s="219"/>
      <c r="AF9" s="219"/>
      <c r="AG9" s="219"/>
      <c r="AH9" s="219"/>
      <c r="AI9" s="219"/>
      <c r="AJ9" s="219" t="s">
        <v>238</v>
      </c>
      <c r="AK9" s="219"/>
      <c r="AL9" s="219"/>
      <c r="AM9" s="219"/>
      <c r="AN9" s="219"/>
      <c r="AO9" s="219"/>
      <c r="AP9" s="219" t="s">
        <v>157</v>
      </c>
      <c r="AQ9" s="219"/>
      <c r="AR9" s="219"/>
      <c r="AS9" s="219"/>
      <c r="AT9" s="219"/>
      <c r="AU9" s="219"/>
      <c r="AV9" s="219" t="s">
        <v>239</v>
      </c>
      <c r="AW9" s="219"/>
      <c r="AX9" s="219"/>
      <c r="AY9" s="219"/>
      <c r="AZ9" s="219"/>
      <c r="BA9" s="219"/>
    </row>
    <row r="10" spans="1:53" ht="30" x14ac:dyDescent="0.25">
      <c r="A10" s="100" t="s">
        <v>20</v>
      </c>
      <c r="B10" s="100" t="s">
        <v>21</v>
      </c>
      <c r="C10" s="100" t="s">
        <v>117</v>
      </c>
      <c r="D10" s="20" t="s">
        <v>118</v>
      </c>
      <c r="E10" s="20" t="s">
        <v>119</v>
      </c>
      <c r="F10" s="20" t="s">
        <v>127</v>
      </c>
      <c r="G10" s="39" t="s">
        <v>128</v>
      </c>
      <c r="H10" s="40" t="s">
        <v>129</v>
      </c>
      <c r="I10" s="40" t="s">
        <v>130</v>
      </c>
      <c r="J10" s="40" t="s">
        <v>131</v>
      </c>
      <c r="K10" s="40" t="s">
        <v>132</v>
      </c>
      <c r="L10" s="39" t="s">
        <v>127</v>
      </c>
      <c r="M10" s="39" t="s">
        <v>128</v>
      </c>
      <c r="N10" s="40" t="s">
        <v>129</v>
      </c>
      <c r="O10" s="40" t="s">
        <v>130</v>
      </c>
      <c r="P10" s="40" t="s">
        <v>131</v>
      </c>
      <c r="Q10" s="40" t="s">
        <v>132</v>
      </c>
      <c r="R10" s="39" t="s">
        <v>127</v>
      </c>
      <c r="S10" s="39" t="s">
        <v>128</v>
      </c>
      <c r="T10" s="40" t="s">
        <v>129</v>
      </c>
      <c r="U10" s="40" t="s">
        <v>130</v>
      </c>
      <c r="V10" s="40" t="s">
        <v>131</v>
      </c>
      <c r="W10" s="40" t="s">
        <v>132</v>
      </c>
      <c r="X10" s="39" t="s">
        <v>127</v>
      </c>
      <c r="Y10" s="39" t="s">
        <v>128</v>
      </c>
      <c r="Z10" s="40" t="s">
        <v>129</v>
      </c>
      <c r="AA10" s="40" t="s">
        <v>130</v>
      </c>
      <c r="AB10" s="40" t="s">
        <v>131</v>
      </c>
      <c r="AC10" s="40" t="s">
        <v>132</v>
      </c>
      <c r="AD10" s="39" t="s">
        <v>127</v>
      </c>
      <c r="AE10" s="39" t="s">
        <v>128</v>
      </c>
      <c r="AF10" s="40" t="s">
        <v>129</v>
      </c>
      <c r="AG10" s="40" t="s">
        <v>130</v>
      </c>
      <c r="AH10" s="40" t="s">
        <v>131</v>
      </c>
      <c r="AI10" s="40" t="s">
        <v>132</v>
      </c>
      <c r="AJ10" s="39" t="s">
        <v>127</v>
      </c>
      <c r="AK10" s="39" t="s">
        <v>128</v>
      </c>
      <c r="AL10" s="40" t="s">
        <v>129</v>
      </c>
      <c r="AM10" s="40" t="s">
        <v>130</v>
      </c>
      <c r="AN10" s="40" t="s">
        <v>131</v>
      </c>
      <c r="AO10" s="40" t="s">
        <v>132</v>
      </c>
      <c r="AP10" s="39" t="s">
        <v>127</v>
      </c>
      <c r="AQ10" s="39" t="s">
        <v>128</v>
      </c>
      <c r="AR10" s="40" t="s">
        <v>129</v>
      </c>
      <c r="AS10" s="40" t="s">
        <v>130</v>
      </c>
      <c r="AT10" s="40" t="s">
        <v>131</v>
      </c>
      <c r="AU10" s="40" t="s">
        <v>132</v>
      </c>
      <c r="AV10" s="39" t="s">
        <v>127</v>
      </c>
      <c r="AW10" s="39" t="s">
        <v>128</v>
      </c>
      <c r="AX10" s="40" t="s">
        <v>129</v>
      </c>
      <c r="AY10" s="40" t="s">
        <v>130</v>
      </c>
      <c r="AZ10" s="40" t="s">
        <v>131</v>
      </c>
      <c r="BA10" s="40" t="s">
        <v>132</v>
      </c>
    </row>
    <row r="11" spans="1:53" s="31" customFormat="1" x14ac:dyDescent="0.25">
      <c r="A11" s="29" t="s">
        <v>23</v>
      </c>
      <c r="B11" s="30">
        <v>1</v>
      </c>
      <c r="C11" s="30">
        <v>4</v>
      </c>
      <c r="D11" s="30">
        <v>0</v>
      </c>
      <c r="E11" s="30">
        <f>C11+D11</f>
        <v>4</v>
      </c>
      <c r="F11" s="30">
        <v>10</v>
      </c>
      <c r="G11" s="41">
        <f>$C$4*F11</f>
        <v>409500</v>
      </c>
      <c r="H11" s="41">
        <f>($D$4*12.5%)/30*13</f>
        <v>94840.6875</v>
      </c>
      <c r="I11" s="41">
        <f>($D$4*2.436%)/30*13</f>
        <v>18482.553179999999</v>
      </c>
      <c r="J11" s="41">
        <f>($D$4*16%)/30*13</f>
        <v>121396.08</v>
      </c>
      <c r="K11" s="41">
        <f>SUM(G11:J11)*B11</f>
        <v>644219.32068</v>
      </c>
      <c r="L11" s="41">
        <v>20</v>
      </c>
      <c r="M11" s="41">
        <f>$C$4*L11</f>
        <v>819000</v>
      </c>
      <c r="N11" s="41">
        <f>$D$4*12.5%</f>
        <v>218863.125</v>
      </c>
      <c r="O11" s="41">
        <f>$D$4*2.436%</f>
        <v>42652.0458</v>
      </c>
      <c r="P11" s="41">
        <f>$D$4*16%</f>
        <v>280144.8</v>
      </c>
      <c r="Q11" s="41">
        <f>SUM(M11:P11)*B11</f>
        <v>1360659.9708</v>
      </c>
      <c r="R11" s="41">
        <v>19</v>
      </c>
      <c r="S11" s="41">
        <f>$C$4*R11</f>
        <v>778050</v>
      </c>
      <c r="T11" s="41">
        <f t="shared" ref="T11:T88" si="0">$D$4*12.5%</f>
        <v>218863.125</v>
      </c>
      <c r="U11" s="41">
        <f t="shared" ref="U11:U88" si="1">$D$4*2.436%</f>
        <v>42652.0458</v>
      </c>
      <c r="V11" s="41">
        <f t="shared" ref="V11:V88" si="2">$D$4*16%</f>
        <v>280144.8</v>
      </c>
      <c r="W11" s="41">
        <f>SUM(S11:V11)*B11</f>
        <v>1319709.9708</v>
      </c>
      <c r="X11" s="41">
        <v>19</v>
      </c>
      <c r="Y11" s="41">
        <f>$C$4*X11</f>
        <v>778050</v>
      </c>
      <c r="Z11" s="41">
        <f t="shared" ref="Z11:Z88" si="3">$D$4*12.5%</f>
        <v>218863.125</v>
      </c>
      <c r="AA11" s="41">
        <f t="shared" ref="AA11:AA88" si="4">$D$4*2.436%</f>
        <v>42652.0458</v>
      </c>
      <c r="AB11" s="41">
        <f t="shared" ref="AB11:AB88" si="5">$D$4*16%</f>
        <v>280144.8</v>
      </c>
      <c r="AC11" s="41">
        <f>SUM(Y11:AB11)*B11</f>
        <v>1319709.9708</v>
      </c>
      <c r="AD11" s="41">
        <v>19</v>
      </c>
      <c r="AE11" s="41">
        <f>$C$4*AD11</f>
        <v>778050</v>
      </c>
      <c r="AF11" s="41">
        <f>$D$4*12.5%</f>
        <v>218863.125</v>
      </c>
      <c r="AG11" s="41">
        <f>$D$4*2.436%</f>
        <v>42652.0458</v>
      </c>
      <c r="AH11" s="41">
        <f t="shared" ref="AH11:AH88" si="6">$D$4*16%</f>
        <v>280144.8</v>
      </c>
      <c r="AI11" s="41">
        <f>SUM(AE11:AH11)*B11</f>
        <v>1319709.9708</v>
      </c>
      <c r="AJ11" s="41">
        <v>9</v>
      </c>
      <c r="AK11" s="41">
        <f>$C$4*AJ11</f>
        <v>368550</v>
      </c>
      <c r="AL11" s="41">
        <f>$D$4*12.5%</f>
        <v>218863.125</v>
      </c>
      <c r="AM11" s="41">
        <f>$D$4*2.436%</f>
        <v>42652.0458</v>
      </c>
      <c r="AN11" s="41">
        <f t="shared" ref="AN11:AN88" si="7">$D$4*16%</f>
        <v>280144.8</v>
      </c>
      <c r="AO11" s="41">
        <f>SUM(AK11:AN11)*B11</f>
        <v>910209.97080000001</v>
      </c>
      <c r="AP11" s="41">
        <v>18</v>
      </c>
      <c r="AQ11" s="41">
        <f>$C$4*AP11</f>
        <v>737100</v>
      </c>
      <c r="AR11" s="41">
        <f>$D$4*12.5%</f>
        <v>218863.125</v>
      </c>
      <c r="AS11" s="41">
        <f>$D$4*2.436%</f>
        <v>42652.0458</v>
      </c>
      <c r="AT11" s="41">
        <f t="shared" ref="AT11:AT88" si="8">$D$4*16%</f>
        <v>280144.8</v>
      </c>
      <c r="AU11" s="41">
        <f>SUM(AQ11:AT11)*B11</f>
        <v>1278759.9708</v>
      </c>
      <c r="AV11" s="41">
        <v>19</v>
      </c>
      <c r="AW11" s="41">
        <f>$C$4*AV11</f>
        <v>778050</v>
      </c>
      <c r="AX11" s="41">
        <f>$D$4*12.5%</f>
        <v>218863.125</v>
      </c>
      <c r="AY11" s="41">
        <f>$D$4*2.436%</f>
        <v>42652.0458</v>
      </c>
      <c r="AZ11" s="41">
        <f t="shared" ref="AZ11:AZ88" si="9">$D$4*16%</f>
        <v>280144.8</v>
      </c>
      <c r="BA11" s="41">
        <f>SUM(AW11:AZ11)*B11</f>
        <v>1319709.9708</v>
      </c>
    </row>
    <row r="12" spans="1:53" s="31" customFormat="1" x14ac:dyDescent="0.25">
      <c r="A12" s="29" t="s">
        <v>31</v>
      </c>
      <c r="B12" s="30">
        <v>1</v>
      </c>
      <c r="C12" s="30">
        <v>4</v>
      </c>
      <c r="D12" s="30">
        <v>0</v>
      </c>
      <c r="E12" s="30">
        <f t="shared" ref="E12:E74" si="10">C12+D12</f>
        <v>4</v>
      </c>
      <c r="F12" s="30">
        <v>10</v>
      </c>
      <c r="G12" s="41">
        <f t="shared" ref="G12:G34" si="11">$C$4*F12</f>
        <v>409500</v>
      </c>
      <c r="H12" s="41">
        <f t="shared" ref="H12:H88" si="12">($D$4*12.5%)/30*13</f>
        <v>94840.6875</v>
      </c>
      <c r="I12" s="41">
        <f t="shared" ref="I12:I88" si="13">($D$4*2.436%)/30*13</f>
        <v>18482.553179999999</v>
      </c>
      <c r="J12" s="41">
        <f t="shared" ref="J12:J88" si="14">($D$4*16%)/30*13</f>
        <v>121396.08</v>
      </c>
      <c r="K12" s="41">
        <f t="shared" ref="K12:K26" si="15">SUM(G12:J12)*B12</f>
        <v>644219.32068</v>
      </c>
      <c r="L12" s="41">
        <v>20</v>
      </c>
      <c r="M12" s="41">
        <f t="shared" ref="M12:M25" si="16">$C$4*L12</f>
        <v>819000</v>
      </c>
      <c r="N12" s="41">
        <f t="shared" ref="N12:N88" si="17">$D$4*12.5%</f>
        <v>218863.125</v>
      </c>
      <c r="O12" s="41">
        <f t="shared" ref="O12:O88" si="18">$D$4*2.436%</f>
        <v>42652.0458</v>
      </c>
      <c r="P12" s="41">
        <f t="shared" ref="P12:P88" si="19">$D$4*16%</f>
        <v>280144.8</v>
      </c>
      <c r="Q12" s="41">
        <f t="shared" ref="Q12:Q74" si="20">SUM(M12:P12)*B12</f>
        <v>1360659.9708</v>
      </c>
      <c r="R12" s="41">
        <v>19</v>
      </c>
      <c r="S12" s="41">
        <f t="shared" ref="S12:S25" si="21">$C$4*R12</f>
        <v>778050</v>
      </c>
      <c r="T12" s="41">
        <f t="shared" si="0"/>
        <v>218863.125</v>
      </c>
      <c r="U12" s="41">
        <f t="shared" si="1"/>
        <v>42652.0458</v>
      </c>
      <c r="V12" s="41">
        <f t="shared" si="2"/>
        <v>280144.8</v>
      </c>
      <c r="W12" s="41">
        <f t="shared" ref="W12:W74" si="22">SUM(S12:V12)*B12</f>
        <v>1319709.9708</v>
      </c>
      <c r="X12" s="41">
        <v>19</v>
      </c>
      <c r="Y12" s="41">
        <f t="shared" ref="Y12:Y35" si="23">$C$4*X12</f>
        <v>778050</v>
      </c>
      <c r="Z12" s="41">
        <f t="shared" si="3"/>
        <v>218863.125</v>
      </c>
      <c r="AA12" s="41">
        <f t="shared" si="4"/>
        <v>42652.0458</v>
      </c>
      <c r="AB12" s="41">
        <f t="shared" si="5"/>
        <v>280144.8</v>
      </c>
      <c r="AC12" s="41">
        <f t="shared" ref="AC12:AC74" si="24">SUM(Y12:AB12)*B12</f>
        <v>1319709.9708</v>
      </c>
      <c r="AD12" s="41">
        <v>19</v>
      </c>
      <c r="AE12" s="41">
        <f t="shared" ref="AE12:AE34" si="25">$C$4*AD12</f>
        <v>778050</v>
      </c>
      <c r="AF12" s="41">
        <f t="shared" ref="AF12:AF88" si="26">$D$4*12.5%</f>
        <v>218863.125</v>
      </c>
      <c r="AG12" s="41">
        <f t="shared" ref="AG12:AG88" si="27">$D$4*2.436%</f>
        <v>42652.0458</v>
      </c>
      <c r="AH12" s="41">
        <f t="shared" si="6"/>
        <v>280144.8</v>
      </c>
      <c r="AI12" s="41">
        <f t="shared" ref="AI12:AI74" si="28">SUM(AE12:AH12)*B12</f>
        <v>1319709.9708</v>
      </c>
      <c r="AJ12" s="41">
        <v>9</v>
      </c>
      <c r="AK12" s="41">
        <f t="shared" ref="AK12:AK34" si="29">$C$4*AJ12</f>
        <v>368550</v>
      </c>
      <c r="AL12" s="41">
        <f t="shared" ref="AL12:AL88" si="30">$D$4*12.5%</f>
        <v>218863.125</v>
      </c>
      <c r="AM12" s="41">
        <f t="shared" ref="AM12:AM88" si="31">$D$4*2.436%</f>
        <v>42652.0458</v>
      </c>
      <c r="AN12" s="41">
        <f t="shared" si="7"/>
        <v>280144.8</v>
      </c>
      <c r="AO12" s="41">
        <f t="shared" ref="AO12:AO74" si="32">SUM(AK12:AN12)*B12</f>
        <v>910209.97080000001</v>
      </c>
      <c r="AP12" s="41">
        <v>18</v>
      </c>
      <c r="AQ12" s="41">
        <f t="shared" ref="AQ12:AQ35" si="33">$C$4*AP12</f>
        <v>737100</v>
      </c>
      <c r="AR12" s="41">
        <f t="shared" ref="AR12:AR88" si="34">$D$4*12.5%</f>
        <v>218863.125</v>
      </c>
      <c r="AS12" s="41">
        <f t="shared" ref="AS12:AS88" si="35">$D$4*2.436%</f>
        <v>42652.0458</v>
      </c>
      <c r="AT12" s="41">
        <f t="shared" si="8"/>
        <v>280144.8</v>
      </c>
      <c r="AU12" s="41">
        <f t="shared" ref="AU12:AU74" si="36">SUM(AQ12:AT12)*B12</f>
        <v>1278759.9708</v>
      </c>
      <c r="AV12" s="41">
        <v>19</v>
      </c>
      <c r="AW12" s="41">
        <f t="shared" ref="AW12:AW35" si="37">$C$4*AV12</f>
        <v>778050</v>
      </c>
      <c r="AX12" s="41">
        <f t="shared" ref="AX12:AX88" si="38">$D$4*12.5%</f>
        <v>218863.125</v>
      </c>
      <c r="AY12" s="41">
        <f t="shared" ref="AY12:AY88" si="39">$D$4*2.436%</f>
        <v>42652.0458</v>
      </c>
      <c r="AZ12" s="41">
        <f t="shared" si="9"/>
        <v>280144.8</v>
      </c>
      <c r="BA12" s="41">
        <f t="shared" ref="BA12:BA74" si="40">SUM(AW12:AZ12)*B12</f>
        <v>1319709.9708</v>
      </c>
    </row>
    <row r="13" spans="1:53" s="31" customFormat="1" x14ac:dyDescent="0.25">
      <c r="A13" s="29" t="s">
        <v>38</v>
      </c>
      <c r="B13" s="30">
        <v>1</v>
      </c>
      <c r="C13" s="30">
        <v>7</v>
      </c>
      <c r="D13" s="30">
        <v>0</v>
      </c>
      <c r="E13" s="30">
        <f t="shared" si="10"/>
        <v>7</v>
      </c>
      <c r="F13" s="30">
        <v>10</v>
      </c>
      <c r="G13" s="41">
        <f t="shared" si="11"/>
        <v>409500</v>
      </c>
      <c r="H13" s="41">
        <f t="shared" si="12"/>
        <v>94840.6875</v>
      </c>
      <c r="I13" s="41">
        <f t="shared" si="13"/>
        <v>18482.553179999999</v>
      </c>
      <c r="J13" s="41">
        <f t="shared" si="14"/>
        <v>121396.08</v>
      </c>
      <c r="K13" s="41">
        <f t="shared" si="15"/>
        <v>644219.32068</v>
      </c>
      <c r="L13" s="41">
        <v>20</v>
      </c>
      <c r="M13" s="41">
        <f t="shared" si="16"/>
        <v>819000</v>
      </c>
      <c r="N13" s="41">
        <f t="shared" si="17"/>
        <v>218863.125</v>
      </c>
      <c r="O13" s="41">
        <f t="shared" si="18"/>
        <v>42652.0458</v>
      </c>
      <c r="P13" s="41">
        <f t="shared" si="19"/>
        <v>280144.8</v>
      </c>
      <c r="Q13" s="41">
        <f t="shared" si="20"/>
        <v>1360659.9708</v>
      </c>
      <c r="R13" s="41">
        <v>19</v>
      </c>
      <c r="S13" s="41">
        <f t="shared" si="21"/>
        <v>778050</v>
      </c>
      <c r="T13" s="41">
        <f t="shared" si="0"/>
        <v>218863.125</v>
      </c>
      <c r="U13" s="41">
        <f t="shared" si="1"/>
        <v>42652.0458</v>
      </c>
      <c r="V13" s="41">
        <f t="shared" si="2"/>
        <v>280144.8</v>
      </c>
      <c r="W13" s="41">
        <f t="shared" si="22"/>
        <v>1319709.9708</v>
      </c>
      <c r="X13" s="41">
        <v>19</v>
      </c>
      <c r="Y13" s="41">
        <f t="shared" si="23"/>
        <v>778050</v>
      </c>
      <c r="Z13" s="41">
        <f t="shared" si="3"/>
        <v>218863.125</v>
      </c>
      <c r="AA13" s="41">
        <f t="shared" si="4"/>
        <v>42652.0458</v>
      </c>
      <c r="AB13" s="41">
        <f t="shared" si="5"/>
        <v>280144.8</v>
      </c>
      <c r="AC13" s="41">
        <f t="shared" si="24"/>
        <v>1319709.9708</v>
      </c>
      <c r="AD13" s="41">
        <v>19</v>
      </c>
      <c r="AE13" s="41">
        <f t="shared" si="25"/>
        <v>778050</v>
      </c>
      <c r="AF13" s="41">
        <f t="shared" si="26"/>
        <v>218863.125</v>
      </c>
      <c r="AG13" s="41">
        <f t="shared" si="27"/>
        <v>42652.0458</v>
      </c>
      <c r="AH13" s="41">
        <f t="shared" si="6"/>
        <v>280144.8</v>
      </c>
      <c r="AI13" s="41">
        <f t="shared" si="28"/>
        <v>1319709.9708</v>
      </c>
      <c r="AJ13" s="41">
        <v>9</v>
      </c>
      <c r="AK13" s="41">
        <f t="shared" si="29"/>
        <v>368550</v>
      </c>
      <c r="AL13" s="41">
        <f t="shared" si="30"/>
        <v>218863.125</v>
      </c>
      <c r="AM13" s="41">
        <f t="shared" si="31"/>
        <v>42652.0458</v>
      </c>
      <c r="AN13" s="41">
        <f t="shared" si="7"/>
        <v>280144.8</v>
      </c>
      <c r="AO13" s="41">
        <f t="shared" si="32"/>
        <v>910209.97080000001</v>
      </c>
      <c r="AP13" s="41">
        <v>18</v>
      </c>
      <c r="AQ13" s="41">
        <f t="shared" si="33"/>
        <v>737100</v>
      </c>
      <c r="AR13" s="41">
        <f t="shared" si="34"/>
        <v>218863.125</v>
      </c>
      <c r="AS13" s="41">
        <f t="shared" si="35"/>
        <v>42652.0458</v>
      </c>
      <c r="AT13" s="41">
        <f t="shared" si="8"/>
        <v>280144.8</v>
      </c>
      <c r="AU13" s="41">
        <f t="shared" si="36"/>
        <v>1278759.9708</v>
      </c>
      <c r="AV13" s="41">
        <v>19</v>
      </c>
      <c r="AW13" s="41">
        <f t="shared" si="37"/>
        <v>778050</v>
      </c>
      <c r="AX13" s="41">
        <f t="shared" si="38"/>
        <v>218863.125</v>
      </c>
      <c r="AY13" s="41">
        <f t="shared" si="39"/>
        <v>42652.0458</v>
      </c>
      <c r="AZ13" s="41">
        <f t="shared" si="9"/>
        <v>280144.8</v>
      </c>
      <c r="BA13" s="41">
        <f t="shared" si="40"/>
        <v>1319709.9708</v>
      </c>
    </row>
    <row r="14" spans="1:53" s="31" customFormat="1" x14ac:dyDescent="0.25">
      <c r="A14" s="29" t="s">
        <v>43</v>
      </c>
      <c r="B14" s="30">
        <v>1</v>
      </c>
      <c r="C14" s="30">
        <v>5</v>
      </c>
      <c r="D14" s="30">
        <v>0</v>
      </c>
      <c r="E14" s="30">
        <f t="shared" si="10"/>
        <v>5</v>
      </c>
      <c r="F14" s="30">
        <v>10</v>
      </c>
      <c r="G14" s="41">
        <f t="shared" si="11"/>
        <v>409500</v>
      </c>
      <c r="H14" s="41">
        <f t="shared" si="12"/>
        <v>94840.6875</v>
      </c>
      <c r="I14" s="41">
        <f t="shared" si="13"/>
        <v>18482.553179999999</v>
      </c>
      <c r="J14" s="41">
        <f t="shared" si="14"/>
        <v>121396.08</v>
      </c>
      <c r="K14" s="41">
        <f t="shared" si="15"/>
        <v>644219.32068</v>
      </c>
      <c r="L14" s="41">
        <v>20</v>
      </c>
      <c r="M14" s="41">
        <f t="shared" si="16"/>
        <v>819000</v>
      </c>
      <c r="N14" s="41">
        <f t="shared" si="17"/>
        <v>218863.125</v>
      </c>
      <c r="O14" s="41">
        <f t="shared" si="18"/>
        <v>42652.0458</v>
      </c>
      <c r="P14" s="41">
        <f t="shared" si="19"/>
        <v>280144.8</v>
      </c>
      <c r="Q14" s="41">
        <f t="shared" si="20"/>
        <v>1360659.9708</v>
      </c>
      <c r="R14" s="41">
        <v>19</v>
      </c>
      <c r="S14" s="41">
        <f t="shared" si="21"/>
        <v>778050</v>
      </c>
      <c r="T14" s="41">
        <f t="shared" si="0"/>
        <v>218863.125</v>
      </c>
      <c r="U14" s="41">
        <f t="shared" si="1"/>
        <v>42652.0458</v>
      </c>
      <c r="V14" s="41">
        <f t="shared" si="2"/>
        <v>280144.8</v>
      </c>
      <c r="W14" s="41">
        <f t="shared" si="22"/>
        <v>1319709.9708</v>
      </c>
      <c r="X14" s="41">
        <v>19</v>
      </c>
      <c r="Y14" s="41">
        <f t="shared" si="23"/>
        <v>778050</v>
      </c>
      <c r="Z14" s="41">
        <f t="shared" si="3"/>
        <v>218863.125</v>
      </c>
      <c r="AA14" s="41">
        <f t="shared" si="4"/>
        <v>42652.0458</v>
      </c>
      <c r="AB14" s="41">
        <f t="shared" si="5"/>
        <v>280144.8</v>
      </c>
      <c r="AC14" s="41">
        <f t="shared" si="24"/>
        <v>1319709.9708</v>
      </c>
      <c r="AD14" s="41">
        <v>19</v>
      </c>
      <c r="AE14" s="41">
        <f t="shared" si="25"/>
        <v>778050</v>
      </c>
      <c r="AF14" s="41">
        <f t="shared" si="26"/>
        <v>218863.125</v>
      </c>
      <c r="AG14" s="41">
        <f t="shared" si="27"/>
        <v>42652.0458</v>
      </c>
      <c r="AH14" s="41">
        <f t="shared" si="6"/>
        <v>280144.8</v>
      </c>
      <c r="AI14" s="41">
        <f t="shared" si="28"/>
        <v>1319709.9708</v>
      </c>
      <c r="AJ14" s="41">
        <v>9</v>
      </c>
      <c r="AK14" s="41">
        <f t="shared" si="29"/>
        <v>368550</v>
      </c>
      <c r="AL14" s="41">
        <f t="shared" si="30"/>
        <v>218863.125</v>
      </c>
      <c r="AM14" s="41">
        <f t="shared" si="31"/>
        <v>42652.0458</v>
      </c>
      <c r="AN14" s="41">
        <f t="shared" si="7"/>
        <v>280144.8</v>
      </c>
      <c r="AO14" s="41">
        <f t="shared" si="32"/>
        <v>910209.97080000001</v>
      </c>
      <c r="AP14" s="41">
        <v>18</v>
      </c>
      <c r="AQ14" s="41">
        <f t="shared" si="33"/>
        <v>737100</v>
      </c>
      <c r="AR14" s="41">
        <f t="shared" si="34"/>
        <v>218863.125</v>
      </c>
      <c r="AS14" s="41">
        <f t="shared" si="35"/>
        <v>42652.0458</v>
      </c>
      <c r="AT14" s="41">
        <f t="shared" si="8"/>
        <v>280144.8</v>
      </c>
      <c r="AU14" s="41">
        <f t="shared" si="36"/>
        <v>1278759.9708</v>
      </c>
      <c r="AV14" s="41">
        <v>19</v>
      </c>
      <c r="AW14" s="41">
        <f t="shared" si="37"/>
        <v>778050</v>
      </c>
      <c r="AX14" s="41">
        <f t="shared" si="38"/>
        <v>218863.125</v>
      </c>
      <c r="AY14" s="41">
        <f t="shared" si="39"/>
        <v>42652.0458</v>
      </c>
      <c r="AZ14" s="41">
        <f t="shared" si="9"/>
        <v>280144.8</v>
      </c>
      <c r="BA14" s="41">
        <f t="shared" si="40"/>
        <v>1319709.9708</v>
      </c>
    </row>
    <row r="15" spans="1:53" s="31" customFormat="1" x14ac:dyDescent="0.25">
      <c r="A15" s="29" t="s">
        <v>45</v>
      </c>
      <c r="B15" s="30">
        <v>1</v>
      </c>
      <c r="C15" s="30">
        <v>3</v>
      </c>
      <c r="D15" s="30">
        <v>0</v>
      </c>
      <c r="E15" s="30">
        <f t="shared" si="10"/>
        <v>3</v>
      </c>
      <c r="F15" s="30">
        <v>10</v>
      </c>
      <c r="G15" s="41">
        <f t="shared" si="11"/>
        <v>409500</v>
      </c>
      <c r="H15" s="41">
        <f t="shared" si="12"/>
        <v>94840.6875</v>
      </c>
      <c r="I15" s="41">
        <f t="shared" si="13"/>
        <v>18482.553179999999</v>
      </c>
      <c r="J15" s="41">
        <f t="shared" si="14"/>
        <v>121396.08</v>
      </c>
      <c r="K15" s="41">
        <f t="shared" si="15"/>
        <v>644219.32068</v>
      </c>
      <c r="L15" s="41">
        <v>20</v>
      </c>
      <c r="M15" s="41">
        <f t="shared" si="16"/>
        <v>819000</v>
      </c>
      <c r="N15" s="41">
        <f t="shared" si="17"/>
        <v>218863.125</v>
      </c>
      <c r="O15" s="41">
        <f t="shared" si="18"/>
        <v>42652.0458</v>
      </c>
      <c r="P15" s="41">
        <f t="shared" si="19"/>
        <v>280144.8</v>
      </c>
      <c r="Q15" s="41">
        <f t="shared" si="20"/>
        <v>1360659.9708</v>
      </c>
      <c r="R15" s="41">
        <v>19</v>
      </c>
      <c r="S15" s="41">
        <f t="shared" si="21"/>
        <v>778050</v>
      </c>
      <c r="T15" s="41">
        <f t="shared" si="0"/>
        <v>218863.125</v>
      </c>
      <c r="U15" s="41">
        <f t="shared" si="1"/>
        <v>42652.0458</v>
      </c>
      <c r="V15" s="41">
        <f t="shared" si="2"/>
        <v>280144.8</v>
      </c>
      <c r="W15" s="41">
        <f t="shared" si="22"/>
        <v>1319709.9708</v>
      </c>
      <c r="X15" s="41">
        <v>19</v>
      </c>
      <c r="Y15" s="41">
        <f t="shared" si="23"/>
        <v>778050</v>
      </c>
      <c r="Z15" s="41">
        <f t="shared" si="3"/>
        <v>218863.125</v>
      </c>
      <c r="AA15" s="41">
        <f t="shared" si="4"/>
        <v>42652.0458</v>
      </c>
      <c r="AB15" s="41">
        <f t="shared" si="5"/>
        <v>280144.8</v>
      </c>
      <c r="AC15" s="41">
        <f t="shared" si="24"/>
        <v>1319709.9708</v>
      </c>
      <c r="AD15" s="41">
        <v>19</v>
      </c>
      <c r="AE15" s="41">
        <f t="shared" si="25"/>
        <v>778050</v>
      </c>
      <c r="AF15" s="41">
        <f t="shared" si="26"/>
        <v>218863.125</v>
      </c>
      <c r="AG15" s="41">
        <f t="shared" si="27"/>
        <v>42652.0458</v>
      </c>
      <c r="AH15" s="41">
        <f t="shared" si="6"/>
        <v>280144.8</v>
      </c>
      <c r="AI15" s="41">
        <f t="shared" si="28"/>
        <v>1319709.9708</v>
      </c>
      <c r="AJ15" s="41">
        <v>9</v>
      </c>
      <c r="AK15" s="41">
        <f t="shared" si="29"/>
        <v>368550</v>
      </c>
      <c r="AL15" s="41">
        <f t="shared" si="30"/>
        <v>218863.125</v>
      </c>
      <c r="AM15" s="41">
        <f t="shared" si="31"/>
        <v>42652.0458</v>
      </c>
      <c r="AN15" s="41">
        <f t="shared" si="7"/>
        <v>280144.8</v>
      </c>
      <c r="AO15" s="41">
        <f t="shared" si="32"/>
        <v>910209.97080000001</v>
      </c>
      <c r="AP15" s="41">
        <v>18</v>
      </c>
      <c r="AQ15" s="41">
        <f t="shared" si="33"/>
        <v>737100</v>
      </c>
      <c r="AR15" s="41">
        <f t="shared" si="34"/>
        <v>218863.125</v>
      </c>
      <c r="AS15" s="41">
        <f t="shared" si="35"/>
        <v>42652.0458</v>
      </c>
      <c r="AT15" s="41">
        <f t="shared" si="8"/>
        <v>280144.8</v>
      </c>
      <c r="AU15" s="41">
        <f t="shared" si="36"/>
        <v>1278759.9708</v>
      </c>
      <c r="AV15" s="41">
        <v>19</v>
      </c>
      <c r="AW15" s="41">
        <f t="shared" si="37"/>
        <v>778050</v>
      </c>
      <c r="AX15" s="41">
        <f t="shared" si="38"/>
        <v>218863.125</v>
      </c>
      <c r="AY15" s="41">
        <f t="shared" si="39"/>
        <v>42652.0458</v>
      </c>
      <c r="AZ15" s="41">
        <f t="shared" si="9"/>
        <v>280144.8</v>
      </c>
      <c r="BA15" s="41">
        <f t="shared" si="40"/>
        <v>1319709.9708</v>
      </c>
    </row>
    <row r="16" spans="1:53" s="31" customFormat="1" x14ac:dyDescent="0.25">
      <c r="A16" s="29" t="s">
        <v>48</v>
      </c>
      <c r="B16" s="30">
        <v>1</v>
      </c>
      <c r="C16" s="30">
        <v>4</v>
      </c>
      <c r="D16" s="30">
        <v>0</v>
      </c>
      <c r="E16" s="30">
        <f t="shared" si="10"/>
        <v>4</v>
      </c>
      <c r="F16" s="30">
        <v>10</v>
      </c>
      <c r="G16" s="41">
        <f t="shared" si="11"/>
        <v>409500</v>
      </c>
      <c r="H16" s="41">
        <f t="shared" si="12"/>
        <v>94840.6875</v>
      </c>
      <c r="I16" s="41">
        <f t="shared" si="13"/>
        <v>18482.553179999999</v>
      </c>
      <c r="J16" s="41">
        <f t="shared" si="14"/>
        <v>121396.08</v>
      </c>
      <c r="K16" s="41">
        <f t="shared" si="15"/>
        <v>644219.32068</v>
      </c>
      <c r="L16" s="41">
        <v>20</v>
      </c>
      <c r="M16" s="41">
        <f t="shared" si="16"/>
        <v>819000</v>
      </c>
      <c r="N16" s="41">
        <f t="shared" si="17"/>
        <v>218863.125</v>
      </c>
      <c r="O16" s="41">
        <f t="shared" si="18"/>
        <v>42652.0458</v>
      </c>
      <c r="P16" s="41">
        <f t="shared" si="19"/>
        <v>280144.8</v>
      </c>
      <c r="Q16" s="41">
        <f t="shared" si="20"/>
        <v>1360659.9708</v>
      </c>
      <c r="R16" s="41">
        <v>19</v>
      </c>
      <c r="S16" s="41">
        <f t="shared" si="21"/>
        <v>778050</v>
      </c>
      <c r="T16" s="41">
        <f t="shared" si="0"/>
        <v>218863.125</v>
      </c>
      <c r="U16" s="41">
        <f t="shared" si="1"/>
        <v>42652.0458</v>
      </c>
      <c r="V16" s="41">
        <f t="shared" si="2"/>
        <v>280144.8</v>
      </c>
      <c r="W16" s="41">
        <f t="shared" si="22"/>
        <v>1319709.9708</v>
      </c>
      <c r="X16" s="41">
        <v>19</v>
      </c>
      <c r="Y16" s="41">
        <f t="shared" si="23"/>
        <v>778050</v>
      </c>
      <c r="Z16" s="41">
        <f t="shared" si="3"/>
        <v>218863.125</v>
      </c>
      <c r="AA16" s="41">
        <f t="shared" si="4"/>
        <v>42652.0458</v>
      </c>
      <c r="AB16" s="41">
        <f t="shared" si="5"/>
        <v>280144.8</v>
      </c>
      <c r="AC16" s="41">
        <f t="shared" si="24"/>
        <v>1319709.9708</v>
      </c>
      <c r="AD16" s="41">
        <v>19</v>
      </c>
      <c r="AE16" s="41">
        <f t="shared" si="25"/>
        <v>778050</v>
      </c>
      <c r="AF16" s="41">
        <f t="shared" si="26"/>
        <v>218863.125</v>
      </c>
      <c r="AG16" s="41">
        <f t="shared" si="27"/>
        <v>42652.0458</v>
      </c>
      <c r="AH16" s="41">
        <f t="shared" si="6"/>
        <v>280144.8</v>
      </c>
      <c r="AI16" s="41">
        <f t="shared" si="28"/>
        <v>1319709.9708</v>
      </c>
      <c r="AJ16" s="41">
        <v>9</v>
      </c>
      <c r="AK16" s="41">
        <f t="shared" si="29"/>
        <v>368550</v>
      </c>
      <c r="AL16" s="41">
        <f t="shared" si="30"/>
        <v>218863.125</v>
      </c>
      <c r="AM16" s="41">
        <f t="shared" si="31"/>
        <v>42652.0458</v>
      </c>
      <c r="AN16" s="41">
        <f t="shared" si="7"/>
        <v>280144.8</v>
      </c>
      <c r="AO16" s="41">
        <f t="shared" si="32"/>
        <v>910209.97080000001</v>
      </c>
      <c r="AP16" s="41">
        <v>18</v>
      </c>
      <c r="AQ16" s="41">
        <f t="shared" si="33"/>
        <v>737100</v>
      </c>
      <c r="AR16" s="41">
        <f t="shared" si="34"/>
        <v>218863.125</v>
      </c>
      <c r="AS16" s="41">
        <f t="shared" si="35"/>
        <v>42652.0458</v>
      </c>
      <c r="AT16" s="41">
        <f t="shared" si="8"/>
        <v>280144.8</v>
      </c>
      <c r="AU16" s="41">
        <f t="shared" si="36"/>
        <v>1278759.9708</v>
      </c>
      <c r="AV16" s="41">
        <v>19</v>
      </c>
      <c r="AW16" s="41">
        <f t="shared" si="37"/>
        <v>778050</v>
      </c>
      <c r="AX16" s="41">
        <f t="shared" si="38"/>
        <v>218863.125</v>
      </c>
      <c r="AY16" s="41">
        <f t="shared" si="39"/>
        <v>42652.0458</v>
      </c>
      <c r="AZ16" s="41">
        <f t="shared" si="9"/>
        <v>280144.8</v>
      </c>
      <c r="BA16" s="41">
        <f t="shared" si="40"/>
        <v>1319709.9708</v>
      </c>
    </row>
    <row r="17" spans="1:53" s="31" customFormat="1" x14ac:dyDescent="0.25">
      <c r="A17" s="29" t="s">
        <v>49</v>
      </c>
      <c r="B17" s="30">
        <v>1</v>
      </c>
      <c r="C17" s="30">
        <v>3</v>
      </c>
      <c r="D17" s="30">
        <v>0</v>
      </c>
      <c r="E17" s="30">
        <f t="shared" si="10"/>
        <v>3</v>
      </c>
      <c r="F17" s="30">
        <v>10</v>
      </c>
      <c r="G17" s="41">
        <f t="shared" si="11"/>
        <v>409500</v>
      </c>
      <c r="H17" s="41">
        <f t="shared" si="12"/>
        <v>94840.6875</v>
      </c>
      <c r="I17" s="41">
        <f t="shared" si="13"/>
        <v>18482.553179999999</v>
      </c>
      <c r="J17" s="41">
        <f t="shared" si="14"/>
        <v>121396.08</v>
      </c>
      <c r="K17" s="41">
        <f t="shared" si="15"/>
        <v>644219.32068</v>
      </c>
      <c r="L17" s="41">
        <v>20</v>
      </c>
      <c r="M17" s="41">
        <f t="shared" si="16"/>
        <v>819000</v>
      </c>
      <c r="N17" s="41">
        <f t="shared" si="17"/>
        <v>218863.125</v>
      </c>
      <c r="O17" s="41">
        <f t="shared" si="18"/>
        <v>42652.0458</v>
      </c>
      <c r="P17" s="41">
        <f t="shared" si="19"/>
        <v>280144.8</v>
      </c>
      <c r="Q17" s="41">
        <f t="shared" si="20"/>
        <v>1360659.9708</v>
      </c>
      <c r="R17" s="41">
        <v>19</v>
      </c>
      <c r="S17" s="41">
        <f t="shared" si="21"/>
        <v>778050</v>
      </c>
      <c r="T17" s="41">
        <f t="shared" si="0"/>
        <v>218863.125</v>
      </c>
      <c r="U17" s="41">
        <f t="shared" si="1"/>
        <v>42652.0458</v>
      </c>
      <c r="V17" s="41">
        <f t="shared" si="2"/>
        <v>280144.8</v>
      </c>
      <c r="W17" s="41">
        <f t="shared" si="22"/>
        <v>1319709.9708</v>
      </c>
      <c r="X17" s="41">
        <v>19</v>
      </c>
      <c r="Y17" s="41">
        <f t="shared" si="23"/>
        <v>778050</v>
      </c>
      <c r="Z17" s="41">
        <f t="shared" si="3"/>
        <v>218863.125</v>
      </c>
      <c r="AA17" s="41">
        <f t="shared" si="4"/>
        <v>42652.0458</v>
      </c>
      <c r="AB17" s="41">
        <f t="shared" si="5"/>
        <v>280144.8</v>
      </c>
      <c r="AC17" s="41">
        <f t="shared" si="24"/>
        <v>1319709.9708</v>
      </c>
      <c r="AD17" s="41">
        <v>19</v>
      </c>
      <c r="AE17" s="41">
        <f t="shared" si="25"/>
        <v>778050</v>
      </c>
      <c r="AF17" s="41">
        <f t="shared" si="26"/>
        <v>218863.125</v>
      </c>
      <c r="AG17" s="41">
        <f t="shared" si="27"/>
        <v>42652.0458</v>
      </c>
      <c r="AH17" s="41">
        <f t="shared" si="6"/>
        <v>280144.8</v>
      </c>
      <c r="AI17" s="41">
        <f t="shared" si="28"/>
        <v>1319709.9708</v>
      </c>
      <c r="AJ17" s="41">
        <v>9</v>
      </c>
      <c r="AK17" s="41">
        <f t="shared" si="29"/>
        <v>368550</v>
      </c>
      <c r="AL17" s="41">
        <f t="shared" si="30"/>
        <v>218863.125</v>
      </c>
      <c r="AM17" s="41">
        <f t="shared" si="31"/>
        <v>42652.0458</v>
      </c>
      <c r="AN17" s="41">
        <f t="shared" si="7"/>
        <v>280144.8</v>
      </c>
      <c r="AO17" s="41">
        <f t="shared" si="32"/>
        <v>910209.97080000001</v>
      </c>
      <c r="AP17" s="41">
        <v>18</v>
      </c>
      <c r="AQ17" s="41">
        <f t="shared" si="33"/>
        <v>737100</v>
      </c>
      <c r="AR17" s="41">
        <f t="shared" si="34"/>
        <v>218863.125</v>
      </c>
      <c r="AS17" s="41">
        <f t="shared" si="35"/>
        <v>42652.0458</v>
      </c>
      <c r="AT17" s="41">
        <f t="shared" si="8"/>
        <v>280144.8</v>
      </c>
      <c r="AU17" s="41">
        <f t="shared" si="36"/>
        <v>1278759.9708</v>
      </c>
      <c r="AV17" s="41">
        <v>19</v>
      </c>
      <c r="AW17" s="41">
        <f t="shared" si="37"/>
        <v>778050</v>
      </c>
      <c r="AX17" s="41">
        <f t="shared" si="38"/>
        <v>218863.125</v>
      </c>
      <c r="AY17" s="41">
        <f t="shared" si="39"/>
        <v>42652.0458</v>
      </c>
      <c r="AZ17" s="41">
        <f t="shared" si="9"/>
        <v>280144.8</v>
      </c>
      <c r="BA17" s="41">
        <f t="shared" si="40"/>
        <v>1319709.9708</v>
      </c>
    </row>
    <row r="18" spans="1:53" s="31" customFormat="1" x14ac:dyDescent="0.25">
      <c r="A18" s="29" t="s">
        <v>62</v>
      </c>
      <c r="B18" s="30">
        <v>1</v>
      </c>
      <c r="C18" s="30">
        <v>6</v>
      </c>
      <c r="D18" s="30">
        <v>0</v>
      </c>
      <c r="E18" s="30">
        <f t="shared" si="10"/>
        <v>6</v>
      </c>
      <c r="F18" s="30">
        <v>10</v>
      </c>
      <c r="G18" s="41">
        <f t="shared" si="11"/>
        <v>409500</v>
      </c>
      <c r="H18" s="41">
        <f t="shared" si="12"/>
        <v>94840.6875</v>
      </c>
      <c r="I18" s="41">
        <f t="shared" si="13"/>
        <v>18482.553179999999</v>
      </c>
      <c r="J18" s="41">
        <f t="shared" si="14"/>
        <v>121396.08</v>
      </c>
      <c r="K18" s="41">
        <f t="shared" si="15"/>
        <v>644219.32068</v>
      </c>
      <c r="L18" s="41">
        <v>20</v>
      </c>
      <c r="M18" s="41">
        <f t="shared" si="16"/>
        <v>819000</v>
      </c>
      <c r="N18" s="41">
        <f t="shared" si="17"/>
        <v>218863.125</v>
      </c>
      <c r="O18" s="41">
        <f t="shared" si="18"/>
        <v>42652.0458</v>
      </c>
      <c r="P18" s="41">
        <f t="shared" si="19"/>
        <v>280144.8</v>
      </c>
      <c r="Q18" s="41">
        <f t="shared" si="20"/>
        <v>1360659.9708</v>
      </c>
      <c r="R18" s="41">
        <v>19</v>
      </c>
      <c r="S18" s="41">
        <f t="shared" si="21"/>
        <v>778050</v>
      </c>
      <c r="T18" s="41">
        <f t="shared" si="0"/>
        <v>218863.125</v>
      </c>
      <c r="U18" s="41">
        <f t="shared" si="1"/>
        <v>42652.0458</v>
      </c>
      <c r="V18" s="41">
        <f t="shared" si="2"/>
        <v>280144.8</v>
      </c>
      <c r="W18" s="41">
        <f t="shared" si="22"/>
        <v>1319709.9708</v>
      </c>
      <c r="X18" s="41">
        <v>19</v>
      </c>
      <c r="Y18" s="41">
        <f t="shared" si="23"/>
        <v>778050</v>
      </c>
      <c r="Z18" s="41">
        <f t="shared" si="3"/>
        <v>218863.125</v>
      </c>
      <c r="AA18" s="41">
        <f t="shared" si="4"/>
        <v>42652.0458</v>
      </c>
      <c r="AB18" s="41">
        <f t="shared" si="5"/>
        <v>280144.8</v>
      </c>
      <c r="AC18" s="41">
        <f t="shared" si="24"/>
        <v>1319709.9708</v>
      </c>
      <c r="AD18" s="41">
        <v>19</v>
      </c>
      <c r="AE18" s="41">
        <f t="shared" si="25"/>
        <v>778050</v>
      </c>
      <c r="AF18" s="41">
        <f t="shared" si="26"/>
        <v>218863.125</v>
      </c>
      <c r="AG18" s="41">
        <f t="shared" si="27"/>
        <v>42652.0458</v>
      </c>
      <c r="AH18" s="41">
        <f t="shared" si="6"/>
        <v>280144.8</v>
      </c>
      <c r="AI18" s="41">
        <f t="shared" si="28"/>
        <v>1319709.9708</v>
      </c>
      <c r="AJ18" s="41">
        <v>9</v>
      </c>
      <c r="AK18" s="41">
        <f t="shared" si="29"/>
        <v>368550</v>
      </c>
      <c r="AL18" s="41">
        <f t="shared" si="30"/>
        <v>218863.125</v>
      </c>
      <c r="AM18" s="41">
        <f t="shared" si="31"/>
        <v>42652.0458</v>
      </c>
      <c r="AN18" s="41">
        <f t="shared" si="7"/>
        <v>280144.8</v>
      </c>
      <c r="AO18" s="41">
        <f t="shared" si="32"/>
        <v>910209.97080000001</v>
      </c>
      <c r="AP18" s="41">
        <v>18</v>
      </c>
      <c r="AQ18" s="41">
        <f t="shared" si="33"/>
        <v>737100</v>
      </c>
      <c r="AR18" s="41">
        <f t="shared" si="34"/>
        <v>218863.125</v>
      </c>
      <c r="AS18" s="41">
        <f t="shared" si="35"/>
        <v>42652.0458</v>
      </c>
      <c r="AT18" s="41">
        <f t="shared" si="8"/>
        <v>280144.8</v>
      </c>
      <c r="AU18" s="41">
        <f t="shared" si="36"/>
        <v>1278759.9708</v>
      </c>
      <c r="AV18" s="41">
        <v>19</v>
      </c>
      <c r="AW18" s="41">
        <f t="shared" si="37"/>
        <v>778050</v>
      </c>
      <c r="AX18" s="41">
        <f t="shared" si="38"/>
        <v>218863.125</v>
      </c>
      <c r="AY18" s="41">
        <f t="shared" si="39"/>
        <v>42652.0458</v>
      </c>
      <c r="AZ18" s="41">
        <f t="shared" si="9"/>
        <v>280144.8</v>
      </c>
      <c r="BA18" s="41">
        <f t="shared" si="40"/>
        <v>1319709.9708</v>
      </c>
    </row>
    <row r="19" spans="1:53" s="31" customFormat="1" x14ac:dyDescent="0.25">
      <c r="A19" s="29" t="s">
        <v>63</v>
      </c>
      <c r="B19" s="30">
        <v>1</v>
      </c>
      <c r="C19" s="30">
        <v>6</v>
      </c>
      <c r="D19" s="30">
        <v>0</v>
      </c>
      <c r="E19" s="30">
        <f t="shared" si="10"/>
        <v>6</v>
      </c>
      <c r="F19" s="30">
        <v>10</v>
      </c>
      <c r="G19" s="41">
        <f t="shared" si="11"/>
        <v>409500</v>
      </c>
      <c r="H19" s="41">
        <f t="shared" si="12"/>
        <v>94840.6875</v>
      </c>
      <c r="I19" s="41">
        <f t="shared" si="13"/>
        <v>18482.553179999999</v>
      </c>
      <c r="J19" s="41">
        <f t="shared" si="14"/>
        <v>121396.08</v>
      </c>
      <c r="K19" s="41">
        <f t="shared" si="15"/>
        <v>644219.32068</v>
      </c>
      <c r="L19" s="41">
        <v>20</v>
      </c>
      <c r="M19" s="41">
        <f t="shared" si="16"/>
        <v>819000</v>
      </c>
      <c r="N19" s="41">
        <f t="shared" si="17"/>
        <v>218863.125</v>
      </c>
      <c r="O19" s="41">
        <f t="shared" si="18"/>
        <v>42652.0458</v>
      </c>
      <c r="P19" s="41">
        <f t="shared" si="19"/>
        <v>280144.8</v>
      </c>
      <c r="Q19" s="41">
        <f t="shared" si="20"/>
        <v>1360659.9708</v>
      </c>
      <c r="R19" s="41">
        <v>19</v>
      </c>
      <c r="S19" s="41">
        <f t="shared" si="21"/>
        <v>778050</v>
      </c>
      <c r="T19" s="41">
        <f t="shared" si="0"/>
        <v>218863.125</v>
      </c>
      <c r="U19" s="41">
        <f t="shared" si="1"/>
        <v>42652.0458</v>
      </c>
      <c r="V19" s="41">
        <f t="shared" si="2"/>
        <v>280144.8</v>
      </c>
      <c r="W19" s="41">
        <f t="shared" si="22"/>
        <v>1319709.9708</v>
      </c>
      <c r="X19" s="41">
        <v>19</v>
      </c>
      <c r="Y19" s="41">
        <f t="shared" si="23"/>
        <v>778050</v>
      </c>
      <c r="Z19" s="41">
        <f t="shared" si="3"/>
        <v>218863.125</v>
      </c>
      <c r="AA19" s="41">
        <f t="shared" si="4"/>
        <v>42652.0458</v>
      </c>
      <c r="AB19" s="41">
        <f t="shared" si="5"/>
        <v>280144.8</v>
      </c>
      <c r="AC19" s="41">
        <f t="shared" si="24"/>
        <v>1319709.9708</v>
      </c>
      <c r="AD19" s="41">
        <v>19</v>
      </c>
      <c r="AE19" s="41">
        <f t="shared" si="25"/>
        <v>778050</v>
      </c>
      <c r="AF19" s="41">
        <f t="shared" si="26"/>
        <v>218863.125</v>
      </c>
      <c r="AG19" s="41">
        <f t="shared" si="27"/>
        <v>42652.0458</v>
      </c>
      <c r="AH19" s="41">
        <f t="shared" si="6"/>
        <v>280144.8</v>
      </c>
      <c r="AI19" s="41">
        <f t="shared" si="28"/>
        <v>1319709.9708</v>
      </c>
      <c r="AJ19" s="41">
        <v>9</v>
      </c>
      <c r="AK19" s="41">
        <f t="shared" si="29"/>
        <v>368550</v>
      </c>
      <c r="AL19" s="41">
        <f t="shared" si="30"/>
        <v>218863.125</v>
      </c>
      <c r="AM19" s="41">
        <f t="shared" si="31"/>
        <v>42652.0458</v>
      </c>
      <c r="AN19" s="41">
        <f t="shared" si="7"/>
        <v>280144.8</v>
      </c>
      <c r="AO19" s="41">
        <f t="shared" si="32"/>
        <v>910209.97080000001</v>
      </c>
      <c r="AP19" s="41">
        <v>18</v>
      </c>
      <c r="AQ19" s="41">
        <f t="shared" si="33"/>
        <v>737100</v>
      </c>
      <c r="AR19" s="41">
        <f t="shared" si="34"/>
        <v>218863.125</v>
      </c>
      <c r="AS19" s="41">
        <f t="shared" si="35"/>
        <v>42652.0458</v>
      </c>
      <c r="AT19" s="41">
        <f t="shared" si="8"/>
        <v>280144.8</v>
      </c>
      <c r="AU19" s="41">
        <f t="shared" si="36"/>
        <v>1278759.9708</v>
      </c>
      <c r="AV19" s="41">
        <v>19</v>
      </c>
      <c r="AW19" s="41">
        <f t="shared" si="37"/>
        <v>778050</v>
      </c>
      <c r="AX19" s="41">
        <f t="shared" si="38"/>
        <v>218863.125</v>
      </c>
      <c r="AY19" s="41">
        <f t="shared" si="39"/>
        <v>42652.0458</v>
      </c>
      <c r="AZ19" s="41">
        <f t="shared" si="9"/>
        <v>280144.8</v>
      </c>
      <c r="BA19" s="41">
        <f t="shared" si="40"/>
        <v>1319709.9708</v>
      </c>
    </row>
    <row r="20" spans="1:53" s="31" customFormat="1" x14ac:dyDescent="0.25">
      <c r="A20" s="29" t="s">
        <v>79</v>
      </c>
      <c r="B20" s="30">
        <v>1</v>
      </c>
      <c r="C20" s="30">
        <v>5</v>
      </c>
      <c r="D20" s="30">
        <v>0</v>
      </c>
      <c r="E20" s="30">
        <f t="shared" si="10"/>
        <v>5</v>
      </c>
      <c r="F20" s="30">
        <v>10</v>
      </c>
      <c r="G20" s="41">
        <f t="shared" si="11"/>
        <v>409500</v>
      </c>
      <c r="H20" s="41">
        <f t="shared" si="12"/>
        <v>94840.6875</v>
      </c>
      <c r="I20" s="41">
        <f t="shared" si="13"/>
        <v>18482.553179999999</v>
      </c>
      <c r="J20" s="41">
        <f t="shared" si="14"/>
        <v>121396.08</v>
      </c>
      <c r="K20" s="41">
        <f t="shared" si="15"/>
        <v>644219.32068</v>
      </c>
      <c r="L20" s="41">
        <v>20</v>
      </c>
      <c r="M20" s="41">
        <f t="shared" si="16"/>
        <v>819000</v>
      </c>
      <c r="N20" s="41">
        <f t="shared" si="17"/>
        <v>218863.125</v>
      </c>
      <c r="O20" s="41">
        <f t="shared" si="18"/>
        <v>42652.0458</v>
      </c>
      <c r="P20" s="41">
        <f t="shared" si="19"/>
        <v>280144.8</v>
      </c>
      <c r="Q20" s="41">
        <f t="shared" si="20"/>
        <v>1360659.9708</v>
      </c>
      <c r="R20" s="41">
        <v>19</v>
      </c>
      <c r="S20" s="41">
        <f t="shared" si="21"/>
        <v>778050</v>
      </c>
      <c r="T20" s="41">
        <f t="shared" si="0"/>
        <v>218863.125</v>
      </c>
      <c r="U20" s="41">
        <f t="shared" si="1"/>
        <v>42652.0458</v>
      </c>
      <c r="V20" s="41">
        <f t="shared" si="2"/>
        <v>280144.8</v>
      </c>
      <c r="W20" s="41">
        <f t="shared" si="22"/>
        <v>1319709.9708</v>
      </c>
      <c r="X20" s="41">
        <v>19</v>
      </c>
      <c r="Y20" s="41">
        <f t="shared" si="23"/>
        <v>778050</v>
      </c>
      <c r="Z20" s="41">
        <f t="shared" si="3"/>
        <v>218863.125</v>
      </c>
      <c r="AA20" s="41">
        <f t="shared" si="4"/>
        <v>42652.0458</v>
      </c>
      <c r="AB20" s="41">
        <f t="shared" si="5"/>
        <v>280144.8</v>
      </c>
      <c r="AC20" s="41">
        <f t="shared" si="24"/>
        <v>1319709.9708</v>
      </c>
      <c r="AD20" s="41">
        <v>19</v>
      </c>
      <c r="AE20" s="41">
        <f t="shared" si="25"/>
        <v>778050</v>
      </c>
      <c r="AF20" s="41">
        <f t="shared" si="26"/>
        <v>218863.125</v>
      </c>
      <c r="AG20" s="41">
        <f t="shared" si="27"/>
        <v>42652.0458</v>
      </c>
      <c r="AH20" s="41">
        <f t="shared" si="6"/>
        <v>280144.8</v>
      </c>
      <c r="AI20" s="41">
        <f t="shared" si="28"/>
        <v>1319709.9708</v>
      </c>
      <c r="AJ20" s="41">
        <v>9</v>
      </c>
      <c r="AK20" s="41">
        <f t="shared" si="29"/>
        <v>368550</v>
      </c>
      <c r="AL20" s="41">
        <f t="shared" si="30"/>
        <v>218863.125</v>
      </c>
      <c r="AM20" s="41">
        <f t="shared" si="31"/>
        <v>42652.0458</v>
      </c>
      <c r="AN20" s="41">
        <f t="shared" si="7"/>
        <v>280144.8</v>
      </c>
      <c r="AO20" s="41">
        <f t="shared" si="32"/>
        <v>910209.97080000001</v>
      </c>
      <c r="AP20" s="41">
        <v>18</v>
      </c>
      <c r="AQ20" s="41">
        <f t="shared" si="33"/>
        <v>737100</v>
      </c>
      <c r="AR20" s="41">
        <f t="shared" si="34"/>
        <v>218863.125</v>
      </c>
      <c r="AS20" s="41">
        <f t="shared" si="35"/>
        <v>42652.0458</v>
      </c>
      <c r="AT20" s="41">
        <f t="shared" si="8"/>
        <v>280144.8</v>
      </c>
      <c r="AU20" s="41">
        <f t="shared" si="36"/>
        <v>1278759.9708</v>
      </c>
      <c r="AV20" s="41">
        <v>19</v>
      </c>
      <c r="AW20" s="41">
        <f t="shared" si="37"/>
        <v>778050</v>
      </c>
      <c r="AX20" s="41">
        <f t="shared" si="38"/>
        <v>218863.125</v>
      </c>
      <c r="AY20" s="41">
        <f t="shared" si="39"/>
        <v>42652.0458</v>
      </c>
      <c r="AZ20" s="41">
        <f t="shared" si="9"/>
        <v>280144.8</v>
      </c>
      <c r="BA20" s="41">
        <f t="shared" si="40"/>
        <v>1319709.9708</v>
      </c>
    </row>
    <row r="21" spans="1:53" s="31" customFormat="1" x14ac:dyDescent="0.25">
      <c r="A21" s="29" t="s">
        <v>80</v>
      </c>
      <c r="B21" s="30">
        <v>1</v>
      </c>
      <c r="C21" s="30">
        <v>2</v>
      </c>
      <c r="D21" s="30">
        <v>0</v>
      </c>
      <c r="E21" s="30">
        <f t="shared" si="10"/>
        <v>2</v>
      </c>
      <c r="F21" s="30">
        <v>10</v>
      </c>
      <c r="G21" s="41">
        <f t="shared" si="11"/>
        <v>409500</v>
      </c>
      <c r="H21" s="41">
        <f t="shared" si="12"/>
        <v>94840.6875</v>
      </c>
      <c r="I21" s="41">
        <f t="shared" si="13"/>
        <v>18482.553179999999</v>
      </c>
      <c r="J21" s="41">
        <f t="shared" si="14"/>
        <v>121396.08</v>
      </c>
      <c r="K21" s="41">
        <f t="shared" si="15"/>
        <v>644219.32068</v>
      </c>
      <c r="L21" s="41">
        <v>20</v>
      </c>
      <c r="M21" s="41">
        <f t="shared" si="16"/>
        <v>819000</v>
      </c>
      <c r="N21" s="41">
        <f t="shared" si="17"/>
        <v>218863.125</v>
      </c>
      <c r="O21" s="41">
        <f t="shared" si="18"/>
        <v>42652.0458</v>
      </c>
      <c r="P21" s="41">
        <f t="shared" si="19"/>
        <v>280144.8</v>
      </c>
      <c r="Q21" s="41">
        <f t="shared" si="20"/>
        <v>1360659.9708</v>
      </c>
      <c r="R21" s="41">
        <v>19</v>
      </c>
      <c r="S21" s="41">
        <f t="shared" si="21"/>
        <v>778050</v>
      </c>
      <c r="T21" s="41">
        <f t="shared" si="0"/>
        <v>218863.125</v>
      </c>
      <c r="U21" s="41">
        <f t="shared" si="1"/>
        <v>42652.0458</v>
      </c>
      <c r="V21" s="41">
        <f t="shared" si="2"/>
        <v>280144.8</v>
      </c>
      <c r="W21" s="41">
        <f t="shared" si="22"/>
        <v>1319709.9708</v>
      </c>
      <c r="X21" s="41">
        <v>19</v>
      </c>
      <c r="Y21" s="41">
        <f t="shared" si="23"/>
        <v>778050</v>
      </c>
      <c r="Z21" s="41">
        <f t="shared" si="3"/>
        <v>218863.125</v>
      </c>
      <c r="AA21" s="41">
        <f t="shared" si="4"/>
        <v>42652.0458</v>
      </c>
      <c r="AB21" s="41">
        <f t="shared" si="5"/>
        <v>280144.8</v>
      </c>
      <c r="AC21" s="41">
        <f t="shared" si="24"/>
        <v>1319709.9708</v>
      </c>
      <c r="AD21" s="41">
        <v>19</v>
      </c>
      <c r="AE21" s="41">
        <f t="shared" si="25"/>
        <v>778050</v>
      </c>
      <c r="AF21" s="41">
        <f t="shared" si="26"/>
        <v>218863.125</v>
      </c>
      <c r="AG21" s="41">
        <f t="shared" si="27"/>
        <v>42652.0458</v>
      </c>
      <c r="AH21" s="41">
        <f t="shared" si="6"/>
        <v>280144.8</v>
      </c>
      <c r="AI21" s="41">
        <f t="shared" si="28"/>
        <v>1319709.9708</v>
      </c>
      <c r="AJ21" s="41">
        <v>9</v>
      </c>
      <c r="AK21" s="41">
        <f t="shared" si="29"/>
        <v>368550</v>
      </c>
      <c r="AL21" s="41">
        <f t="shared" si="30"/>
        <v>218863.125</v>
      </c>
      <c r="AM21" s="41">
        <f t="shared" si="31"/>
        <v>42652.0458</v>
      </c>
      <c r="AN21" s="41">
        <f t="shared" si="7"/>
        <v>280144.8</v>
      </c>
      <c r="AO21" s="41">
        <f t="shared" si="32"/>
        <v>910209.97080000001</v>
      </c>
      <c r="AP21" s="41">
        <v>18</v>
      </c>
      <c r="AQ21" s="41">
        <f t="shared" si="33"/>
        <v>737100</v>
      </c>
      <c r="AR21" s="41">
        <f t="shared" si="34"/>
        <v>218863.125</v>
      </c>
      <c r="AS21" s="41">
        <f t="shared" si="35"/>
        <v>42652.0458</v>
      </c>
      <c r="AT21" s="41">
        <f t="shared" si="8"/>
        <v>280144.8</v>
      </c>
      <c r="AU21" s="41">
        <f t="shared" si="36"/>
        <v>1278759.9708</v>
      </c>
      <c r="AV21" s="41">
        <v>19</v>
      </c>
      <c r="AW21" s="41">
        <f t="shared" si="37"/>
        <v>778050</v>
      </c>
      <c r="AX21" s="41">
        <f t="shared" si="38"/>
        <v>218863.125</v>
      </c>
      <c r="AY21" s="41">
        <f t="shared" si="39"/>
        <v>42652.0458</v>
      </c>
      <c r="AZ21" s="41">
        <f t="shared" si="9"/>
        <v>280144.8</v>
      </c>
      <c r="BA21" s="41">
        <f t="shared" si="40"/>
        <v>1319709.9708</v>
      </c>
    </row>
    <row r="22" spans="1:53" s="31" customFormat="1" x14ac:dyDescent="0.25">
      <c r="A22" s="29" t="s">
        <v>83</v>
      </c>
      <c r="B22" s="30">
        <v>1</v>
      </c>
      <c r="C22" s="30">
        <v>7</v>
      </c>
      <c r="D22" s="30">
        <v>0</v>
      </c>
      <c r="E22" s="30">
        <f t="shared" si="10"/>
        <v>7</v>
      </c>
      <c r="F22" s="30">
        <v>10</v>
      </c>
      <c r="G22" s="41">
        <f t="shared" si="11"/>
        <v>409500</v>
      </c>
      <c r="H22" s="41">
        <f t="shared" si="12"/>
        <v>94840.6875</v>
      </c>
      <c r="I22" s="41">
        <f t="shared" si="13"/>
        <v>18482.553179999999</v>
      </c>
      <c r="J22" s="41">
        <f t="shared" si="14"/>
        <v>121396.08</v>
      </c>
      <c r="K22" s="41">
        <f t="shared" si="15"/>
        <v>644219.32068</v>
      </c>
      <c r="L22" s="41">
        <v>20</v>
      </c>
      <c r="M22" s="41">
        <f t="shared" si="16"/>
        <v>819000</v>
      </c>
      <c r="N22" s="41">
        <f t="shared" si="17"/>
        <v>218863.125</v>
      </c>
      <c r="O22" s="41">
        <f t="shared" si="18"/>
        <v>42652.0458</v>
      </c>
      <c r="P22" s="41">
        <f t="shared" si="19"/>
        <v>280144.8</v>
      </c>
      <c r="Q22" s="41">
        <f t="shared" si="20"/>
        <v>1360659.9708</v>
      </c>
      <c r="R22" s="41">
        <v>19</v>
      </c>
      <c r="S22" s="41">
        <f t="shared" si="21"/>
        <v>778050</v>
      </c>
      <c r="T22" s="41">
        <f t="shared" si="0"/>
        <v>218863.125</v>
      </c>
      <c r="U22" s="41">
        <f t="shared" si="1"/>
        <v>42652.0458</v>
      </c>
      <c r="V22" s="41">
        <f t="shared" si="2"/>
        <v>280144.8</v>
      </c>
      <c r="W22" s="41">
        <f t="shared" si="22"/>
        <v>1319709.9708</v>
      </c>
      <c r="X22" s="41">
        <v>19</v>
      </c>
      <c r="Y22" s="41">
        <f t="shared" si="23"/>
        <v>778050</v>
      </c>
      <c r="Z22" s="41">
        <f t="shared" si="3"/>
        <v>218863.125</v>
      </c>
      <c r="AA22" s="41">
        <f t="shared" si="4"/>
        <v>42652.0458</v>
      </c>
      <c r="AB22" s="41">
        <f t="shared" si="5"/>
        <v>280144.8</v>
      </c>
      <c r="AC22" s="41">
        <f t="shared" si="24"/>
        <v>1319709.9708</v>
      </c>
      <c r="AD22" s="41">
        <v>19</v>
      </c>
      <c r="AE22" s="41">
        <f t="shared" si="25"/>
        <v>778050</v>
      </c>
      <c r="AF22" s="41">
        <f t="shared" si="26"/>
        <v>218863.125</v>
      </c>
      <c r="AG22" s="41">
        <f t="shared" si="27"/>
        <v>42652.0458</v>
      </c>
      <c r="AH22" s="41">
        <f t="shared" si="6"/>
        <v>280144.8</v>
      </c>
      <c r="AI22" s="41">
        <f t="shared" si="28"/>
        <v>1319709.9708</v>
      </c>
      <c r="AJ22" s="41">
        <v>9</v>
      </c>
      <c r="AK22" s="41">
        <f t="shared" si="29"/>
        <v>368550</v>
      </c>
      <c r="AL22" s="41">
        <f t="shared" si="30"/>
        <v>218863.125</v>
      </c>
      <c r="AM22" s="41">
        <f t="shared" si="31"/>
        <v>42652.0458</v>
      </c>
      <c r="AN22" s="41">
        <f t="shared" si="7"/>
        <v>280144.8</v>
      </c>
      <c r="AO22" s="41">
        <f t="shared" si="32"/>
        <v>910209.97080000001</v>
      </c>
      <c r="AP22" s="41">
        <v>18</v>
      </c>
      <c r="AQ22" s="41">
        <f t="shared" si="33"/>
        <v>737100</v>
      </c>
      <c r="AR22" s="41">
        <f t="shared" si="34"/>
        <v>218863.125</v>
      </c>
      <c r="AS22" s="41">
        <f t="shared" si="35"/>
        <v>42652.0458</v>
      </c>
      <c r="AT22" s="41">
        <f t="shared" si="8"/>
        <v>280144.8</v>
      </c>
      <c r="AU22" s="41">
        <f t="shared" si="36"/>
        <v>1278759.9708</v>
      </c>
      <c r="AV22" s="41">
        <v>19</v>
      </c>
      <c r="AW22" s="41">
        <f t="shared" si="37"/>
        <v>778050</v>
      </c>
      <c r="AX22" s="41">
        <f t="shared" si="38"/>
        <v>218863.125</v>
      </c>
      <c r="AY22" s="41">
        <f t="shared" si="39"/>
        <v>42652.0458</v>
      </c>
      <c r="AZ22" s="41">
        <f t="shared" si="9"/>
        <v>280144.8</v>
      </c>
      <c r="BA22" s="41">
        <f t="shared" si="40"/>
        <v>1319709.9708</v>
      </c>
    </row>
    <row r="23" spans="1:53" s="31" customFormat="1" x14ac:dyDescent="0.25">
      <c r="A23" s="29" t="s">
        <v>86</v>
      </c>
      <c r="B23" s="30">
        <v>1</v>
      </c>
      <c r="C23" s="30">
        <v>7</v>
      </c>
      <c r="D23" s="30">
        <v>0</v>
      </c>
      <c r="E23" s="30">
        <f t="shared" si="10"/>
        <v>7</v>
      </c>
      <c r="F23" s="30">
        <v>10</v>
      </c>
      <c r="G23" s="41">
        <f t="shared" si="11"/>
        <v>409500</v>
      </c>
      <c r="H23" s="41">
        <f t="shared" si="12"/>
        <v>94840.6875</v>
      </c>
      <c r="I23" s="41">
        <f t="shared" si="13"/>
        <v>18482.553179999999</v>
      </c>
      <c r="J23" s="41">
        <f t="shared" si="14"/>
        <v>121396.08</v>
      </c>
      <c r="K23" s="41">
        <f t="shared" si="15"/>
        <v>644219.32068</v>
      </c>
      <c r="L23" s="41">
        <v>20</v>
      </c>
      <c r="M23" s="41">
        <f t="shared" si="16"/>
        <v>819000</v>
      </c>
      <c r="N23" s="41">
        <f t="shared" si="17"/>
        <v>218863.125</v>
      </c>
      <c r="O23" s="41">
        <f t="shared" si="18"/>
        <v>42652.0458</v>
      </c>
      <c r="P23" s="41">
        <f t="shared" si="19"/>
        <v>280144.8</v>
      </c>
      <c r="Q23" s="41">
        <f t="shared" si="20"/>
        <v>1360659.9708</v>
      </c>
      <c r="R23" s="41">
        <v>19</v>
      </c>
      <c r="S23" s="41">
        <f t="shared" si="21"/>
        <v>778050</v>
      </c>
      <c r="T23" s="41">
        <f t="shared" si="0"/>
        <v>218863.125</v>
      </c>
      <c r="U23" s="41">
        <f t="shared" si="1"/>
        <v>42652.0458</v>
      </c>
      <c r="V23" s="41">
        <f t="shared" si="2"/>
        <v>280144.8</v>
      </c>
      <c r="W23" s="41">
        <f t="shared" si="22"/>
        <v>1319709.9708</v>
      </c>
      <c r="X23" s="41">
        <v>19</v>
      </c>
      <c r="Y23" s="41">
        <f t="shared" si="23"/>
        <v>778050</v>
      </c>
      <c r="Z23" s="41">
        <f t="shared" si="3"/>
        <v>218863.125</v>
      </c>
      <c r="AA23" s="41">
        <f t="shared" si="4"/>
        <v>42652.0458</v>
      </c>
      <c r="AB23" s="41">
        <f t="shared" si="5"/>
        <v>280144.8</v>
      </c>
      <c r="AC23" s="41">
        <f t="shared" si="24"/>
        <v>1319709.9708</v>
      </c>
      <c r="AD23" s="41">
        <v>19</v>
      </c>
      <c r="AE23" s="41">
        <f t="shared" si="25"/>
        <v>778050</v>
      </c>
      <c r="AF23" s="41">
        <f t="shared" si="26"/>
        <v>218863.125</v>
      </c>
      <c r="AG23" s="41">
        <f t="shared" si="27"/>
        <v>42652.0458</v>
      </c>
      <c r="AH23" s="41">
        <f t="shared" si="6"/>
        <v>280144.8</v>
      </c>
      <c r="AI23" s="41">
        <f t="shared" si="28"/>
        <v>1319709.9708</v>
      </c>
      <c r="AJ23" s="41">
        <v>9</v>
      </c>
      <c r="AK23" s="41">
        <f t="shared" si="29"/>
        <v>368550</v>
      </c>
      <c r="AL23" s="41">
        <f t="shared" si="30"/>
        <v>218863.125</v>
      </c>
      <c r="AM23" s="41">
        <f t="shared" si="31"/>
        <v>42652.0458</v>
      </c>
      <c r="AN23" s="41">
        <f t="shared" si="7"/>
        <v>280144.8</v>
      </c>
      <c r="AO23" s="41">
        <f t="shared" si="32"/>
        <v>910209.97080000001</v>
      </c>
      <c r="AP23" s="41">
        <v>18</v>
      </c>
      <c r="AQ23" s="41">
        <f t="shared" si="33"/>
        <v>737100</v>
      </c>
      <c r="AR23" s="41">
        <f t="shared" si="34"/>
        <v>218863.125</v>
      </c>
      <c r="AS23" s="41">
        <f t="shared" si="35"/>
        <v>42652.0458</v>
      </c>
      <c r="AT23" s="41">
        <f t="shared" si="8"/>
        <v>280144.8</v>
      </c>
      <c r="AU23" s="41">
        <f t="shared" si="36"/>
        <v>1278759.9708</v>
      </c>
      <c r="AV23" s="41">
        <v>19</v>
      </c>
      <c r="AW23" s="41">
        <f t="shared" si="37"/>
        <v>778050</v>
      </c>
      <c r="AX23" s="41">
        <f t="shared" si="38"/>
        <v>218863.125</v>
      </c>
      <c r="AY23" s="41">
        <f t="shared" si="39"/>
        <v>42652.0458</v>
      </c>
      <c r="AZ23" s="41">
        <f t="shared" si="9"/>
        <v>280144.8</v>
      </c>
      <c r="BA23" s="41">
        <f t="shared" si="40"/>
        <v>1319709.9708</v>
      </c>
    </row>
    <row r="24" spans="1:53" s="31" customFormat="1" x14ac:dyDescent="0.25">
      <c r="A24" s="29" t="s">
        <v>88</v>
      </c>
      <c r="B24" s="30">
        <v>1</v>
      </c>
      <c r="C24" s="30">
        <v>9</v>
      </c>
      <c r="D24" s="30">
        <v>0</v>
      </c>
      <c r="E24" s="30">
        <f t="shared" si="10"/>
        <v>9</v>
      </c>
      <c r="F24" s="30">
        <v>10</v>
      </c>
      <c r="G24" s="41">
        <f t="shared" si="11"/>
        <v>409500</v>
      </c>
      <c r="H24" s="41">
        <f t="shared" si="12"/>
        <v>94840.6875</v>
      </c>
      <c r="I24" s="41">
        <f t="shared" si="13"/>
        <v>18482.553179999999</v>
      </c>
      <c r="J24" s="41">
        <f t="shared" si="14"/>
        <v>121396.08</v>
      </c>
      <c r="K24" s="41">
        <f t="shared" si="15"/>
        <v>644219.32068</v>
      </c>
      <c r="L24" s="41">
        <v>20</v>
      </c>
      <c r="M24" s="41">
        <f>$C$4*L24</f>
        <v>819000</v>
      </c>
      <c r="N24" s="41">
        <f t="shared" si="17"/>
        <v>218863.125</v>
      </c>
      <c r="O24" s="41">
        <f t="shared" si="18"/>
        <v>42652.0458</v>
      </c>
      <c r="P24" s="41">
        <f t="shared" si="19"/>
        <v>280144.8</v>
      </c>
      <c r="Q24" s="41">
        <f t="shared" si="20"/>
        <v>1360659.9708</v>
      </c>
      <c r="R24" s="41">
        <v>19</v>
      </c>
      <c r="S24" s="41">
        <f t="shared" si="21"/>
        <v>778050</v>
      </c>
      <c r="T24" s="41">
        <f t="shared" si="0"/>
        <v>218863.125</v>
      </c>
      <c r="U24" s="41">
        <f t="shared" si="1"/>
        <v>42652.0458</v>
      </c>
      <c r="V24" s="41">
        <f t="shared" si="2"/>
        <v>280144.8</v>
      </c>
      <c r="W24" s="41">
        <f t="shared" si="22"/>
        <v>1319709.9708</v>
      </c>
      <c r="X24" s="41">
        <v>19</v>
      </c>
      <c r="Y24" s="41">
        <f t="shared" si="23"/>
        <v>778050</v>
      </c>
      <c r="Z24" s="41">
        <f t="shared" si="3"/>
        <v>218863.125</v>
      </c>
      <c r="AA24" s="41">
        <f t="shared" si="4"/>
        <v>42652.0458</v>
      </c>
      <c r="AB24" s="41">
        <f t="shared" si="5"/>
        <v>280144.8</v>
      </c>
      <c r="AC24" s="41">
        <f t="shared" si="24"/>
        <v>1319709.9708</v>
      </c>
      <c r="AD24" s="41">
        <v>19</v>
      </c>
      <c r="AE24" s="41">
        <f t="shared" si="25"/>
        <v>778050</v>
      </c>
      <c r="AF24" s="41">
        <f t="shared" si="26"/>
        <v>218863.125</v>
      </c>
      <c r="AG24" s="41">
        <f t="shared" si="27"/>
        <v>42652.0458</v>
      </c>
      <c r="AH24" s="41">
        <f t="shared" si="6"/>
        <v>280144.8</v>
      </c>
      <c r="AI24" s="41">
        <f t="shared" si="28"/>
        <v>1319709.9708</v>
      </c>
      <c r="AJ24" s="41">
        <v>9</v>
      </c>
      <c r="AK24" s="41">
        <f t="shared" si="29"/>
        <v>368550</v>
      </c>
      <c r="AL24" s="41">
        <f t="shared" si="30"/>
        <v>218863.125</v>
      </c>
      <c r="AM24" s="41">
        <f t="shared" si="31"/>
        <v>42652.0458</v>
      </c>
      <c r="AN24" s="41">
        <f t="shared" si="7"/>
        <v>280144.8</v>
      </c>
      <c r="AO24" s="41">
        <f t="shared" si="32"/>
        <v>910209.97080000001</v>
      </c>
      <c r="AP24" s="41">
        <v>18</v>
      </c>
      <c r="AQ24" s="41">
        <f t="shared" si="33"/>
        <v>737100</v>
      </c>
      <c r="AR24" s="41">
        <f t="shared" si="34"/>
        <v>218863.125</v>
      </c>
      <c r="AS24" s="41">
        <f t="shared" si="35"/>
        <v>42652.0458</v>
      </c>
      <c r="AT24" s="41">
        <f t="shared" si="8"/>
        <v>280144.8</v>
      </c>
      <c r="AU24" s="41">
        <f t="shared" si="36"/>
        <v>1278759.9708</v>
      </c>
      <c r="AV24" s="41">
        <v>19</v>
      </c>
      <c r="AW24" s="41">
        <f t="shared" si="37"/>
        <v>778050</v>
      </c>
      <c r="AX24" s="41">
        <f t="shared" si="38"/>
        <v>218863.125</v>
      </c>
      <c r="AY24" s="41">
        <f t="shared" si="39"/>
        <v>42652.0458</v>
      </c>
      <c r="AZ24" s="41">
        <f t="shared" si="9"/>
        <v>280144.8</v>
      </c>
      <c r="BA24" s="41">
        <f t="shared" si="40"/>
        <v>1319709.9708</v>
      </c>
    </row>
    <row r="25" spans="1:53" s="31" customFormat="1" x14ac:dyDescent="0.25">
      <c r="A25" s="29" t="s">
        <v>91</v>
      </c>
      <c r="B25" s="30">
        <v>1</v>
      </c>
      <c r="C25" s="30">
        <v>4</v>
      </c>
      <c r="D25" s="30">
        <v>6</v>
      </c>
      <c r="E25" s="30">
        <f t="shared" si="10"/>
        <v>10</v>
      </c>
      <c r="F25" s="30">
        <v>10</v>
      </c>
      <c r="G25" s="41">
        <f t="shared" si="11"/>
        <v>409500</v>
      </c>
      <c r="H25" s="41">
        <f t="shared" si="12"/>
        <v>94840.6875</v>
      </c>
      <c r="I25" s="41">
        <f t="shared" si="13"/>
        <v>18482.553179999999</v>
      </c>
      <c r="J25" s="41">
        <f t="shared" si="14"/>
        <v>121396.08</v>
      </c>
      <c r="K25" s="41">
        <f t="shared" si="15"/>
        <v>644219.32068</v>
      </c>
      <c r="L25" s="41">
        <v>20</v>
      </c>
      <c r="M25" s="41">
        <f t="shared" si="16"/>
        <v>819000</v>
      </c>
      <c r="N25" s="41">
        <f t="shared" si="17"/>
        <v>218863.125</v>
      </c>
      <c r="O25" s="41">
        <f t="shared" si="18"/>
        <v>42652.0458</v>
      </c>
      <c r="P25" s="41">
        <f t="shared" si="19"/>
        <v>280144.8</v>
      </c>
      <c r="Q25" s="41">
        <f t="shared" si="20"/>
        <v>1360659.9708</v>
      </c>
      <c r="R25" s="41">
        <v>19</v>
      </c>
      <c r="S25" s="41">
        <f t="shared" si="21"/>
        <v>778050</v>
      </c>
      <c r="T25" s="41">
        <f t="shared" si="0"/>
        <v>218863.125</v>
      </c>
      <c r="U25" s="41">
        <f t="shared" si="1"/>
        <v>42652.0458</v>
      </c>
      <c r="V25" s="41">
        <f t="shared" si="2"/>
        <v>280144.8</v>
      </c>
      <c r="W25" s="41">
        <f t="shared" si="22"/>
        <v>1319709.9708</v>
      </c>
      <c r="X25" s="41">
        <v>19</v>
      </c>
      <c r="Y25" s="41">
        <f t="shared" si="23"/>
        <v>778050</v>
      </c>
      <c r="Z25" s="41">
        <f t="shared" si="3"/>
        <v>218863.125</v>
      </c>
      <c r="AA25" s="41">
        <f t="shared" si="4"/>
        <v>42652.0458</v>
      </c>
      <c r="AB25" s="41">
        <f t="shared" si="5"/>
        <v>280144.8</v>
      </c>
      <c r="AC25" s="41">
        <f t="shared" si="24"/>
        <v>1319709.9708</v>
      </c>
      <c r="AD25" s="41">
        <v>19</v>
      </c>
      <c r="AE25" s="41">
        <f t="shared" si="25"/>
        <v>778050</v>
      </c>
      <c r="AF25" s="41">
        <f t="shared" si="26"/>
        <v>218863.125</v>
      </c>
      <c r="AG25" s="41">
        <f t="shared" si="27"/>
        <v>42652.0458</v>
      </c>
      <c r="AH25" s="41">
        <f t="shared" si="6"/>
        <v>280144.8</v>
      </c>
      <c r="AI25" s="41">
        <f t="shared" si="28"/>
        <v>1319709.9708</v>
      </c>
      <c r="AJ25" s="41">
        <v>9</v>
      </c>
      <c r="AK25" s="41">
        <f t="shared" si="29"/>
        <v>368550</v>
      </c>
      <c r="AL25" s="41">
        <f t="shared" si="30"/>
        <v>218863.125</v>
      </c>
      <c r="AM25" s="41">
        <f t="shared" si="31"/>
        <v>42652.0458</v>
      </c>
      <c r="AN25" s="41">
        <f t="shared" si="7"/>
        <v>280144.8</v>
      </c>
      <c r="AO25" s="41">
        <f t="shared" si="32"/>
        <v>910209.97080000001</v>
      </c>
      <c r="AP25" s="41">
        <v>18</v>
      </c>
      <c r="AQ25" s="41">
        <f t="shared" si="33"/>
        <v>737100</v>
      </c>
      <c r="AR25" s="41">
        <f t="shared" si="34"/>
        <v>218863.125</v>
      </c>
      <c r="AS25" s="41">
        <f t="shared" si="35"/>
        <v>42652.0458</v>
      </c>
      <c r="AT25" s="41">
        <f t="shared" si="8"/>
        <v>280144.8</v>
      </c>
      <c r="AU25" s="41">
        <f t="shared" si="36"/>
        <v>1278759.9708</v>
      </c>
      <c r="AV25" s="41">
        <v>19</v>
      </c>
      <c r="AW25" s="41">
        <f t="shared" si="37"/>
        <v>778050</v>
      </c>
      <c r="AX25" s="41">
        <f t="shared" si="38"/>
        <v>218863.125</v>
      </c>
      <c r="AY25" s="41">
        <f t="shared" si="39"/>
        <v>42652.0458</v>
      </c>
      <c r="AZ25" s="41">
        <f t="shared" si="9"/>
        <v>280144.8</v>
      </c>
      <c r="BA25" s="41">
        <f t="shared" si="40"/>
        <v>1319709.9708</v>
      </c>
    </row>
    <row r="26" spans="1:53" s="31" customFormat="1" x14ac:dyDescent="0.25">
      <c r="A26" s="29" t="s">
        <v>102</v>
      </c>
      <c r="B26" s="30">
        <v>1</v>
      </c>
      <c r="C26" s="30">
        <v>9</v>
      </c>
      <c r="D26" s="30">
        <v>0</v>
      </c>
      <c r="E26" s="30">
        <f t="shared" si="10"/>
        <v>9</v>
      </c>
      <c r="F26" s="30">
        <v>10</v>
      </c>
      <c r="G26" s="41">
        <f t="shared" si="11"/>
        <v>409500</v>
      </c>
      <c r="H26" s="41">
        <f t="shared" si="12"/>
        <v>94840.6875</v>
      </c>
      <c r="I26" s="41">
        <f t="shared" si="13"/>
        <v>18482.553179999999</v>
      </c>
      <c r="J26" s="41">
        <f t="shared" si="14"/>
        <v>121396.08</v>
      </c>
      <c r="K26" s="41">
        <f t="shared" si="15"/>
        <v>644219.32068</v>
      </c>
      <c r="L26" s="41">
        <v>20</v>
      </c>
      <c r="M26" s="41">
        <f>$C$4*L26</f>
        <v>819000</v>
      </c>
      <c r="N26" s="41">
        <f t="shared" si="17"/>
        <v>218863.125</v>
      </c>
      <c r="O26" s="41">
        <f t="shared" si="18"/>
        <v>42652.0458</v>
      </c>
      <c r="P26" s="41">
        <f t="shared" si="19"/>
        <v>280144.8</v>
      </c>
      <c r="Q26" s="41">
        <f t="shared" si="20"/>
        <v>1360659.9708</v>
      </c>
      <c r="R26" s="41">
        <v>19</v>
      </c>
      <c r="S26" s="41">
        <f>$C$4*R26</f>
        <v>778050</v>
      </c>
      <c r="T26" s="41">
        <f t="shared" si="0"/>
        <v>218863.125</v>
      </c>
      <c r="U26" s="41">
        <f t="shared" si="1"/>
        <v>42652.0458</v>
      </c>
      <c r="V26" s="41">
        <f t="shared" si="2"/>
        <v>280144.8</v>
      </c>
      <c r="W26" s="41">
        <f t="shared" si="22"/>
        <v>1319709.9708</v>
      </c>
      <c r="X26" s="41">
        <v>19</v>
      </c>
      <c r="Y26" s="41">
        <f t="shared" si="23"/>
        <v>778050</v>
      </c>
      <c r="Z26" s="41">
        <f t="shared" si="3"/>
        <v>218863.125</v>
      </c>
      <c r="AA26" s="41">
        <f t="shared" si="4"/>
        <v>42652.0458</v>
      </c>
      <c r="AB26" s="41">
        <f t="shared" si="5"/>
        <v>280144.8</v>
      </c>
      <c r="AC26" s="41">
        <f t="shared" si="24"/>
        <v>1319709.9708</v>
      </c>
      <c r="AD26" s="41">
        <v>19</v>
      </c>
      <c r="AE26" s="41">
        <f t="shared" si="25"/>
        <v>778050</v>
      </c>
      <c r="AF26" s="41">
        <f t="shared" si="26"/>
        <v>218863.125</v>
      </c>
      <c r="AG26" s="41">
        <f t="shared" si="27"/>
        <v>42652.0458</v>
      </c>
      <c r="AH26" s="41">
        <f t="shared" si="6"/>
        <v>280144.8</v>
      </c>
      <c r="AI26" s="41">
        <f t="shared" si="28"/>
        <v>1319709.9708</v>
      </c>
      <c r="AJ26" s="41">
        <v>9</v>
      </c>
      <c r="AK26" s="41">
        <f t="shared" si="29"/>
        <v>368550</v>
      </c>
      <c r="AL26" s="41">
        <f t="shared" si="30"/>
        <v>218863.125</v>
      </c>
      <c r="AM26" s="41">
        <f t="shared" si="31"/>
        <v>42652.0458</v>
      </c>
      <c r="AN26" s="41">
        <f t="shared" si="7"/>
        <v>280144.8</v>
      </c>
      <c r="AO26" s="41">
        <f t="shared" si="32"/>
        <v>910209.97080000001</v>
      </c>
      <c r="AP26" s="41">
        <v>18</v>
      </c>
      <c r="AQ26" s="41">
        <f t="shared" si="33"/>
        <v>737100</v>
      </c>
      <c r="AR26" s="41">
        <f t="shared" si="34"/>
        <v>218863.125</v>
      </c>
      <c r="AS26" s="41">
        <f t="shared" si="35"/>
        <v>42652.0458</v>
      </c>
      <c r="AT26" s="41">
        <f t="shared" si="8"/>
        <v>280144.8</v>
      </c>
      <c r="AU26" s="41">
        <f t="shared" ref="AU26:AU35" si="41">SUM(AQ26:AT26)*B26</f>
        <v>1278759.9708</v>
      </c>
      <c r="AV26" s="41">
        <v>19</v>
      </c>
      <c r="AW26" s="41">
        <f t="shared" si="37"/>
        <v>778050</v>
      </c>
      <c r="AX26" s="41">
        <f t="shared" si="38"/>
        <v>218863.125</v>
      </c>
      <c r="AY26" s="41">
        <f t="shared" si="39"/>
        <v>42652.0458</v>
      </c>
      <c r="AZ26" s="41">
        <f t="shared" si="9"/>
        <v>280144.8</v>
      </c>
      <c r="BA26" s="41">
        <f t="shared" si="40"/>
        <v>1319709.9708</v>
      </c>
    </row>
    <row r="27" spans="1:53" s="31" customFormat="1" x14ac:dyDescent="0.25">
      <c r="A27" s="29" t="s">
        <v>81</v>
      </c>
      <c r="B27" s="30">
        <v>1</v>
      </c>
      <c r="C27" s="30">
        <v>7</v>
      </c>
      <c r="D27" s="30">
        <v>8</v>
      </c>
      <c r="E27" s="30">
        <f t="shared" ref="E27:E38" si="42">C27+D27</f>
        <v>15</v>
      </c>
      <c r="F27" s="30">
        <v>10</v>
      </c>
      <c r="G27" s="41">
        <f t="shared" si="11"/>
        <v>409500</v>
      </c>
      <c r="H27" s="41">
        <f t="shared" si="12"/>
        <v>94840.6875</v>
      </c>
      <c r="I27" s="41">
        <f t="shared" si="13"/>
        <v>18482.553179999999</v>
      </c>
      <c r="J27" s="41">
        <f t="shared" si="14"/>
        <v>121396.08</v>
      </c>
      <c r="K27" s="41">
        <f t="shared" ref="K27:K35" si="43">SUM(G27:J27)*B27</f>
        <v>644219.32068</v>
      </c>
      <c r="L27" s="41">
        <v>20</v>
      </c>
      <c r="M27" s="41">
        <f t="shared" ref="M27:M35" si="44">$C$4*L27</f>
        <v>819000</v>
      </c>
      <c r="N27" s="41">
        <f t="shared" si="17"/>
        <v>218863.125</v>
      </c>
      <c r="O27" s="41">
        <f t="shared" si="18"/>
        <v>42652.0458</v>
      </c>
      <c r="P27" s="41">
        <f t="shared" si="19"/>
        <v>280144.8</v>
      </c>
      <c r="Q27" s="41">
        <f t="shared" ref="Q27:Q35" si="45">SUM(M27:P27)*B27</f>
        <v>1360659.9708</v>
      </c>
      <c r="R27" s="41">
        <v>19</v>
      </c>
      <c r="S27" s="41">
        <f t="shared" ref="S27:S35" si="46">$C$4*R27</f>
        <v>778050</v>
      </c>
      <c r="T27" s="41">
        <f t="shared" si="0"/>
        <v>218863.125</v>
      </c>
      <c r="U27" s="41">
        <f t="shared" si="1"/>
        <v>42652.0458</v>
      </c>
      <c r="V27" s="41">
        <f t="shared" si="2"/>
        <v>280144.8</v>
      </c>
      <c r="W27" s="41">
        <f t="shared" ref="W27:W35" si="47">SUM(S27:V27)*B27</f>
        <v>1319709.9708</v>
      </c>
      <c r="X27" s="41">
        <v>19</v>
      </c>
      <c r="Y27" s="41">
        <f t="shared" si="23"/>
        <v>778050</v>
      </c>
      <c r="Z27" s="41">
        <f t="shared" si="3"/>
        <v>218863.125</v>
      </c>
      <c r="AA27" s="41">
        <f t="shared" si="4"/>
        <v>42652.0458</v>
      </c>
      <c r="AB27" s="41">
        <f t="shared" si="5"/>
        <v>280144.8</v>
      </c>
      <c r="AC27" s="41">
        <f t="shared" ref="AC27:AC35" si="48">SUM(Y27:AB27)*B27</f>
        <v>1319709.9708</v>
      </c>
      <c r="AD27" s="41">
        <v>19</v>
      </c>
      <c r="AE27" s="41">
        <f t="shared" si="25"/>
        <v>778050</v>
      </c>
      <c r="AF27" s="41">
        <f t="shared" si="26"/>
        <v>218863.125</v>
      </c>
      <c r="AG27" s="41">
        <f t="shared" si="27"/>
        <v>42652.0458</v>
      </c>
      <c r="AH27" s="41">
        <f t="shared" si="6"/>
        <v>280144.8</v>
      </c>
      <c r="AI27" s="41">
        <f t="shared" ref="AI27:AI35" si="49">SUM(AE27:AH27)*B27</f>
        <v>1319709.9708</v>
      </c>
      <c r="AJ27" s="41">
        <v>9</v>
      </c>
      <c r="AK27" s="41">
        <f t="shared" si="29"/>
        <v>368550</v>
      </c>
      <c r="AL27" s="41">
        <f t="shared" si="30"/>
        <v>218863.125</v>
      </c>
      <c r="AM27" s="41">
        <f t="shared" si="31"/>
        <v>42652.0458</v>
      </c>
      <c r="AN27" s="41">
        <f t="shared" si="7"/>
        <v>280144.8</v>
      </c>
      <c r="AO27" s="41">
        <f t="shared" ref="AO27:AO35" si="50">SUM(AK27:AN27)*B27</f>
        <v>910209.97080000001</v>
      </c>
      <c r="AP27" s="41">
        <v>18</v>
      </c>
      <c r="AQ27" s="41">
        <f t="shared" si="33"/>
        <v>737100</v>
      </c>
      <c r="AR27" s="41">
        <f t="shared" si="34"/>
        <v>218863.125</v>
      </c>
      <c r="AS27" s="41">
        <f t="shared" si="35"/>
        <v>42652.0458</v>
      </c>
      <c r="AT27" s="41">
        <f t="shared" si="8"/>
        <v>280144.8</v>
      </c>
      <c r="AU27" s="41">
        <f t="shared" si="41"/>
        <v>1278759.9708</v>
      </c>
      <c r="AV27" s="41">
        <v>19</v>
      </c>
      <c r="AW27" s="41">
        <f t="shared" si="37"/>
        <v>778050</v>
      </c>
      <c r="AX27" s="41">
        <f t="shared" si="38"/>
        <v>218863.125</v>
      </c>
      <c r="AY27" s="41">
        <f t="shared" si="39"/>
        <v>42652.0458</v>
      </c>
      <c r="AZ27" s="41">
        <f t="shared" si="9"/>
        <v>280144.8</v>
      </c>
      <c r="BA27" s="41">
        <f>SUM(AW27:AZ27)*B27</f>
        <v>1319709.9708</v>
      </c>
    </row>
    <row r="28" spans="1:53" s="31" customFormat="1" x14ac:dyDescent="0.25">
      <c r="A28" s="29" t="s">
        <v>87</v>
      </c>
      <c r="B28" s="30">
        <v>1</v>
      </c>
      <c r="C28" s="30">
        <v>6</v>
      </c>
      <c r="D28" s="30">
        <v>6</v>
      </c>
      <c r="E28" s="30">
        <f t="shared" si="42"/>
        <v>12</v>
      </c>
      <c r="F28" s="30">
        <v>10</v>
      </c>
      <c r="G28" s="41">
        <f t="shared" si="11"/>
        <v>409500</v>
      </c>
      <c r="H28" s="41">
        <f t="shared" si="12"/>
        <v>94840.6875</v>
      </c>
      <c r="I28" s="41">
        <f t="shared" si="13"/>
        <v>18482.553179999999</v>
      </c>
      <c r="J28" s="41">
        <f t="shared" si="14"/>
        <v>121396.08</v>
      </c>
      <c r="K28" s="41">
        <f t="shared" si="43"/>
        <v>644219.32068</v>
      </c>
      <c r="L28" s="41">
        <v>20</v>
      </c>
      <c r="M28" s="41">
        <f t="shared" si="44"/>
        <v>819000</v>
      </c>
      <c r="N28" s="41">
        <f t="shared" si="17"/>
        <v>218863.125</v>
      </c>
      <c r="O28" s="41">
        <f t="shared" si="18"/>
        <v>42652.0458</v>
      </c>
      <c r="P28" s="41">
        <f t="shared" si="19"/>
        <v>280144.8</v>
      </c>
      <c r="Q28" s="41">
        <f t="shared" si="45"/>
        <v>1360659.9708</v>
      </c>
      <c r="R28" s="41">
        <v>19</v>
      </c>
      <c r="S28" s="41">
        <f t="shared" si="46"/>
        <v>778050</v>
      </c>
      <c r="T28" s="41">
        <f t="shared" si="0"/>
        <v>218863.125</v>
      </c>
      <c r="U28" s="41">
        <f t="shared" si="1"/>
        <v>42652.0458</v>
      </c>
      <c r="V28" s="41">
        <f t="shared" si="2"/>
        <v>280144.8</v>
      </c>
      <c r="W28" s="41">
        <f t="shared" si="47"/>
        <v>1319709.9708</v>
      </c>
      <c r="X28" s="41">
        <v>19</v>
      </c>
      <c r="Y28" s="41">
        <f t="shared" si="23"/>
        <v>778050</v>
      </c>
      <c r="Z28" s="41">
        <f t="shared" si="3"/>
        <v>218863.125</v>
      </c>
      <c r="AA28" s="41">
        <f t="shared" si="4"/>
        <v>42652.0458</v>
      </c>
      <c r="AB28" s="41">
        <f t="shared" si="5"/>
        <v>280144.8</v>
      </c>
      <c r="AC28" s="41">
        <f t="shared" si="48"/>
        <v>1319709.9708</v>
      </c>
      <c r="AD28" s="41">
        <v>19</v>
      </c>
      <c r="AE28" s="41">
        <f t="shared" si="25"/>
        <v>778050</v>
      </c>
      <c r="AF28" s="41">
        <f t="shared" si="26"/>
        <v>218863.125</v>
      </c>
      <c r="AG28" s="41">
        <f t="shared" si="27"/>
        <v>42652.0458</v>
      </c>
      <c r="AH28" s="41">
        <f t="shared" si="6"/>
        <v>280144.8</v>
      </c>
      <c r="AI28" s="41">
        <f t="shared" si="49"/>
        <v>1319709.9708</v>
      </c>
      <c r="AJ28" s="41">
        <v>9</v>
      </c>
      <c r="AK28" s="41">
        <f t="shared" si="29"/>
        <v>368550</v>
      </c>
      <c r="AL28" s="41">
        <f t="shared" si="30"/>
        <v>218863.125</v>
      </c>
      <c r="AM28" s="41">
        <f t="shared" si="31"/>
        <v>42652.0458</v>
      </c>
      <c r="AN28" s="41">
        <f t="shared" si="7"/>
        <v>280144.8</v>
      </c>
      <c r="AO28" s="41">
        <f t="shared" si="50"/>
        <v>910209.97080000001</v>
      </c>
      <c r="AP28" s="41">
        <v>18</v>
      </c>
      <c r="AQ28" s="41">
        <f t="shared" si="33"/>
        <v>737100</v>
      </c>
      <c r="AR28" s="41">
        <f t="shared" si="34"/>
        <v>218863.125</v>
      </c>
      <c r="AS28" s="41">
        <f t="shared" si="35"/>
        <v>42652.0458</v>
      </c>
      <c r="AT28" s="41">
        <f t="shared" si="8"/>
        <v>280144.8</v>
      </c>
      <c r="AU28" s="41">
        <f t="shared" si="41"/>
        <v>1278759.9708</v>
      </c>
      <c r="AV28" s="41">
        <v>19</v>
      </c>
      <c r="AW28" s="41">
        <f t="shared" si="37"/>
        <v>778050</v>
      </c>
      <c r="AX28" s="41">
        <f t="shared" si="38"/>
        <v>218863.125</v>
      </c>
      <c r="AY28" s="41">
        <f t="shared" si="39"/>
        <v>42652.0458</v>
      </c>
      <c r="AZ28" s="41">
        <f t="shared" si="9"/>
        <v>280144.8</v>
      </c>
      <c r="BA28" s="41">
        <f t="shared" si="40"/>
        <v>1319709.9708</v>
      </c>
    </row>
    <row r="29" spans="1:53" s="31" customFormat="1" x14ac:dyDescent="0.25">
      <c r="A29" s="29" t="s">
        <v>32</v>
      </c>
      <c r="B29" s="30">
        <v>1</v>
      </c>
      <c r="C29" s="30">
        <v>15</v>
      </c>
      <c r="D29" s="30">
        <v>0</v>
      </c>
      <c r="E29" s="30">
        <f t="shared" si="42"/>
        <v>15</v>
      </c>
      <c r="F29" s="30">
        <v>10</v>
      </c>
      <c r="G29" s="41">
        <f t="shared" si="11"/>
        <v>409500</v>
      </c>
      <c r="H29" s="41">
        <f t="shared" si="12"/>
        <v>94840.6875</v>
      </c>
      <c r="I29" s="41">
        <f t="shared" si="13"/>
        <v>18482.553179999999</v>
      </c>
      <c r="J29" s="41">
        <f t="shared" si="14"/>
        <v>121396.08</v>
      </c>
      <c r="K29" s="41">
        <f t="shared" si="43"/>
        <v>644219.32068</v>
      </c>
      <c r="L29" s="41">
        <v>20</v>
      </c>
      <c r="M29" s="41">
        <f t="shared" si="44"/>
        <v>819000</v>
      </c>
      <c r="N29" s="41">
        <f t="shared" si="17"/>
        <v>218863.125</v>
      </c>
      <c r="O29" s="41">
        <f t="shared" si="18"/>
        <v>42652.0458</v>
      </c>
      <c r="P29" s="41">
        <f t="shared" si="19"/>
        <v>280144.8</v>
      </c>
      <c r="Q29" s="41">
        <f t="shared" si="45"/>
        <v>1360659.9708</v>
      </c>
      <c r="R29" s="41">
        <v>19</v>
      </c>
      <c r="S29" s="41">
        <f t="shared" si="46"/>
        <v>778050</v>
      </c>
      <c r="T29" s="41">
        <f t="shared" si="0"/>
        <v>218863.125</v>
      </c>
      <c r="U29" s="41">
        <f t="shared" si="1"/>
        <v>42652.0458</v>
      </c>
      <c r="V29" s="41">
        <f t="shared" si="2"/>
        <v>280144.8</v>
      </c>
      <c r="W29" s="41">
        <f t="shared" si="47"/>
        <v>1319709.9708</v>
      </c>
      <c r="X29" s="41">
        <v>19</v>
      </c>
      <c r="Y29" s="41">
        <f t="shared" si="23"/>
        <v>778050</v>
      </c>
      <c r="Z29" s="41">
        <f t="shared" si="3"/>
        <v>218863.125</v>
      </c>
      <c r="AA29" s="41">
        <f t="shared" si="4"/>
        <v>42652.0458</v>
      </c>
      <c r="AB29" s="41">
        <f t="shared" si="5"/>
        <v>280144.8</v>
      </c>
      <c r="AC29" s="41">
        <f t="shared" si="48"/>
        <v>1319709.9708</v>
      </c>
      <c r="AD29" s="41">
        <v>19</v>
      </c>
      <c r="AE29" s="41">
        <f t="shared" si="25"/>
        <v>778050</v>
      </c>
      <c r="AF29" s="41">
        <f t="shared" si="26"/>
        <v>218863.125</v>
      </c>
      <c r="AG29" s="41">
        <f t="shared" si="27"/>
        <v>42652.0458</v>
      </c>
      <c r="AH29" s="41">
        <f t="shared" si="6"/>
        <v>280144.8</v>
      </c>
      <c r="AI29" s="41">
        <f t="shared" si="49"/>
        <v>1319709.9708</v>
      </c>
      <c r="AJ29" s="41">
        <v>9</v>
      </c>
      <c r="AK29" s="41">
        <f t="shared" si="29"/>
        <v>368550</v>
      </c>
      <c r="AL29" s="41">
        <f t="shared" si="30"/>
        <v>218863.125</v>
      </c>
      <c r="AM29" s="41">
        <f t="shared" si="31"/>
        <v>42652.0458</v>
      </c>
      <c r="AN29" s="41">
        <f t="shared" si="7"/>
        <v>280144.8</v>
      </c>
      <c r="AO29" s="41">
        <f t="shared" si="50"/>
        <v>910209.97080000001</v>
      </c>
      <c r="AP29" s="41">
        <v>18</v>
      </c>
      <c r="AQ29" s="41">
        <f t="shared" si="33"/>
        <v>737100</v>
      </c>
      <c r="AR29" s="41">
        <f t="shared" si="34"/>
        <v>218863.125</v>
      </c>
      <c r="AS29" s="41">
        <f t="shared" si="35"/>
        <v>42652.0458</v>
      </c>
      <c r="AT29" s="41">
        <f t="shared" si="8"/>
        <v>280144.8</v>
      </c>
      <c r="AU29" s="41">
        <f t="shared" si="41"/>
        <v>1278759.9708</v>
      </c>
      <c r="AV29" s="41">
        <v>19</v>
      </c>
      <c r="AW29" s="41">
        <f t="shared" si="37"/>
        <v>778050</v>
      </c>
      <c r="AX29" s="41">
        <f t="shared" si="38"/>
        <v>218863.125</v>
      </c>
      <c r="AY29" s="41">
        <f t="shared" si="39"/>
        <v>42652.0458</v>
      </c>
      <c r="AZ29" s="41">
        <f t="shared" si="9"/>
        <v>280144.8</v>
      </c>
      <c r="BA29" s="41">
        <f t="shared" si="40"/>
        <v>1319709.9708</v>
      </c>
    </row>
    <row r="30" spans="1:53" s="31" customFormat="1" x14ac:dyDescent="0.25">
      <c r="A30" s="29" t="s">
        <v>34</v>
      </c>
      <c r="B30" s="30">
        <v>1</v>
      </c>
      <c r="C30" s="30">
        <v>13</v>
      </c>
      <c r="D30" s="30">
        <v>0</v>
      </c>
      <c r="E30" s="30">
        <f t="shared" si="42"/>
        <v>13</v>
      </c>
      <c r="F30" s="30">
        <v>10</v>
      </c>
      <c r="G30" s="41">
        <f t="shared" si="11"/>
        <v>409500</v>
      </c>
      <c r="H30" s="41">
        <f t="shared" si="12"/>
        <v>94840.6875</v>
      </c>
      <c r="I30" s="41">
        <f t="shared" si="13"/>
        <v>18482.553179999999</v>
      </c>
      <c r="J30" s="41">
        <f t="shared" si="14"/>
        <v>121396.08</v>
      </c>
      <c r="K30" s="41">
        <f t="shared" si="43"/>
        <v>644219.32068</v>
      </c>
      <c r="L30" s="41">
        <v>20</v>
      </c>
      <c r="M30" s="41">
        <f t="shared" si="44"/>
        <v>819000</v>
      </c>
      <c r="N30" s="41">
        <f t="shared" si="17"/>
        <v>218863.125</v>
      </c>
      <c r="O30" s="41">
        <f t="shared" si="18"/>
        <v>42652.0458</v>
      </c>
      <c r="P30" s="41">
        <f t="shared" si="19"/>
        <v>280144.8</v>
      </c>
      <c r="Q30" s="41">
        <f t="shared" si="45"/>
        <v>1360659.9708</v>
      </c>
      <c r="R30" s="41">
        <v>19</v>
      </c>
      <c r="S30" s="41">
        <f t="shared" si="46"/>
        <v>778050</v>
      </c>
      <c r="T30" s="41">
        <f t="shared" si="0"/>
        <v>218863.125</v>
      </c>
      <c r="U30" s="41">
        <f t="shared" si="1"/>
        <v>42652.0458</v>
      </c>
      <c r="V30" s="41">
        <f t="shared" si="2"/>
        <v>280144.8</v>
      </c>
      <c r="W30" s="41">
        <f t="shared" si="47"/>
        <v>1319709.9708</v>
      </c>
      <c r="X30" s="41">
        <v>19</v>
      </c>
      <c r="Y30" s="41">
        <f t="shared" si="23"/>
        <v>778050</v>
      </c>
      <c r="Z30" s="41">
        <f t="shared" si="3"/>
        <v>218863.125</v>
      </c>
      <c r="AA30" s="41">
        <f t="shared" si="4"/>
        <v>42652.0458</v>
      </c>
      <c r="AB30" s="41">
        <f t="shared" si="5"/>
        <v>280144.8</v>
      </c>
      <c r="AC30" s="41">
        <f t="shared" si="48"/>
        <v>1319709.9708</v>
      </c>
      <c r="AD30" s="41">
        <v>19</v>
      </c>
      <c r="AE30" s="41">
        <f t="shared" si="25"/>
        <v>778050</v>
      </c>
      <c r="AF30" s="41">
        <f t="shared" si="26"/>
        <v>218863.125</v>
      </c>
      <c r="AG30" s="41">
        <f t="shared" si="27"/>
        <v>42652.0458</v>
      </c>
      <c r="AH30" s="41">
        <f t="shared" si="6"/>
        <v>280144.8</v>
      </c>
      <c r="AI30" s="41">
        <f t="shared" si="49"/>
        <v>1319709.9708</v>
      </c>
      <c r="AJ30" s="41">
        <v>9</v>
      </c>
      <c r="AK30" s="41">
        <f t="shared" si="29"/>
        <v>368550</v>
      </c>
      <c r="AL30" s="41">
        <f t="shared" si="30"/>
        <v>218863.125</v>
      </c>
      <c r="AM30" s="41">
        <f t="shared" si="31"/>
        <v>42652.0458</v>
      </c>
      <c r="AN30" s="41">
        <f t="shared" si="7"/>
        <v>280144.8</v>
      </c>
      <c r="AO30" s="41">
        <f t="shared" si="50"/>
        <v>910209.97080000001</v>
      </c>
      <c r="AP30" s="41">
        <v>18</v>
      </c>
      <c r="AQ30" s="41">
        <f t="shared" si="33"/>
        <v>737100</v>
      </c>
      <c r="AR30" s="41">
        <f t="shared" si="34"/>
        <v>218863.125</v>
      </c>
      <c r="AS30" s="41">
        <f t="shared" si="35"/>
        <v>42652.0458</v>
      </c>
      <c r="AT30" s="41">
        <f t="shared" si="8"/>
        <v>280144.8</v>
      </c>
      <c r="AU30" s="41">
        <f t="shared" si="41"/>
        <v>1278759.9708</v>
      </c>
      <c r="AV30" s="41">
        <v>19</v>
      </c>
      <c r="AW30" s="41">
        <f t="shared" si="37"/>
        <v>778050</v>
      </c>
      <c r="AX30" s="41">
        <f t="shared" si="38"/>
        <v>218863.125</v>
      </c>
      <c r="AY30" s="41">
        <f t="shared" si="39"/>
        <v>42652.0458</v>
      </c>
      <c r="AZ30" s="41">
        <f t="shared" si="9"/>
        <v>280144.8</v>
      </c>
      <c r="BA30" s="41">
        <f t="shared" si="40"/>
        <v>1319709.9708</v>
      </c>
    </row>
    <row r="31" spans="1:53" s="31" customFormat="1" x14ac:dyDescent="0.25">
      <c r="A31" s="29" t="s">
        <v>57</v>
      </c>
      <c r="B31" s="30">
        <v>1</v>
      </c>
      <c r="C31" s="30">
        <v>13</v>
      </c>
      <c r="D31" s="30">
        <v>0</v>
      </c>
      <c r="E31" s="30">
        <f t="shared" si="42"/>
        <v>13</v>
      </c>
      <c r="F31" s="30">
        <v>10</v>
      </c>
      <c r="G31" s="41">
        <f>$C$4*F31</f>
        <v>409500</v>
      </c>
      <c r="H31" s="41">
        <f>($D$4*12.5%)/30*13</f>
        <v>94840.6875</v>
      </c>
      <c r="I31" s="41">
        <f t="shared" si="13"/>
        <v>18482.553179999999</v>
      </c>
      <c r="J31" s="41">
        <f t="shared" si="14"/>
        <v>121396.08</v>
      </c>
      <c r="K31" s="41">
        <f t="shared" si="43"/>
        <v>644219.32068</v>
      </c>
      <c r="L31" s="41">
        <v>20</v>
      </c>
      <c r="M31" s="41">
        <f t="shared" si="44"/>
        <v>819000</v>
      </c>
      <c r="N31" s="41">
        <f t="shared" si="17"/>
        <v>218863.125</v>
      </c>
      <c r="O31" s="41">
        <f t="shared" si="18"/>
        <v>42652.0458</v>
      </c>
      <c r="P31" s="41">
        <f t="shared" si="19"/>
        <v>280144.8</v>
      </c>
      <c r="Q31" s="41">
        <f t="shared" si="45"/>
        <v>1360659.9708</v>
      </c>
      <c r="R31" s="41">
        <v>19</v>
      </c>
      <c r="S31" s="41">
        <f t="shared" si="46"/>
        <v>778050</v>
      </c>
      <c r="T31" s="41">
        <f t="shared" si="0"/>
        <v>218863.125</v>
      </c>
      <c r="U31" s="41">
        <f t="shared" si="1"/>
        <v>42652.0458</v>
      </c>
      <c r="V31" s="41">
        <f t="shared" si="2"/>
        <v>280144.8</v>
      </c>
      <c r="W31" s="41">
        <f t="shared" si="47"/>
        <v>1319709.9708</v>
      </c>
      <c r="X31" s="41">
        <v>19</v>
      </c>
      <c r="Y31" s="41">
        <f t="shared" si="23"/>
        <v>778050</v>
      </c>
      <c r="Z31" s="41">
        <f t="shared" si="3"/>
        <v>218863.125</v>
      </c>
      <c r="AA31" s="41">
        <f t="shared" si="4"/>
        <v>42652.0458</v>
      </c>
      <c r="AB31" s="41">
        <f t="shared" si="5"/>
        <v>280144.8</v>
      </c>
      <c r="AC31" s="41">
        <f t="shared" si="48"/>
        <v>1319709.9708</v>
      </c>
      <c r="AD31" s="41">
        <v>19</v>
      </c>
      <c r="AE31" s="41">
        <f t="shared" si="25"/>
        <v>778050</v>
      </c>
      <c r="AF31" s="41">
        <f t="shared" si="26"/>
        <v>218863.125</v>
      </c>
      <c r="AG31" s="41">
        <f t="shared" si="27"/>
        <v>42652.0458</v>
      </c>
      <c r="AH31" s="41">
        <f t="shared" si="6"/>
        <v>280144.8</v>
      </c>
      <c r="AI31" s="41">
        <f t="shared" si="49"/>
        <v>1319709.9708</v>
      </c>
      <c r="AJ31" s="41">
        <v>9</v>
      </c>
      <c r="AK31" s="41">
        <f t="shared" si="29"/>
        <v>368550</v>
      </c>
      <c r="AL31" s="41">
        <f t="shared" si="30"/>
        <v>218863.125</v>
      </c>
      <c r="AM31" s="41">
        <f t="shared" si="31"/>
        <v>42652.0458</v>
      </c>
      <c r="AN31" s="41">
        <f t="shared" si="7"/>
        <v>280144.8</v>
      </c>
      <c r="AO31" s="41">
        <f t="shared" si="50"/>
        <v>910209.97080000001</v>
      </c>
      <c r="AP31" s="41">
        <v>18</v>
      </c>
      <c r="AQ31" s="41">
        <f t="shared" si="33"/>
        <v>737100</v>
      </c>
      <c r="AR31" s="41">
        <f t="shared" si="34"/>
        <v>218863.125</v>
      </c>
      <c r="AS31" s="41">
        <f t="shared" si="35"/>
        <v>42652.0458</v>
      </c>
      <c r="AT31" s="41">
        <f t="shared" si="8"/>
        <v>280144.8</v>
      </c>
      <c r="AU31" s="41">
        <f t="shared" si="41"/>
        <v>1278759.9708</v>
      </c>
      <c r="AV31" s="41">
        <v>19</v>
      </c>
      <c r="AW31" s="41">
        <f t="shared" si="37"/>
        <v>778050</v>
      </c>
      <c r="AX31" s="41">
        <f t="shared" si="38"/>
        <v>218863.125</v>
      </c>
      <c r="AY31" s="41">
        <f t="shared" si="39"/>
        <v>42652.0458</v>
      </c>
      <c r="AZ31" s="41">
        <f t="shared" si="9"/>
        <v>280144.8</v>
      </c>
      <c r="BA31" s="41">
        <f t="shared" si="40"/>
        <v>1319709.9708</v>
      </c>
    </row>
    <row r="32" spans="1:53" s="31" customFormat="1" x14ac:dyDescent="0.25">
      <c r="A32" s="29" t="s">
        <v>73</v>
      </c>
      <c r="B32" s="30">
        <v>1</v>
      </c>
      <c r="C32" s="30">
        <v>12</v>
      </c>
      <c r="D32" s="30">
        <v>0</v>
      </c>
      <c r="E32" s="30">
        <f t="shared" si="42"/>
        <v>12</v>
      </c>
      <c r="F32" s="30">
        <v>10</v>
      </c>
      <c r="G32" s="41">
        <f t="shared" si="11"/>
        <v>409500</v>
      </c>
      <c r="H32" s="41">
        <f t="shared" si="12"/>
        <v>94840.6875</v>
      </c>
      <c r="I32" s="41">
        <f t="shared" si="13"/>
        <v>18482.553179999999</v>
      </c>
      <c r="J32" s="41">
        <f t="shared" si="14"/>
        <v>121396.08</v>
      </c>
      <c r="K32" s="41">
        <f t="shared" si="43"/>
        <v>644219.32068</v>
      </c>
      <c r="L32" s="41">
        <v>20</v>
      </c>
      <c r="M32" s="41">
        <f t="shared" si="44"/>
        <v>819000</v>
      </c>
      <c r="N32" s="41">
        <f t="shared" si="17"/>
        <v>218863.125</v>
      </c>
      <c r="O32" s="41">
        <f t="shared" si="18"/>
        <v>42652.0458</v>
      </c>
      <c r="P32" s="41">
        <f t="shared" si="19"/>
        <v>280144.8</v>
      </c>
      <c r="Q32" s="41">
        <f t="shared" si="45"/>
        <v>1360659.9708</v>
      </c>
      <c r="R32" s="41">
        <v>19</v>
      </c>
      <c r="S32" s="41">
        <f t="shared" si="46"/>
        <v>778050</v>
      </c>
      <c r="T32" s="41">
        <f t="shared" si="0"/>
        <v>218863.125</v>
      </c>
      <c r="U32" s="41">
        <f t="shared" si="1"/>
        <v>42652.0458</v>
      </c>
      <c r="V32" s="41">
        <f t="shared" si="2"/>
        <v>280144.8</v>
      </c>
      <c r="W32" s="41">
        <f t="shared" si="47"/>
        <v>1319709.9708</v>
      </c>
      <c r="X32" s="41">
        <v>19</v>
      </c>
      <c r="Y32" s="41">
        <f t="shared" si="23"/>
        <v>778050</v>
      </c>
      <c r="Z32" s="41">
        <f t="shared" si="3"/>
        <v>218863.125</v>
      </c>
      <c r="AA32" s="41">
        <f t="shared" si="4"/>
        <v>42652.0458</v>
      </c>
      <c r="AB32" s="41">
        <f t="shared" si="5"/>
        <v>280144.8</v>
      </c>
      <c r="AC32" s="41">
        <f t="shared" si="48"/>
        <v>1319709.9708</v>
      </c>
      <c r="AD32" s="41">
        <v>19</v>
      </c>
      <c r="AE32" s="41">
        <f t="shared" si="25"/>
        <v>778050</v>
      </c>
      <c r="AF32" s="41">
        <f t="shared" si="26"/>
        <v>218863.125</v>
      </c>
      <c r="AG32" s="41">
        <f t="shared" si="27"/>
        <v>42652.0458</v>
      </c>
      <c r="AH32" s="41">
        <f t="shared" si="6"/>
        <v>280144.8</v>
      </c>
      <c r="AI32" s="41">
        <f t="shared" si="49"/>
        <v>1319709.9708</v>
      </c>
      <c r="AJ32" s="41">
        <v>9</v>
      </c>
      <c r="AK32" s="41">
        <f t="shared" si="29"/>
        <v>368550</v>
      </c>
      <c r="AL32" s="41">
        <f t="shared" si="30"/>
        <v>218863.125</v>
      </c>
      <c r="AM32" s="41">
        <f t="shared" si="31"/>
        <v>42652.0458</v>
      </c>
      <c r="AN32" s="41">
        <f t="shared" si="7"/>
        <v>280144.8</v>
      </c>
      <c r="AO32" s="41">
        <f t="shared" si="50"/>
        <v>910209.97080000001</v>
      </c>
      <c r="AP32" s="41">
        <v>18</v>
      </c>
      <c r="AQ32" s="41">
        <f t="shared" si="33"/>
        <v>737100</v>
      </c>
      <c r="AR32" s="41">
        <f t="shared" si="34"/>
        <v>218863.125</v>
      </c>
      <c r="AS32" s="41">
        <f t="shared" si="35"/>
        <v>42652.0458</v>
      </c>
      <c r="AT32" s="41">
        <f t="shared" si="8"/>
        <v>280144.8</v>
      </c>
      <c r="AU32" s="41">
        <f t="shared" si="41"/>
        <v>1278759.9708</v>
      </c>
      <c r="AV32" s="41">
        <v>19</v>
      </c>
      <c r="AW32" s="41">
        <f t="shared" si="37"/>
        <v>778050</v>
      </c>
      <c r="AX32" s="41">
        <f t="shared" si="38"/>
        <v>218863.125</v>
      </c>
      <c r="AY32" s="41">
        <f t="shared" si="39"/>
        <v>42652.0458</v>
      </c>
      <c r="AZ32" s="41">
        <f t="shared" si="9"/>
        <v>280144.8</v>
      </c>
      <c r="BA32" s="41">
        <f t="shared" si="40"/>
        <v>1319709.9708</v>
      </c>
    </row>
    <row r="33" spans="1:53" s="31" customFormat="1" x14ac:dyDescent="0.25">
      <c r="A33" s="29" t="s">
        <v>78</v>
      </c>
      <c r="B33" s="30">
        <v>1</v>
      </c>
      <c r="C33" s="30">
        <v>14</v>
      </c>
      <c r="D33" s="30">
        <v>0</v>
      </c>
      <c r="E33" s="30">
        <f t="shared" si="42"/>
        <v>14</v>
      </c>
      <c r="F33" s="30">
        <v>10</v>
      </c>
      <c r="G33" s="41">
        <f t="shared" si="11"/>
        <v>409500</v>
      </c>
      <c r="H33" s="41">
        <f t="shared" si="12"/>
        <v>94840.6875</v>
      </c>
      <c r="I33" s="41">
        <f t="shared" si="13"/>
        <v>18482.553179999999</v>
      </c>
      <c r="J33" s="41">
        <f t="shared" si="14"/>
        <v>121396.08</v>
      </c>
      <c r="K33" s="41">
        <f t="shared" si="43"/>
        <v>644219.32068</v>
      </c>
      <c r="L33" s="41">
        <v>20</v>
      </c>
      <c r="M33" s="41">
        <f t="shared" si="44"/>
        <v>819000</v>
      </c>
      <c r="N33" s="41">
        <f t="shared" si="17"/>
        <v>218863.125</v>
      </c>
      <c r="O33" s="41">
        <f t="shared" si="18"/>
        <v>42652.0458</v>
      </c>
      <c r="P33" s="41">
        <f t="shared" si="19"/>
        <v>280144.8</v>
      </c>
      <c r="Q33" s="41">
        <f t="shared" si="45"/>
        <v>1360659.9708</v>
      </c>
      <c r="R33" s="41">
        <v>19</v>
      </c>
      <c r="S33" s="41">
        <f t="shared" si="46"/>
        <v>778050</v>
      </c>
      <c r="T33" s="41">
        <f t="shared" si="0"/>
        <v>218863.125</v>
      </c>
      <c r="U33" s="41">
        <f t="shared" si="1"/>
        <v>42652.0458</v>
      </c>
      <c r="V33" s="41">
        <f t="shared" si="2"/>
        <v>280144.8</v>
      </c>
      <c r="W33" s="41">
        <f t="shared" si="47"/>
        <v>1319709.9708</v>
      </c>
      <c r="X33" s="41">
        <v>19</v>
      </c>
      <c r="Y33" s="41">
        <f t="shared" si="23"/>
        <v>778050</v>
      </c>
      <c r="Z33" s="41">
        <f t="shared" si="3"/>
        <v>218863.125</v>
      </c>
      <c r="AA33" s="41">
        <f t="shared" si="4"/>
        <v>42652.0458</v>
      </c>
      <c r="AB33" s="41">
        <f t="shared" si="5"/>
        <v>280144.8</v>
      </c>
      <c r="AC33" s="41">
        <f t="shared" si="48"/>
        <v>1319709.9708</v>
      </c>
      <c r="AD33" s="41">
        <v>19</v>
      </c>
      <c r="AE33" s="41">
        <f t="shared" si="25"/>
        <v>778050</v>
      </c>
      <c r="AF33" s="41">
        <f t="shared" si="26"/>
        <v>218863.125</v>
      </c>
      <c r="AG33" s="41">
        <f t="shared" si="27"/>
        <v>42652.0458</v>
      </c>
      <c r="AH33" s="41">
        <f t="shared" si="6"/>
        <v>280144.8</v>
      </c>
      <c r="AI33" s="41">
        <f t="shared" si="49"/>
        <v>1319709.9708</v>
      </c>
      <c r="AJ33" s="41">
        <v>9</v>
      </c>
      <c r="AK33" s="41">
        <f t="shared" si="29"/>
        <v>368550</v>
      </c>
      <c r="AL33" s="41">
        <f t="shared" si="30"/>
        <v>218863.125</v>
      </c>
      <c r="AM33" s="41">
        <f t="shared" si="31"/>
        <v>42652.0458</v>
      </c>
      <c r="AN33" s="41">
        <f t="shared" si="7"/>
        <v>280144.8</v>
      </c>
      <c r="AO33" s="41">
        <f t="shared" si="50"/>
        <v>910209.97080000001</v>
      </c>
      <c r="AP33" s="41">
        <v>18</v>
      </c>
      <c r="AQ33" s="41">
        <f t="shared" si="33"/>
        <v>737100</v>
      </c>
      <c r="AR33" s="41">
        <f t="shared" si="34"/>
        <v>218863.125</v>
      </c>
      <c r="AS33" s="41">
        <f t="shared" si="35"/>
        <v>42652.0458</v>
      </c>
      <c r="AT33" s="41">
        <f t="shared" si="8"/>
        <v>280144.8</v>
      </c>
      <c r="AU33" s="41">
        <f t="shared" si="41"/>
        <v>1278759.9708</v>
      </c>
      <c r="AV33" s="41">
        <v>19</v>
      </c>
      <c r="AW33" s="41">
        <f t="shared" si="37"/>
        <v>778050</v>
      </c>
      <c r="AX33" s="41">
        <f t="shared" si="38"/>
        <v>218863.125</v>
      </c>
      <c r="AY33" s="41">
        <f t="shared" si="39"/>
        <v>42652.0458</v>
      </c>
      <c r="AZ33" s="41">
        <f t="shared" si="9"/>
        <v>280144.8</v>
      </c>
      <c r="BA33" s="41">
        <f t="shared" si="40"/>
        <v>1319709.9708</v>
      </c>
    </row>
    <row r="34" spans="1:53" s="31" customFormat="1" x14ac:dyDescent="0.25">
      <c r="A34" s="29" t="s">
        <v>85</v>
      </c>
      <c r="B34" s="30">
        <v>1</v>
      </c>
      <c r="C34" s="30">
        <v>11</v>
      </c>
      <c r="D34" s="30">
        <v>0</v>
      </c>
      <c r="E34" s="30">
        <f t="shared" si="42"/>
        <v>11</v>
      </c>
      <c r="F34" s="30">
        <v>10</v>
      </c>
      <c r="G34" s="41">
        <f t="shared" si="11"/>
        <v>409500</v>
      </c>
      <c r="H34" s="41">
        <f t="shared" si="12"/>
        <v>94840.6875</v>
      </c>
      <c r="I34" s="41">
        <f t="shared" si="13"/>
        <v>18482.553179999999</v>
      </c>
      <c r="J34" s="41">
        <f t="shared" si="14"/>
        <v>121396.08</v>
      </c>
      <c r="K34" s="41">
        <f t="shared" si="43"/>
        <v>644219.32068</v>
      </c>
      <c r="L34" s="41">
        <v>20</v>
      </c>
      <c r="M34" s="41">
        <f t="shared" si="44"/>
        <v>819000</v>
      </c>
      <c r="N34" s="41">
        <f t="shared" si="17"/>
        <v>218863.125</v>
      </c>
      <c r="O34" s="41">
        <f t="shared" si="18"/>
        <v>42652.0458</v>
      </c>
      <c r="P34" s="41">
        <f t="shared" si="19"/>
        <v>280144.8</v>
      </c>
      <c r="Q34" s="41">
        <f t="shared" si="45"/>
        <v>1360659.9708</v>
      </c>
      <c r="R34" s="41">
        <v>19</v>
      </c>
      <c r="S34" s="41">
        <f t="shared" si="46"/>
        <v>778050</v>
      </c>
      <c r="T34" s="41">
        <f t="shared" si="0"/>
        <v>218863.125</v>
      </c>
      <c r="U34" s="41">
        <f t="shared" si="1"/>
        <v>42652.0458</v>
      </c>
      <c r="V34" s="41">
        <f t="shared" si="2"/>
        <v>280144.8</v>
      </c>
      <c r="W34" s="41">
        <f t="shared" si="47"/>
        <v>1319709.9708</v>
      </c>
      <c r="X34" s="41">
        <v>19</v>
      </c>
      <c r="Y34" s="41">
        <f t="shared" si="23"/>
        <v>778050</v>
      </c>
      <c r="Z34" s="41">
        <f t="shared" si="3"/>
        <v>218863.125</v>
      </c>
      <c r="AA34" s="41">
        <f t="shared" si="4"/>
        <v>42652.0458</v>
      </c>
      <c r="AB34" s="41">
        <f t="shared" si="5"/>
        <v>280144.8</v>
      </c>
      <c r="AC34" s="41">
        <f t="shared" si="48"/>
        <v>1319709.9708</v>
      </c>
      <c r="AD34" s="41">
        <v>19</v>
      </c>
      <c r="AE34" s="41">
        <f t="shared" si="25"/>
        <v>778050</v>
      </c>
      <c r="AF34" s="41">
        <f t="shared" si="26"/>
        <v>218863.125</v>
      </c>
      <c r="AG34" s="41">
        <f t="shared" si="27"/>
        <v>42652.0458</v>
      </c>
      <c r="AH34" s="41">
        <f t="shared" si="6"/>
        <v>280144.8</v>
      </c>
      <c r="AI34" s="41">
        <f t="shared" si="49"/>
        <v>1319709.9708</v>
      </c>
      <c r="AJ34" s="41">
        <v>9</v>
      </c>
      <c r="AK34" s="41">
        <f t="shared" si="29"/>
        <v>368550</v>
      </c>
      <c r="AL34" s="41">
        <f t="shared" si="30"/>
        <v>218863.125</v>
      </c>
      <c r="AM34" s="41">
        <f t="shared" si="31"/>
        <v>42652.0458</v>
      </c>
      <c r="AN34" s="41">
        <f t="shared" si="7"/>
        <v>280144.8</v>
      </c>
      <c r="AO34" s="41">
        <f t="shared" si="50"/>
        <v>910209.97080000001</v>
      </c>
      <c r="AP34" s="41">
        <v>18</v>
      </c>
      <c r="AQ34" s="41">
        <f t="shared" si="33"/>
        <v>737100</v>
      </c>
      <c r="AR34" s="41">
        <f t="shared" si="34"/>
        <v>218863.125</v>
      </c>
      <c r="AS34" s="41">
        <f t="shared" si="35"/>
        <v>42652.0458</v>
      </c>
      <c r="AT34" s="41">
        <f t="shared" si="8"/>
        <v>280144.8</v>
      </c>
      <c r="AU34" s="41">
        <f t="shared" si="41"/>
        <v>1278759.9708</v>
      </c>
      <c r="AV34" s="41">
        <v>19</v>
      </c>
      <c r="AW34" s="41">
        <f t="shared" si="37"/>
        <v>778050</v>
      </c>
      <c r="AX34" s="41">
        <f t="shared" si="38"/>
        <v>218863.125</v>
      </c>
      <c r="AY34" s="41">
        <f t="shared" si="39"/>
        <v>42652.0458</v>
      </c>
      <c r="AZ34" s="41">
        <f t="shared" si="9"/>
        <v>280144.8</v>
      </c>
      <c r="BA34" s="41">
        <f t="shared" si="40"/>
        <v>1319709.9708</v>
      </c>
    </row>
    <row r="35" spans="1:53" s="31" customFormat="1" x14ac:dyDescent="0.25">
      <c r="A35" s="29" t="s">
        <v>97</v>
      </c>
      <c r="B35" s="30">
        <v>1</v>
      </c>
      <c r="C35" s="30">
        <v>15</v>
      </c>
      <c r="D35" s="30">
        <v>0</v>
      </c>
      <c r="E35" s="30">
        <f t="shared" si="42"/>
        <v>15</v>
      </c>
      <c r="F35" s="30">
        <v>10</v>
      </c>
      <c r="G35" s="41">
        <f>$C$4*F35</f>
        <v>409500</v>
      </c>
      <c r="H35" s="41">
        <f t="shared" si="12"/>
        <v>94840.6875</v>
      </c>
      <c r="I35" s="41">
        <f t="shared" si="13"/>
        <v>18482.553179999999</v>
      </c>
      <c r="J35" s="41">
        <f t="shared" si="14"/>
        <v>121396.08</v>
      </c>
      <c r="K35" s="41">
        <f t="shared" si="43"/>
        <v>644219.32068</v>
      </c>
      <c r="L35" s="41">
        <v>20</v>
      </c>
      <c r="M35" s="41">
        <f t="shared" si="44"/>
        <v>819000</v>
      </c>
      <c r="N35" s="41">
        <f t="shared" si="17"/>
        <v>218863.125</v>
      </c>
      <c r="O35" s="41">
        <f t="shared" si="18"/>
        <v>42652.0458</v>
      </c>
      <c r="P35" s="41">
        <f t="shared" si="19"/>
        <v>280144.8</v>
      </c>
      <c r="Q35" s="41">
        <f t="shared" si="45"/>
        <v>1360659.9708</v>
      </c>
      <c r="R35" s="41">
        <v>19</v>
      </c>
      <c r="S35" s="41">
        <f t="shared" si="46"/>
        <v>778050</v>
      </c>
      <c r="T35" s="41">
        <f t="shared" si="0"/>
        <v>218863.125</v>
      </c>
      <c r="U35" s="41">
        <f t="shared" si="1"/>
        <v>42652.0458</v>
      </c>
      <c r="V35" s="41">
        <f t="shared" si="2"/>
        <v>280144.8</v>
      </c>
      <c r="W35" s="41">
        <f t="shared" si="47"/>
        <v>1319709.9708</v>
      </c>
      <c r="X35" s="41">
        <v>19</v>
      </c>
      <c r="Y35" s="41">
        <f t="shared" si="23"/>
        <v>778050</v>
      </c>
      <c r="Z35" s="41">
        <f t="shared" si="3"/>
        <v>218863.125</v>
      </c>
      <c r="AA35" s="41">
        <f t="shared" si="4"/>
        <v>42652.0458</v>
      </c>
      <c r="AB35" s="41">
        <f t="shared" si="5"/>
        <v>280144.8</v>
      </c>
      <c r="AC35" s="41">
        <f t="shared" si="48"/>
        <v>1319709.9708</v>
      </c>
      <c r="AD35" s="41">
        <v>19</v>
      </c>
      <c r="AE35" s="41">
        <f>$C$4*AD35</f>
        <v>778050</v>
      </c>
      <c r="AF35" s="41">
        <f t="shared" si="26"/>
        <v>218863.125</v>
      </c>
      <c r="AG35" s="41">
        <f t="shared" si="27"/>
        <v>42652.0458</v>
      </c>
      <c r="AH35" s="41">
        <f t="shared" si="6"/>
        <v>280144.8</v>
      </c>
      <c r="AI35" s="41">
        <f t="shared" si="49"/>
        <v>1319709.9708</v>
      </c>
      <c r="AJ35" s="41">
        <v>9</v>
      </c>
      <c r="AK35" s="41">
        <f>$C$4*AJ35</f>
        <v>368550</v>
      </c>
      <c r="AL35" s="41">
        <f t="shared" si="30"/>
        <v>218863.125</v>
      </c>
      <c r="AM35" s="41">
        <f t="shared" si="31"/>
        <v>42652.0458</v>
      </c>
      <c r="AN35" s="41">
        <f t="shared" si="7"/>
        <v>280144.8</v>
      </c>
      <c r="AO35" s="41">
        <f t="shared" si="50"/>
        <v>910209.97080000001</v>
      </c>
      <c r="AP35" s="41">
        <v>18</v>
      </c>
      <c r="AQ35" s="41">
        <f t="shared" si="33"/>
        <v>737100</v>
      </c>
      <c r="AR35" s="41">
        <f t="shared" si="34"/>
        <v>218863.125</v>
      </c>
      <c r="AS35" s="41">
        <f t="shared" si="35"/>
        <v>42652.0458</v>
      </c>
      <c r="AT35" s="41">
        <f t="shared" si="8"/>
        <v>280144.8</v>
      </c>
      <c r="AU35" s="41">
        <f t="shared" si="41"/>
        <v>1278759.9708</v>
      </c>
      <c r="AV35" s="41">
        <v>19</v>
      </c>
      <c r="AW35" s="41">
        <f t="shared" si="37"/>
        <v>778050</v>
      </c>
      <c r="AX35" s="41">
        <f t="shared" si="38"/>
        <v>218863.125</v>
      </c>
      <c r="AY35" s="41">
        <f t="shared" si="39"/>
        <v>42652.0458</v>
      </c>
      <c r="AZ35" s="41">
        <f t="shared" si="9"/>
        <v>280144.8</v>
      </c>
      <c r="BA35" s="41">
        <f t="shared" si="40"/>
        <v>1319709.9708</v>
      </c>
    </row>
    <row r="36" spans="1:53" s="34" customFormat="1" x14ac:dyDescent="0.25">
      <c r="A36" s="32" t="s">
        <v>107</v>
      </c>
      <c r="B36" s="33">
        <v>1</v>
      </c>
      <c r="C36" s="33">
        <v>10</v>
      </c>
      <c r="D36" s="33">
        <v>7</v>
      </c>
      <c r="E36" s="33">
        <f t="shared" si="42"/>
        <v>17</v>
      </c>
      <c r="F36" s="33">
        <v>10</v>
      </c>
      <c r="G36" s="42">
        <f t="shared" ref="G36" si="51">$C$5*F36</f>
        <v>598500</v>
      </c>
      <c r="H36" s="42">
        <f t="shared" si="12"/>
        <v>94840.6875</v>
      </c>
      <c r="I36" s="42">
        <f t="shared" si="13"/>
        <v>18482.553179999999</v>
      </c>
      <c r="J36" s="42">
        <f t="shared" si="14"/>
        <v>121396.08</v>
      </c>
      <c r="K36" s="42">
        <f t="shared" ref="K36:K74" si="52">SUM(G36:J36)*B36</f>
        <v>833219.32068</v>
      </c>
      <c r="L36" s="42">
        <v>20</v>
      </c>
      <c r="M36" s="42">
        <f>$C$5*L36</f>
        <v>1197000</v>
      </c>
      <c r="N36" s="42">
        <f t="shared" si="17"/>
        <v>218863.125</v>
      </c>
      <c r="O36" s="42">
        <f t="shared" si="18"/>
        <v>42652.0458</v>
      </c>
      <c r="P36" s="42">
        <f t="shared" si="19"/>
        <v>280144.8</v>
      </c>
      <c r="Q36" s="42">
        <f t="shared" si="20"/>
        <v>1738659.9708</v>
      </c>
      <c r="R36" s="42">
        <v>19</v>
      </c>
      <c r="S36" s="42">
        <f>$C$5*R36</f>
        <v>1137150</v>
      </c>
      <c r="T36" s="42">
        <f t="shared" si="0"/>
        <v>218863.125</v>
      </c>
      <c r="U36" s="42">
        <f t="shared" si="1"/>
        <v>42652.0458</v>
      </c>
      <c r="V36" s="42">
        <f t="shared" si="2"/>
        <v>280144.8</v>
      </c>
      <c r="W36" s="42">
        <f t="shared" si="22"/>
        <v>1678809.9708</v>
      </c>
      <c r="X36" s="42">
        <v>19</v>
      </c>
      <c r="Y36" s="42">
        <f>$C$5*X36</f>
        <v>1137150</v>
      </c>
      <c r="Z36" s="42">
        <f t="shared" si="3"/>
        <v>218863.125</v>
      </c>
      <c r="AA36" s="42">
        <f t="shared" si="4"/>
        <v>42652.0458</v>
      </c>
      <c r="AB36" s="42">
        <f t="shared" si="5"/>
        <v>280144.8</v>
      </c>
      <c r="AC36" s="42">
        <f t="shared" si="24"/>
        <v>1678809.9708</v>
      </c>
      <c r="AD36" s="42">
        <v>19</v>
      </c>
      <c r="AE36" s="42">
        <f>$C$5*AD36</f>
        <v>1137150</v>
      </c>
      <c r="AF36" s="42">
        <f t="shared" si="26"/>
        <v>218863.125</v>
      </c>
      <c r="AG36" s="42">
        <f t="shared" si="27"/>
        <v>42652.0458</v>
      </c>
      <c r="AH36" s="42">
        <f t="shared" si="6"/>
        <v>280144.8</v>
      </c>
      <c r="AI36" s="42">
        <f t="shared" si="28"/>
        <v>1678809.9708</v>
      </c>
      <c r="AJ36" s="42">
        <v>9</v>
      </c>
      <c r="AK36" s="42">
        <f t="shared" ref="AK36" si="53">$C$5*AJ36</f>
        <v>538650</v>
      </c>
      <c r="AL36" s="42">
        <f t="shared" si="30"/>
        <v>218863.125</v>
      </c>
      <c r="AM36" s="42">
        <f t="shared" si="31"/>
        <v>42652.0458</v>
      </c>
      <c r="AN36" s="42">
        <f t="shared" si="7"/>
        <v>280144.8</v>
      </c>
      <c r="AO36" s="42">
        <f t="shared" si="32"/>
        <v>1080309.9708</v>
      </c>
      <c r="AP36" s="42">
        <v>18</v>
      </c>
      <c r="AQ36" s="42">
        <f t="shared" ref="AQ36" si="54">$C$5*AP36</f>
        <v>1077300</v>
      </c>
      <c r="AR36" s="42">
        <f t="shared" si="34"/>
        <v>218863.125</v>
      </c>
      <c r="AS36" s="42">
        <f t="shared" si="35"/>
        <v>42652.0458</v>
      </c>
      <c r="AT36" s="42">
        <f t="shared" si="8"/>
        <v>280144.8</v>
      </c>
      <c r="AU36" s="42">
        <f t="shared" si="36"/>
        <v>1618959.9708</v>
      </c>
      <c r="AV36" s="42">
        <v>19</v>
      </c>
      <c r="AW36" s="42">
        <f t="shared" ref="AW36:AW68" si="55">$C$5*AV36</f>
        <v>1137150</v>
      </c>
      <c r="AX36" s="42">
        <f t="shared" si="38"/>
        <v>218863.125</v>
      </c>
      <c r="AY36" s="42">
        <f t="shared" si="39"/>
        <v>42652.0458</v>
      </c>
      <c r="AZ36" s="42">
        <f t="shared" si="9"/>
        <v>280144.8</v>
      </c>
      <c r="BA36" s="119">
        <f t="shared" si="40"/>
        <v>1678809.9708</v>
      </c>
    </row>
    <row r="37" spans="1:53" s="34" customFormat="1" x14ac:dyDescent="0.25">
      <c r="A37" s="32" t="s">
        <v>27</v>
      </c>
      <c r="B37" s="33">
        <v>1</v>
      </c>
      <c r="C37" s="33">
        <v>10</v>
      </c>
      <c r="D37" s="33">
        <v>7</v>
      </c>
      <c r="E37" s="33">
        <f t="shared" si="42"/>
        <v>17</v>
      </c>
      <c r="F37" s="33">
        <v>10</v>
      </c>
      <c r="G37" s="42">
        <f t="shared" ref="G37:G65" si="56">$C$5*F37</f>
        <v>598500</v>
      </c>
      <c r="H37" s="42">
        <f t="shared" si="12"/>
        <v>94840.6875</v>
      </c>
      <c r="I37" s="42">
        <f t="shared" si="13"/>
        <v>18482.553179999999</v>
      </c>
      <c r="J37" s="42">
        <f t="shared" si="14"/>
        <v>121396.08</v>
      </c>
      <c r="K37" s="42">
        <f t="shared" si="52"/>
        <v>833219.32068</v>
      </c>
      <c r="L37" s="42">
        <v>20</v>
      </c>
      <c r="M37" s="42">
        <f t="shared" ref="M37:M66" si="57">$C$5*L37</f>
        <v>1197000</v>
      </c>
      <c r="N37" s="42">
        <f t="shared" si="17"/>
        <v>218863.125</v>
      </c>
      <c r="O37" s="42">
        <f t="shared" si="18"/>
        <v>42652.0458</v>
      </c>
      <c r="P37" s="42">
        <f t="shared" si="19"/>
        <v>280144.8</v>
      </c>
      <c r="Q37" s="42">
        <f t="shared" si="20"/>
        <v>1738659.9708</v>
      </c>
      <c r="R37" s="42">
        <v>19</v>
      </c>
      <c r="S37" s="42">
        <f t="shared" ref="S37:S66" si="58">$C$5*R37</f>
        <v>1137150</v>
      </c>
      <c r="T37" s="42">
        <f t="shared" si="0"/>
        <v>218863.125</v>
      </c>
      <c r="U37" s="42">
        <f t="shared" si="1"/>
        <v>42652.0458</v>
      </c>
      <c r="V37" s="42">
        <f t="shared" si="2"/>
        <v>280144.8</v>
      </c>
      <c r="W37" s="42">
        <f t="shared" si="22"/>
        <v>1678809.9708</v>
      </c>
      <c r="X37" s="42">
        <v>19</v>
      </c>
      <c r="Y37" s="42">
        <f t="shared" ref="Y37:Y65" si="59">$C$5*X37</f>
        <v>1137150</v>
      </c>
      <c r="Z37" s="42">
        <f t="shared" si="3"/>
        <v>218863.125</v>
      </c>
      <c r="AA37" s="42">
        <f t="shared" si="4"/>
        <v>42652.0458</v>
      </c>
      <c r="AB37" s="42">
        <f t="shared" si="5"/>
        <v>280144.8</v>
      </c>
      <c r="AC37" s="42">
        <f t="shared" si="24"/>
        <v>1678809.9708</v>
      </c>
      <c r="AD37" s="42">
        <v>19</v>
      </c>
      <c r="AE37" s="42">
        <f t="shared" ref="AE37:AE64" si="60">$C$5*AD37</f>
        <v>1137150</v>
      </c>
      <c r="AF37" s="42">
        <f t="shared" si="26"/>
        <v>218863.125</v>
      </c>
      <c r="AG37" s="42">
        <f t="shared" si="27"/>
        <v>42652.0458</v>
      </c>
      <c r="AH37" s="42">
        <f t="shared" si="6"/>
        <v>280144.8</v>
      </c>
      <c r="AI37" s="42">
        <f t="shared" si="28"/>
        <v>1678809.9708</v>
      </c>
      <c r="AJ37" s="42">
        <v>9</v>
      </c>
      <c r="AK37" s="42">
        <f t="shared" ref="AK37:AK66" si="61">$C$5*AJ37</f>
        <v>538650</v>
      </c>
      <c r="AL37" s="42">
        <f t="shared" si="30"/>
        <v>218863.125</v>
      </c>
      <c r="AM37" s="42">
        <f t="shared" si="31"/>
        <v>42652.0458</v>
      </c>
      <c r="AN37" s="42">
        <f t="shared" si="7"/>
        <v>280144.8</v>
      </c>
      <c r="AO37" s="42">
        <f t="shared" si="32"/>
        <v>1080309.9708</v>
      </c>
      <c r="AP37" s="42">
        <v>18</v>
      </c>
      <c r="AQ37" s="42">
        <f t="shared" ref="AQ37:AQ68" si="62">$C$5*AP37</f>
        <v>1077300</v>
      </c>
      <c r="AR37" s="42">
        <f t="shared" si="34"/>
        <v>218863.125</v>
      </c>
      <c r="AS37" s="42">
        <f t="shared" si="35"/>
        <v>42652.0458</v>
      </c>
      <c r="AT37" s="42">
        <f t="shared" si="8"/>
        <v>280144.8</v>
      </c>
      <c r="AU37" s="42">
        <f t="shared" si="36"/>
        <v>1618959.9708</v>
      </c>
      <c r="AV37" s="42">
        <v>19</v>
      </c>
      <c r="AW37" s="42">
        <f t="shared" si="55"/>
        <v>1137150</v>
      </c>
      <c r="AX37" s="42">
        <f t="shared" si="38"/>
        <v>218863.125</v>
      </c>
      <c r="AY37" s="42">
        <f t="shared" si="39"/>
        <v>42652.0458</v>
      </c>
      <c r="AZ37" s="42">
        <f t="shared" si="9"/>
        <v>280144.8</v>
      </c>
      <c r="BA37" s="119">
        <f t="shared" si="40"/>
        <v>1678809.9708</v>
      </c>
    </row>
    <row r="38" spans="1:53" s="34" customFormat="1" x14ac:dyDescent="0.25">
      <c r="A38" s="32" t="s">
        <v>104</v>
      </c>
      <c r="B38" s="33">
        <v>1</v>
      </c>
      <c r="C38" s="33">
        <v>8</v>
      </c>
      <c r="D38" s="33">
        <v>15</v>
      </c>
      <c r="E38" s="33">
        <f t="shared" si="42"/>
        <v>23</v>
      </c>
      <c r="F38" s="33">
        <v>10</v>
      </c>
      <c r="G38" s="42">
        <f t="shared" si="56"/>
        <v>598500</v>
      </c>
      <c r="H38" s="42">
        <f t="shared" si="12"/>
        <v>94840.6875</v>
      </c>
      <c r="I38" s="42">
        <f t="shared" si="13"/>
        <v>18482.553179999999</v>
      </c>
      <c r="J38" s="42">
        <f t="shared" si="14"/>
        <v>121396.08</v>
      </c>
      <c r="K38" s="42">
        <f t="shared" si="52"/>
        <v>833219.32068</v>
      </c>
      <c r="L38" s="42">
        <v>20</v>
      </c>
      <c r="M38" s="42">
        <f t="shared" si="57"/>
        <v>1197000</v>
      </c>
      <c r="N38" s="42">
        <f t="shared" si="17"/>
        <v>218863.125</v>
      </c>
      <c r="O38" s="42">
        <f t="shared" si="18"/>
        <v>42652.0458</v>
      </c>
      <c r="P38" s="42">
        <f t="shared" si="19"/>
        <v>280144.8</v>
      </c>
      <c r="Q38" s="42">
        <f t="shared" si="20"/>
        <v>1738659.9708</v>
      </c>
      <c r="R38" s="42">
        <v>19</v>
      </c>
      <c r="S38" s="42">
        <f t="shared" si="58"/>
        <v>1137150</v>
      </c>
      <c r="T38" s="42">
        <f t="shared" si="0"/>
        <v>218863.125</v>
      </c>
      <c r="U38" s="42">
        <f t="shared" si="1"/>
        <v>42652.0458</v>
      </c>
      <c r="V38" s="42">
        <f t="shared" si="2"/>
        <v>280144.8</v>
      </c>
      <c r="W38" s="42">
        <f t="shared" si="22"/>
        <v>1678809.9708</v>
      </c>
      <c r="X38" s="42">
        <v>19</v>
      </c>
      <c r="Y38" s="42">
        <f t="shared" si="59"/>
        <v>1137150</v>
      </c>
      <c r="Z38" s="42">
        <f t="shared" si="3"/>
        <v>218863.125</v>
      </c>
      <c r="AA38" s="42">
        <f t="shared" si="4"/>
        <v>42652.0458</v>
      </c>
      <c r="AB38" s="42">
        <f t="shared" si="5"/>
        <v>280144.8</v>
      </c>
      <c r="AC38" s="42">
        <f t="shared" si="24"/>
        <v>1678809.9708</v>
      </c>
      <c r="AD38" s="42">
        <v>19</v>
      </c>
      <c r="AE38" s="42">
        <f t="shared" si="60"/>
        <v>1137150</v>
      </c>
      <c r="AF38" s="42">
        <f t="shared" si="26"/>
        <v>218863.125</v>
      </c>
      <c r="AG38" s="42">
        <f t="shared" si="27"/>
        <v>42652.0458</v>
      </c>
      <c r="AH38" s="42">
        <f t="shared" si="6"/>
        <v>280144.8</v>
      </c>
      <c r="AI38" s="42">
        <f t="shared" si="28"/>
        <v>1678809.9708</v>
      </c>
      <c r="AJ38" s="42">
        <v>9</v>
      </c>
      <c r="AK38" s="42">
        <f t="shared" si="61"/>
        <v>538650</v>
      </c>
      <c r="AL38" s="42">
        <f t="shared" si="30"/>
        <v>218863.125</v>
      </c>
      <c r="AM38" s="42">
        <f t="shared" si="31"/>
        <v>42652.0458</v>
      </c>
      <c r="AN38" s="42">
        <f t="shared" si="7"/>
        <v>280144.8</v>
      </c>
      <c r="AO38" s="42">
        <f t="shared" si="32"/>
        <v>1080309.9708</v>
      </c>
      <c r="AP38" s="42">
        <v>18</v>
      </c>
      <c r="AQ38" s="42">
        <f t="shared" si="62"/>
        <v>1077300</v>
      </c>
      <c r="AR38" s="42">
        <f t="shared" si="34"/>
        <v>218863.125</v>
      </c>
      <c r="AS38" s="42">
        <f t="shared" si="35"/>
        <v>42652.0458</v>
      </c>
      <c r="AT38" s="42">
        <f t="shared" si="8"/>
        <v>280144.8</v>
      </c>
      <c r="AU38" s="42">
        <f t="shared" si="36"/>
        <v>1618959.9708</v>
      </c>
      <c r="AV38" s="42">
        <v>19</v>
      </c>
      <c r="AW38" s="42">
        <f t="shared" si="55"/>
        <v>1137150</v>
      </c>
      <c r="AX38" s="42">
        <f t="shared" si="38"/>
        <v>218863.125</v>
      </c>
      <c r="AY38" s="42">
        <f t="shared" si="39"/>
        <v>42652.0458</v>
      </c>
      <c r="AZ38" s="42">
        <f t="shared" si="9"/>
        <v>280144.8</v>
      </c>
      <c r="BA38" s="119">
        <f t="shared" si="40"/>
        <v>1678809.9708</v>
      </c>
    </row>
    <row r="39" spans="1:53" s="34" customFormat="1" x14ac:dyDescent="0.25">
      <c r="A39" s="32" t="s">
        <v>28</v>
      </c>
      <c r="B39" s="33">
        <v>1</v>
      </c>
      <c r="C39" s="33">
        <v>32</v>
      </c>
      <c r="D39" s="33">
        <v>0</v>
      </c>
      <c r="E39" s="33">
        <f t="shared" si="10"/>
        <v>32</v>
      </c>
      <c r="F39" s="33">
        <v>10</v>
      </c>
      <c r="G39" s="42">
        <f t="shared" si="56"/>
        <v>598500</v>
      </c>
      <c r="H39" s="42">
        <f t="shared" si="12"/>
        <v>94840.6875</v>
      </c>
      <c r="I39" s="42">
        <f t="shared" si="13"/>
        <v>18482.553179999999</v>
      </c>
      <c r="J39" s="42">
        <f t="shared" si="14"/>
        <v>121396.08</v>
      </c>
      <c r="K39" s="42">
        <f t="shared" si="52"/>
        <v>833219.32068</v>
      </c>
      <c r="L39" s="42">
        <v>20</v>
      </c>
      <c r="M39" s="42">
        <f t="shared" si="57"/>
        <v>1197000</v>
      </c>
      <c r="N39" s="42">
        <f t="shared" si="17"/>
        <v>218863.125</v>
      </c>
      <c r="O39" s="42">
        <f t="shared" si="18"/>
        <v>42652.0458</v>
      </c>
      <c r="P39" s="42">
        <f t="shared" si="19"/>
        <v>280144.8</v>
      </c>
      <c r="Q39" s="42">
        <f t="shared" si="20"/>
        <v>1738659.9708</v>
      </c>
      <c r="R39" s="42">
        <v>19</v>
      </c>
      <c r="S39" s="42">
        <f t="shared" si="58"/>
        <v>1137150</v>
      </c>
      <c r="T39" s="42">
        <f t="shared" si="0"/>
        <v>218863.125</v>
      </c>
      <c r="U39" s="42">
        <f t="shared" si="1"/>
        <v>42652.0458</v>
      </c>
      <c r="V39" s="42">
        <f t="shared" si="2"/>
        <v>280144.8</v>
      </c>
      <c r="W39" s="42">
        <f t="shared" si="22"/>
        <v>1678809.9708</v>
      </c>
      <c r="X39" s="42">
        <v>19</v>
      </c>
      <c r="Y39" s="42">
        <f t="shared" si="59"/>
        <v>1137150</v>
      </c>
      <c r="Z39" s="42">
        <f t="shared" si="3"/>
        <v>218863.125</v>
      </c>
      <c r="AA39" s="42">
        <f t="shared" si="4"/>
        <v>42652.0458</v>
      </c>
      <c r="AB39" s="42">
        <f t="shared" si="5"/>
        <v>280144.8</v>
      </c>
      <c r="AC39" s="42">
        <f t="shared" si="24"/>
        <v>1678809.9708</v>
      </c>
      <c r="AD39" s="42">
        <v>19</v>
      </c>
      <c r="AE39" s="42">
        <f t="shared" si="60"/>
        <v>1137150</v>
      </c>
      <c r="AF39" s="42">
        <f t="shared" si="26"/>
        <v>218863.125</v>
      </c>
      <c r="AG39" s="42">
        <f t="shared" si="27"/>
        <v>42652.0458</v>
      </c>
      <c r="AH39" s="42">
        <f t="shared" si="6"/>
        <v>280144.8</v>
      </c>
      <c r="AI39" s="42">
        <f t="shared" si="28"/>
        <v>1678809.9708</v>
      </c>
      <c r="AJ39" s="42">
        <v>9</v>
      </c>
      <c r="AK39" s="42">
        <f t="shared" si="61"/>
        <v>538650</v>
      </c>
      <c r="AL39" s="42">
        <f t="shared" si="30"/>
        <v>218863.125</v>
      </c>
      <c r="AM39" s="42">
        <f t="shared" si="31"/>
        <v>42652.0458</v>
      </c>
      <c r="AN39" s="42">
        <f t="shared" si="7"/>
        <v>280144.8</v>
      </c>
      <c r="AO39" s="42">
        <f t="shared" si="32"/>
        <v>1080309.9708</v>
      </c>
      <c r="AP39" s="42">
        <v>18</v>
      </c>
      <c r="AQ39" s="42">
        <f t="shared" si="62"/>
        <v>1077300</v>
      </c>
      <c r="AR39" s="42">
        <f t="shared" si="34"/>
        <v>218863.125</v>
      </c>
      <c r="AS39" s="42">
        <f t="shared" si="35"/>
        <v>42652.0458</v>
      </c>
      <c r="AT39" s="42">
        <f t="shared" si="8"/>
        <v>280144.8</v>
      </c>
      <c r="AU39" s="42">
        <f t="shared" si="36"/>
        <v>1618959.9708</v>
      </c>
      <c r="AV39" s="42">
        <v>19</v>
      </c>
      <c r="AW39" s="42">
        <f t="shared" si="55"/>
        <v>1137150</v>
      </c>
      <c r="AX39" s="42">
        <f t="shared" si="38"/>
        <v>218863.125</v>
      </c>
      <c r="AY39" s="42">
        <f t="shared" si="39"/>
        <v>42652.0458</v>
      </c>
      <c r="AZ39" s="42">
        <f t="shared" si="9"/>
        <v>280144.8</v>
      </c>
      <c r="BA39" s="119">
        <f t="shared" si="40"/>
        <v>1678809.9708</v>
      </c>
    </row>
    <row r="40" spans="1:53" s="34" customFormat="1" x14ac:dyDescent="0.25">
      <c r="A40" s="32" t="s">
        <v>29</v>
      </c>
      <c r="B40" s="33">
        <v>1</v>
      </c>
      <c r="C40" s="33">
        <v>21</v>
      </c>
      <c r="D40" s="33">
        <v>0</v>
      </c>
      <c r="E40" s="33">
        <f t="shared" si="10"/>
        <v>21</v>
      </c>
      <c r="F40" s="33">
        <v>10</v>
      </c>
      <c r="G40" s="42">
        <f t="shared" si="56"/>
        <v>598500</v>
      </c>
      <c r="H40" s="42">
        <f t="shared" si="12"/>
        <v>94840.6875</v>
      </c>
      <c r="I40" s="42">
        <f t="shared" si="13"/>
        <v>18482.553179999999</v>
      </c>
      <c r="J40" s="42">
        <f t="shared" si="14"/>
        <v>121396.08</v>
      </c>
      <c r="K40" s="42">
        <f t="shared" si="52"/>
        <v>833219.32068</v>
      </c>
      <c r="L40" s="42">
        <v>20</v>
      </c>
      <c r="M40" s="42">
        <f t="shared" si="57"/>
        <v>1197000</v>
      </c>
      <c r="N40" s="42">
        <f t="shared" si="17"/>
        <v>218863.125</v>
      </c>
      <c r="O40" s="42">
        <f t="shared" si="18"/>
        <v>42652.0458</v>
      </c>
      <c r="P40" s="42">
        <f t="shared" si="19"/>
        <v>280144.8</v>
      </c>
      <c r="Q40" s="42">
        <f t="shared" si="20"/>
        <v>1738659.9708</v>
      </c>
      <c r="R40" s="42">
        <v>19</v>
      </c>
      <c r="S40" s="42">
        <f t="shared" si="58"/>
        <v>1137150</v>
      </c>
      <c r="T40" s="42">
        <f t="shared" si="0"/>
        <v>218863.125</v>
      </c>
      <c r="U40" s="42">
        <f t="shared" si="1"/>
        <v>42652.0458</v>
      </c>
      <c r="V40" s="42">
        <f t="shared" si="2"/>
        <v>280144.8</v>
      </c>
      <c r="W40" s="42">
        <f t="shared" si="22"/>
        <v>1678809.9708</v>
      </c>
      <c r="X40" s="42">
        <v>19</v>
      </c>
      <c r="Y40" s="42">
        <f t="shared" si="59"/>
        <v>1137150</v>
      </c>
      <c r="Z40" s="42">
        <f t="shared" si="3"/>
        <v>218863.125</v>
      </c>
      <c r="AA40" s="42">
        <f t="shared" si="4"/>
        <v>42652.0458</v>
      </c>
      <c r="AB40" s="42">
        <f t="shared" si="5"/>
        <v>280144.8</v>
      </c>
      <c r="AC40" s="42">
        <f t="shared" si="24"/>
        <v>1678809.9708</v>
      </c>
      <c r="AD40" s="42">
        <v>19</v>
      </c>
      <c r="AE40" s="42">
        <f t="shared" si="60"/>
        <v>1137150</v>
      </c>
      <c r="AF40" s="42">
        <f t="shared" si="26"/>
        <v>218863.125</v>
      </c>
      <c r="AG40" s="42">
        <f t="shared" si="27"/>
        <v>42652.0458</v>
      </c>
      <c r="AH40" s="42">
        <f t="shared" si="6"/>
        <v>280144.8</v>
      </c>
      <c r="AI40" s="42">
        <f t="shared" si="28"/>
        <v>1678809.9708</v>
      </c>
      <c r="AJ40" s="42">
        <v>9</v>
      </c>
      <c r="AK40" s="42">
        <f t="shared" si="61"/>
        <v>538650</v>
      </c>
      <c r="AL40" s="42">
        <f t="shared" si="30"/>
        <v>218863.125</v>
      </c>
      <c r="AM40" s="42">
        <f t="shared" si="31"/>
        <v>42652.0458</v>
      </c>
      <c r="AN40" s="42">
        <f t="shared" si="7"/>
        <v>280144.8</v>
      </c>
      <c r="AO40" s="42">
        <f t="shared" si="32"/>
        <v>1080309.9708</v>
      </c>
      <c r="AP40" s="42">
        <v>18</v>
      </c>
      <c r="AQ40" s="42">
        <f t="shared" si="62"/>
        <v>1077300</v>
      </c>
      <c r="AR40" s="42">
        <f t="shared" si="34"/>
        <v>218863.125</v>
      </c>
      <c r="AS40" s="42">
        <f t="shared" si="35"/>
        <v>42652.0458</v>
      </c>
      <c r="AT40" s="42">
        <f t="shared" si="8"/>
        <v>280144.8</v>
      </c>
      <c r="AU40" s="42">
        <f t="shared" si="36"/>
        <v>1618959.9708</v>
      </c>
      <c r="AV40" s="42">
        <v>19</v>
      </c>
      <c r="AW40" s="42">
        <f t="shared" si="55"/>
        <v>1137150</v>
      </c>
      <c r="AX40" s="42">
        <f t="shared" si="38"/>
        <v>218863.125</v>
      </c>
      <c r="AY40" s="42">
        <f t="shared" si="39"/>
        <v>42652.0458</v>
      </c>
      <c r="AZ40" s="42">
        <f t="shared" si="9"/>
        <v>280144.8</v>
      </c>
      <c r="BA40" s="119">
        <f t="shared" si="40"/>
        <v>1678809.9708</v>
      </c>
    </row>
    <row r="41" spans="1:53" s="34" customFormat="1" x14ac:dyDescent="0.25">
      <c r="A41" s="32" t="s">
        <v>30</v>
      </c>
      <c r="B41" s="33">
        <v>1</v>
      </c>
      <c r="C41" s="33">
        <v>15</v>
      </c>
      <c r="D41" s="33">
        <v>21</v>
      </c>
      <c r="E41" s="33">
        <f t="shared" si="10"/>
        <v>36</v>
      </c>
      <c r="F41" s="33">
        <v>10</v>
      </c>
      <c r="G41" s="42">
        <f t="shared" si="56"/>
        <v>598500</v>
      </c>
      <c r="H41" s="42">
        <f t="shared" si="12"/>
        <v>94840.6875</v>
      </c>
      <c r="I41" s="42">
        <f t="shared" si="13"/>
        <v>18482.553179999999</v>
      </c>
      <c r="J41" s="42">
        <f t="shared" si="14"/>
        <v>121396.08</v>
      </c>
      <c r="K41" s="42">
        <f t="shared" si="52"/>
        <v>833219.32068</v>
      </c>
      <c r="L41" s="42">
        <v>20</v>
      </c>
      <c r="M41" s="42">
        <f t="shared" si="57"/>
        <v>1197000</v>
      </c>
      <c r="N41" s="42">
        <f t="shared" si="17"/>
        <v>218863.125</v>
      </c>
      <c r="O41" s="42">
        <f t="shared" si="18"/>
        <v>42652.0458</v>
      </c>
      <c r="P41" s="42">
        <f t="shared" si="19"/>
        <v>280144.8</v>
      </c>
      <c r="Q41" s="42">
        <f t="shared" si="20"/>
        <v>1738659.9708</v>
      </c>
      <c r="R41" s="42">
        <v>19</v>
      </c>
      <c r="S41" s="42">
        <f t="shared" si="58"/>
        <v>1137150</v>
      </c>
      <c r="T41" s="42">
        <f t="shared" si="0"/>
        <v>218863.125</v>
      </c>
      <c r="U41" s="42">
        <f t="shared" si="1"/>
        <v>42652.0458</v>
      </c>
      <c r="V41" s="42">
        <f t="shared" si="2"/>
        <v>280144.8</v>
      </c>
      <c r="W41" s="42">
        <f t="shared" si="22"/>
        <v>1678809.9708</v>
      </c>
      <c r="X41" s="42">
        <v>19</v>
      </c>
      <c r="Y41" s="42">
        <f t="shared" si="59"/>
        <v>1137150</v>
      </c>
      <c r="Z41" s="42">
        <f t="shared" si="3"/>
        <v>218863.125</v>
      </c>
      <c r="AA41" s="42">
        <f t="shared" si="4"/>
        <v>42652.0458</v>
      </c>
      <c r="AB41" s="42">
        <f t="shared" si="5"/>
        <v>280144.8</v>
      </c>
      <c r="AC41" s="42">
        <f t="shared" si="24"/>
        <v>1678809.9708</v>
      </c>
      <c r="AD41" s="42">
        <v>19</v>
      </c>
      <c r="AE41" s="42">
        <f t="shared" si="60"/>
        <v>1137150</v>
      </c>
      <c r="AF41" s="42">
        <f t="shared" si="26"/>
        <v>218863.125</v>
      </c>
      <c r="AG41" s="42">
        <f t="shared" si="27"/>
        <v>42652.0458</v>
      </c>
      <c r="AH41" s="42">
        <f t="shared" si="6"/>
        <v>280144.8</v>
      </c>
      <c r="AI41" s="42">
        <f t="shared" si="28"/>
        <v>1678809.9708</v>
      </c>
      <c r="AJ41" s="42">
        <v>9</v>
      </c>
      <c r="AK41" s="42">
        <f t="shared" si="61"/>
        <v>538650</v>
      </c>
      <c r="AL41" s="42">
        <f t="shared" si="30"/>
        <v>218863.125</v>
      </c>
      <c r="AM41" s="42">
        <f t="shared" si="31"/>
        <v>42652.0458</v>
      </c>
      <c r="AN41" s="42">
        <f t="shared" si="7"/>
        <v>280144.8</v>
      </c>
      <c r="AO41" s="42">
        <f t="shared" si="32"/>
        <v>1080309.9708</v>
      </c>
      <c r="AP41" s="42">
        <v>18</v>
      </c>
      <c r="AQ41" s="42">
        <f t="shared" si="62"/>
        <v>1077300</v>
      </c>
      <c r="AR41" s="42">
        <f t="shared" si="34"/>
        <v>218863.125</v>
      </c>
      <c r="AS41" s="42">
        <f t="shared" si="35"/>
        <v>42652.0458</v>
      </c>
      <c r="AT41" s="42">
        <f t="shared" si="8"/>
        <v>280144.8</v>
      </c>
      <c r="AU41" s="42">
        <f t="shared" si="36"/>
        <v>1618959.9708</v>
      </c>
      <c r="AV41" s="42">
        <v>19</v>
      </c>
      <c r="AW41" s="42">
        <f t="shared" si="55"/>
        <v>1137150</v>
      </c>
      <c r="AX41" s="42">
        <f t="shared" si="38"/>
        <v>218863.125</v>
      </c>
      <c r="AY41" s="42">
        <f t="shared" si="39"/>
        <v>42652.0458</v>
      </c>
      <c r="AZ41" s="42">
        <f t="shared" si="9"/>
        <v>280144.8</v>
      </c>
      <c r="BA41" s="119">
        <f t="shared" si="40"/>
        <v>1678809.9708</v>
      </c>
    </row>
    <row r="42" spans="1:53" s="34" customFormat="1" x14ac:dyDescent="0.25">
      <c r="A42" s="32" t="s">
        <v>33</v>
      </c>
      <c r="B42" s="33">
        <v>1</v>
      </c>
      <c r="C42" s="33">
        <v>28</v>
      </c>
      <c r="D42" s="33">
        <v>0</v>
      </c>
      <c r="E42" s="33">
        <f t="shared" si="10"/>
        <v>28</v>
      </c>
      <c r="F42" s="33">
        <v>10</v>
      </c>
      <c r="G42" s="42">
        <f t="shared" si="56"/>
        <v>598500</v>
      </c>
      <c r="H42" s="42">
        <f t="shared" si="12"/>
        <v>94840.6875</v>
      </c>
      <c r="I42" s="42">
        <f t="shared" si="13"/>
        <v>18482.553179999999</v>
      </c>
      <c r="J42" s="42">
        <f t="shared" si="14"/>
        <v>121396.08</v>
      </c>
      <c r="K42" s="42">
        <f t="shared" si="52"/>
        <v>833219.32068</v>
      </c>
      <c r="L42" s="42">
        <v>20</v>
      </c>
      <c r="M42" s="42">
        <f t="shared" si="57"/>
        <v>1197000</v>
      </c>
      <c r="N42" s="42">
        <f t="shared" si="17"/>
        <v>218863.125</v>
      </c>
      <c r="O42" s="42">
        <f t="shared" si="18"/>
        <v>42652.0458</v>
      </c>
      <c r="P42" s="42">
        <f t="shared" si="19"/>
        <v>280144.8</v>
      </c>
      <c r="Q42" s="42">
        <f t="shared" si="20"/>
        <v>1738659.9708</v>
      </c>
      <c r="R42" s="42">
        <v>19</v>
      </c>
      <c r="S42" s="42">
        <f t="shared" si="58"/>
        <v>1137150</v>
      </c>
      <c r="T42" s="42">
        <f t="shared" si="0"/>
        <v>218863.125</v>
      </c>
      <c r="U42" s="42">
        <f t="shared" si="1"/>
        <v>42652.0458</v>
      </c>
      <c r="V42" s="42">
        <f t="shared" si="2"/>
        <v>280144.8</v>
      </c>
      <c r="W42" s="42">
        <f t="shared" si="22"/>
        <v>1678809.9708</v>
      </c>
      <c r="X42" s="42">
        <v>19</v>
      </c>
      <c r="Y42" s="42">
        <f t="shared" si="59"/>
        <v>1137150</v>
      </c>
      <c r="Z42" s="42">
        <f t="shared" si="3"/>
        <v>218863.125</v>
      </c>
      <c r="AA42" s="42">
        <f t="shared" si="4"/>
        <v>42652.0458</v>
      </c>
      <c r="AB42" s="42">
        <f t="shared" si="5"/>
        <v>280144.8</v>
      </c>
      <c r="AC42" s="42">
        <f t="shared" si="24"/>
        <v>1678809.9708</v>
      </c>
      <c r="AD42" s="42">
        <v>19</v>
      </c>
      <c r="AE42" s="42">
        <f t="shared" si="60"/>
        <v>1137150</v>
      </c>
      <c r="AF42" s="42">
        <f t="shared" si="26"/>
        <v>218863.125</v>
      </c>
      <c r="AG42" s="42">
        <f t="shared" si="27"/>
        <v>42652.0458</v>
      </c>
      <c r="AH42" s="42">
        <f t="shared" si="6"/>
        <v>280144.8</v>
      </c>
      <c r="AI42" s="42">
        <f t="shared" si="28"/>
        <v>1678809.9708</v>
      </c>
      <c r="AJ42" s="42">
        <v>9</v>
      </c>
      <c r="AK42" s="42">
        <f t="shared" si="61"/>
        <v>538650</v>
      </c>
      <c r="AL42" s="42">
        <f t="shared" si="30"/>
        <v>218863.125</v>
      </c>
      <c r="AM42" s="42">
        <f t="shared" si="31"/>
        <v>42652.0458</v>
      </c>
      <c r="AN42" s="42">
        <f t="shared" si="7"/>
        <v>280144.8</v>
      </c>
      <c r="AO42" s="42">
        <f t="shared" si="32"/>
        <v>1080309.9708</v>
      </c>
      <c r="AP42" s="42">
        <v>18</v>
      </c>
      <c r="AQ42" s="42">
        <f t="shared" si="62"/>
        <v>1077300</v>
      </c>
      <c r="AR42" s="42">
        <f t="shared" si="34"/>
        <v>218863.125</v>
      </c>
      <c r="AS42" s="42">
        <f t="shared" si="35"/>
        <v>42652.0458</v>
      </c>
      <c r="AT42" s="42">
        <f t="shared" si="8"/>
        <v>280144.8</v>
      </c>
      <c r="AU42" s="42">
        <f t="shared" si="36"/>
        <v>1618959.9708</v>
      </c>
      <c r="AV42" s="42">
        <v>19</v>
      </c>
      <c r="AW42" s="42">
        <f t="shared" si="55"/>
        <v>1137150</v>
      </c>
      <c r="AX42" s="42">
        <f t="shared" si="38"/>
        <v>218863.125</v>
      </c>
      <c r="AY42" s="42">
        <f t="shared" si="39"/>
        <v>42652.0458</v>
      </c>
      <c r="AZ42" s="42">
        <f t="shared" si="9"/>
        <v>280144.8</v>
      </c>
      <c r="BA42" s="119">
        <f t="shared" si="40"/>
        <v>1678809.9708</v>
      </c>
    </row>
    <row r="43" spans="1:53" s="34" customFormat="1" x14ac:dyDescent="0.25">
      <c r="A43" s="32" t="s">
        <v>35</v>
      </c>
      <c r="B43" s="33">
        <v>1</v>
      </c>
      <c r="C43" s="33">
        <v>40</v>
      </c>
      <c r="D43" s="33">
        <v>0</v>
      </c>
      <c r="E43" s="33">
        <f t="shared" si="10"/>
        <v>40</v>
      </c>
      <c r="F43" s="33">
        <v>10</v>
      </c>
      <c r="G43" s="42">
        <f t="shared" si="56"/>
        <v>598500</v>
      </c>
      <c r="H43" s="42">
        <f t="shared" si="12"/>
        <v>94840.6875</v>
      </c>
      <c r="I43" s="42">
        <f t="shared" si="13"/>
        <v>18482.553179999999</v>
      </c>
      <c r="J43" s="42">
        <f t="shared" si="14"/>
        <v>121396.08</v>
      </c>
      <c r="K43" s="42">
        <f t="shared" si="52"/>
        <v>833219.32068</v>
      </c>
      <c r="L43" s="42">
        <v>20</v>
      </c>
      <c r="M43" s="42">
        <f t="shared" si="57"/>
        <v>1197000</v>
      </c>
      <c r="N43" s="42">
        <f t="shared" si="17"/>
        <v>218863.125</v>
      </c>
      <c r="O43" s="42">
        <f t="shared" si="18"/>
        <v>42652.0458</v>
      </c>
      <c r="P43" s="42">
        <f t="shared" si="19"/>
        <v>280144.8</v>
      </c>
      <c r="Q43" s="42">
        <f t="shared" si="20"/>
        <v>1738659.9708</v>
      </c>
      <c r="R43" s="42">
        <v>19</v>
      </c>
      <c r="S43" s="42">
        <f t="shared" si="58"/>
        <v>1137150</v>
      </c>
      <c r="T43" s="42">
        <f t="shared" si="0"/>
        <v>218863.125</v>
      </c>
      <c r="U43" s="42">
        <f t="shared" si="1"/>
        <v>42652.0458</v>
      </c>
      <c r="V43" s="42">
        <f t="shared" si="2"/>
        <v>280144.8</v>
      </c>
      <c r="W43" s="42">
        <f t="shared" si="22"/>
        <v>1678809.9708</v>
      </c>
      <c r="X43" s="42">
        <v>19</v>
      </c>
      <c r="Y43" s="42">
        <f t="shared" si="59"/>
        <v>1137150</v>
      </c>
      <c r="Z43" s="42">
        <f t="shared" si="3"/>
        <v>218863.125</v>
      </c>
      <c r="AA43" s="42">
        <f t="shared" si="4"/>
        <v>42652.0458</v>
      </c>
      <c r="AB43" s="42">
        <f t="shared" si="5"/>
        <v>280144.8</v>
      </c>
      <c r="AC43" s="42">
        <f t="shared" si="24"/>
        <v>1678809.9708</v>
      </c>
      <c r="AD43" s="42">
        <v>19</v>
      </c>
      <c r="AE43" s="42">
        <f t="shared" si="60"/>
        <v>1137150</v>
      </c>
      <c r="AF43" s="42">
        <f t="shared" si="26"/>
        <v>218863.125</v>
      </c>
      <c r="AG43" s="42">
        <f t="shared" si="27"/>
        <v>42652.0458</v>
      </c>
      <c r="AH43" s="42">
        <f t="shared" si="6"/>
        <v>280144.8</v>
      </c>
      <c r="AI43" s="42">
        <f t="shared" si="28"/>
        <v>1678809.9708</v>
      </c>
      <c r="AJ43" s="42">
        <v>9</v>
      </c>
      <c r="AK43" s="42">
        <f t="shared" si="61"/>
        <v>538650</v>
      </c>
      <c r="AL43" s="42">
        <f t="shared" si="30"/>
        <v>218863.125</v>
      </c>
      <c r="AM43" s="42">
        <f t="shared" si="31"/>
        <v>42652.0458</v>
      </c>
      <c r="AN43" s="42">
        <f t="shared" si="7"/>
        <v>280144.8</v>
      </c>
      <c r="AO43" s="42">
        <f t="shared" si="32"/>
        <v>1080309.9708</v>
      </c>
      <c r="AP43" s="42">
        <v>18</v>
      </c>
      <c r="AQ43" s="42">
        <f t="shared" si="62"/>
        <v>1077300</v>
      </c>
      <c r="AR43" s="42">
        <f t="shared" si="34"/>
        <v>218863.125</v>
      </c>
      <c r="AS43" s="42">
        <f t="shared" si="35"/>
        <v>42652.0458</v>
      </c>
      <c r="AT43" s="42">
        <f t="shared" si="8"/>
        <v>280144.8</v>
      </c>
      <c r="AU43" s="42">
        <f t="shared" si="36"/>
        <v>1618959.9708</v>
      </c>
      <c r="AV43" s="42">
        <v>19</v>
      </c>
      <c r="AW43" s="42">
        <f t="shared" si="55"/>
        <v>1137150</v>
      </c>
      <c r="AX43" s="42">
        <f t="shared" si="38"/>
        <v>218863.125</v>
      </c>
      <c r="AY43" s="42">
        <f t="shared" si="39"/>
        <v>42652.0458</v>
      </c>
      <c r="AZ43" s="42">
        <f t="shared" si="9"/>
        <v>280144.8</v>
      </c>
      <c r="BA43" s="42">
        <f t="shared" si="40"/>
        <v>1678809.9708</v>
      </c>
    </row>
    <row r="44" spans="1:53" s="34" customFormat="1" x14ac:dyDescent="0.25">
      <c r="A44" s="32" t="s">
        <v>36</v>
      </c>
      <c r="B44" s="33">
        <v>1</v>
      </c>
      <c r="C44" s="33">
        <v>21</v>
      </c>
      <c r="D44" s="33">
        <v>0</v>
      </c>
      <c r="E44" s="33">
        <f t="shared" si="10"/>
        <v>21</v>
      </c>
      <c r="F44" s="33">
        <v>10</v>
      </c>
      <c r="G44" s="42">
        <f t="shared" si="56"/>
        <v>598500</v>
      </c>
      <c r="H44" s="42">
        <f t="shared" si="12"/>
        <v>94840.6875</v>
      </c>
      <c r="I44" s="42">
        <f t="shared" si="13"/>
        <v>18482.553179999999</v>
      </c>
      <c r="J44" s="42">
        <f t="shared" si="14"/>
        <v>121396.08</v>
      </c>
      <c r="K44" s="42">
        <f t="shared" si="52"/>
        <v>833219.32068</v>
      </c>
      <c r="L44" s="42">
        <v>20</v>
      </c>
      <c r="M44" s="42">
        <f t="shared" si="57"/>
        <v>1197000</v>
      </c>
      <c r="N44" s="42">
        <f t="shared" si="17"/>
        <v>218863.125</v>
      </c>
      <c r="O44" s="42">
        <f t="shared" si="18"/>
        <v>42652.0458</v>
      </c>
      <c r="P44" s="42">
        <f t="shared" si="19"/>
        <v>280144.8</v>
      </c>
      <c r="Q44" s="42">
        <f t="shared" si="20"/>
        <v>1738659.9708</v>
      </c>
      <c r="R44" s="42">
        <v>19</v>
      </c>
      <c r="S44" s="42">
        <f t="shared" si="58"/>
        <v>1137150</v>
      </c>
      <c r="T44" s="42">
        <f t="shared" si="0"/>
        <v>218863.125</v>
      </c>
      <c r="U44" s="42">
        <f t="shared" si="1"/>
        <v>42652.0458</v>
      </c>
      <c r="V44" s="42">
        <f t="shared" si="2"/>
        <v>280144.8</v>
      </c>
      <c r="W44" s="42">
        <f t="shared" si="22"/>
        <v>1678809.9708</v>
      </c>
      <c r="X44" s="42">
        <v>19</v>
      </c>
      <c r="Y44" s="42">
        <f t="shared" si="59"/>
        <v>1137150</v>
      </c>
      <c r="Z44" s="42">
        <f t="shared" si="3"/>
        <v>218863.125</v>
      </c>
      <c r="AA44" s="42">
        <f t="shared" si="4"/>
        <v>42652.0458</v>
      </c>
      <c r="AB44" s="42">
        <f t="shared" si="5"/>
        <v>280144.8</v>
      </c>
      <c r="AC44" s="42">
        <f t="shared" si="24"/>
        <v>1678809.9708</v>
      </c>
      <c r="AD44" s="42">
        <v>19</v>
      </c>
      <c r="AE44" s="42">
        <f t="shared" si="60"/>
        <v>1137150</v>
      </c>
      <c r="AF44" s="42">
        <f t="shared" si="26"/>
        <v>218863.125</v>
      </c>
      <c r="AG44" s="42">
        <f t="shared" si="27"/>
        <v>42652.0458</v>
      </c>
      <c r="AH44" s="42">
        <f t="shared" si="6"/>
        <v>280144.8</v>
      </c>
      <c r="AI44" s="42">
        <f t="shared" si="28"/>
        <v>1678809.9708</v>
      </c>
      <c r="AJ44" s="42">
        <v>9</v>
      </c>
      <c r="AK44" s="42">
        <f t="shared" si="61"/>
        <v>538650</v>
      </c>
      <c r="AL44" s="42">
        <f t="shared" si="30"/>
        <v>218863.125</v>
      </c>
      <c r="AM44" s="42">
        <f t="shared" si="31"/>
        <v>42652.0458</v>
      </c>
      <c r="AN44" s="42">
        <f t="shared" si="7"/>
        <v>280144.8</v>
      </c>
      <c r="AO44" s="42">
        <f t="shared" si="32"/>
        <v>1080309.9708</v>
      </c>
      <c r="AP44" s="42">
        <v>18</v>
      </c>
      <c r="AQ44" s="42">
        <f t="shared" si="62"/>
        <v>1077300</v>
      </c>
      <c r="AR44" s="42">
        <f t="shared" si="34"/>
        <v>218863.125</v>
      </c>
      <c r="AS44" s="42">
        <f t="shared" si="35"/>
        <v>42652.0458</v>
      </c>
      <c r="AT44" s="42">
        <f t="shared" si="8"/>
        <v>280144.8</v>
      </c>
      <c r="AU44" s="42">
        <f t="shared" si="36"/>
        <v>1618959.9708</v>
      </c>
      <c r="AV44" s="42">
        <v>19</v>
      </c>
      <c r="AW44" s="42">
        <f t="shared" si="55"/>
        <v>1137150</v>
      </c>
      <c r="AX44" s="42">
        <f t="shared" si="38"/>
        <v>218863.125</v>
      </c>
      <c r="AY44" s="42">
        <f t="shared" si="39"/>
        <v>42652.0458</v>
      </c>
      <c r="AZ44" s="42">
        <f t="shared" si="9"/>
        <v>280144.8</v>
      </c>
      <c r="BA44" s="119">
        <f t="shared" si="40"/>
        <v>1678809.9708</v>
      </c>
    </row>
    <row r="45" spans="1:53" s="34" customFormat="1" x14ac:dyDescent="0.25">
      <c r="A45" s="32" t="s">
        <v>37</v>
      </c>
      <c r="B45" s="33">
        <v>1</v>
      </c>
      <c r="C45" s="33">
        <v>16</v>
      </c>
      <c r="D45" s="33">
        <v>0</v>
      </c>
      <c r="E45" s="33">
        <f t="shared" si="10"/>
        <v>16</v>
      </c>
      <c r="F45" s="33">
        <v>10</v>
      </c>
      <c r="G45" s="42">
        <f t="shared" si="56"/>
        <v>598500</v>
      </c>
      <c r="H45" s="42">
        <f t="shared" si="12"/>
        <v>94840.6875</v>
      </c>
      <c r="I45" s="42">
        <f t="shared" si="13"/>
        <v>18482.553179999999</v>
      </c>
      <c r="J45" s="42">
        <f t="shared" si="14"/>
        <v>121396.08</v>
      </c>
      <c r="K45" s="42">
        <f t="shared" si="52"/>
        <v>833219.32068</v>
      </c>
      <c r="L45" s="42">
        <v>20</v>
      </c>
      <c r="M45" s="42">
        <f t="shared" si="57"/>
        <v>1197000</v>
      </c>
      <c r="N45" s="42">
        <f t="shared" si="17"/>
        <v>218863.125</v>
      </c>
      <c r="O45" s="42">
        <f t="shared" si="18"/>
        <v>42652.0458</v>
      </c>
      <c r="P45" s="42">
        <f t="shared" si="19"/>
        <v>280144.8</v>
      </c>
      <c r="Q45" s="42">
        <f t="shared" si="20"/>
        <v>1738659.9708</v>
      </c>
      <c r="R45" s="42">
        <v>19</v>
      </c>
      <c r="S45" s="42">
        <f t="shared" si="58"/>
        <v>1137150</v>
      </c>
      <c r="T45" s="42">
        <f t="shared" si="0"/>
        <v>218863.125</v>
      </c>
      <c r="U45" s="42">
        <f t="shared" si="1"/>
        <v>42652.0458</v>
      </c>
      <c r="V45" s="42">
        <f t="shared" si="2"/>
        <v>280144.8</v>
      </c>
      <c r="W45" s="42">
        <f t="shared" si="22"/>
        <v>1678809.9708</v>
      </c>
      <c r="X45" s="42">
        <v>19</v>
      </c>
      <c r="Y45" s="42">
        <f t="shared" si="59"/>
        <v>1137150</v>
      </c>
      <c r="Z45" s="42">
        <f t="shared" si="3"/>
        <v>218863.125</v>
      </c>
      <c r="AA45" s="42">
        <f t="shared" si="4"/>
        <v>42652.0458</v>
      </c>
      <c r="AB45" s="42">
        <f t="shared" si="5"/>
        <v>280144.8</v>
      </c>
      <c r="AC45" s="42">
        <f t="shared" si="24"/>
        <v>1678809.9708</v>
      </c>
      <c r="AD45" s="42">
        <v>19</v>
      </c>
      <c r="AE45" s="42">
        <f t="shared" si="60"/>
        <v>1137150</v>
      </c>
      <c r="AF45" s="42">
        <f t="shared" si="26"/>
        <v>218863.125</v>
      </c>
      <c r="AG45" s="42">
        <f t="shared" si="27"/>
        <v>42652.0458</v>
      </c>
      <c r="AH45" s="42">
        <f t="shared" si="6"/>
        <v>280144.8</v>
      </c>
      <c r="AI45" s="42">
        <f t="shared" si="28"/>
        <v>1678809.9708</v>
      </c>
      <c r="AJ45" s="42">
        <v>9</v>
      </c>
      <c r="AK45" s="42">
        <f t="shared" si="61"/>
        <v>538650</v>
      </c>
      <c r="AL45" s="42">
        <f t="shared" si="30"/>
        <v>218863.125</v>
      </c>
      <c r="AM45" s="42">
        <f t="shared" si="31"/>
        <v>42652.0458</v>
      </c>
      <c r="AN45" s="42">
        <f t="shared" si="7"/>
        <v>280144.8</v>
      </c>
      <c r="AO45" s="42">
        <f t="shared" si="32"/>
        <v>1080309.9708</v>
      </c>
      <c r="AP45" s="42">
        <v>18</v>
      </c>
      <c r="AQ45" s="42">
        <f t="shared" si="62"/>
        <v>1077300</v>
      </c>
      <c r="AR45" s="42">
        <f t="shared" si="34"/>
        <v>218863.125</v>
      </c>
      <c r="AS45" s="42">
        <f t="shared" si="35"/>
        <v>42652.0458</v>
      </c>
      <c r="AT45" s="42">
        <f t="shared" si="8"/>
        <v>280144.8</v>
      </c>
      <c r="AU45" s="42">
        <f t="shared" si="36"/>
        <v>1618959.9708</v>
      </c>
      <c r="AV45" s="42">
        <v>19</v>
      </c>
      <c r="AW45" s="42">
        <f t="shared" si="55"/>
        <v>1137150</v>
      </c>
      <c r="AX45" s="42">
        <f t="shared" si="38"/>
        <v>218863.125</v>
      </c>
      <c r="AY45" s="42">
        <f t="shared" si="39"/>
        <v>42652.0458</v>
      </c>
      <c r="AZ45" s="42">
        <f t="shared" si="9"/>
        <v>280144.8</v>
      </c>
      <c r="BA45" s="119">
        <f t="shared" si="40"/>
        <v>1678809.9708</v>
      </c>
    </row>
    <row r="46" spans="1:53" s="34" customFormat="1" x14ac:dyDescent="0.25">
      <c r="A46" s="32" t="s">
        <v>40</v>
      </c>
      <c r="B46" s="33">
        <v>1</v>
      </c>
      <c r="C46" s="33">
        <v>18</v>
      </c>
      <c r="D46" s="33">
        <v>0</v>
      </c>
      <c r="E46" s="33">
        <f t="shared" si="10"/>
        <v>18</v>
      </c>
      <c r="F46" s="33">
        <v>10</v>
      </c>
      <c r="G46" s="42">
        <f t="shared" si="56"/>
        <v>598500</v>
      </c>
      <c r="H46" s="42">
        <f t="shared" si="12"/>
        <v>94840.6875</v>
      </c>
      <c r="I46" s="42">
        <f t="shared" si="13"/>
        <v>18482.553179999999</v>
      </c>
      <c r="J46" s="42">
        <f t="shared" si="14"/>
        <v>121396.08</v>
      </c>
      <c r="K46" s="42">
        <f t="shared" si="52"/>
        <v>833219.32068</v>
      </c>
      <c r="L46" s="42">
        <v>20</v>
      </c>
      <c r="M46" s="42">
        <f t="shared" si="57"/>
        <v>1197000</v>
      </c>
      <c r="N46" s="42">
        <f t="shared" si="17"/>
        <v>218863.125</v>
      </c>
      <c r="O46" s="42">
        <f t="shared" si="18"/>
        <v>42652.0458</v>
      </c>
      <c r="P46" s="42">
        <f t="shared" si="19"/>
        <v>280144.8</v>
      </c>
      <c r="Q46" s="42">
        <f t="shared" si="20"/>
        <v>1738659.9708</v>
      </c>
      <c r="R46" s="42">
        <v>19</v>
      </c>
      <c r="S46" s="42">
        <f t="shared" si="58"/>
        <v>1137150</v>
      </c>
      <c r="T46" s="42">
        <f t="shared" si="0"/>
        <v>218863.125</v>
      </c>
      <c r="U46" s="42">
        <f t="shared" si="1"/>
        <v>42652.0458</v>
      </c>
      <c r="V46" s="42">
        <f t="shared" si="2"/>
        <v>280144.8</v>
      </c>
      <c r="W46" s="42">
        <f t="shared" si="22"/>
        <v>1678809.9708</v>
      </c>
      <c r="X46" s="42">
        <v>19</v>
      </c>
      <c r="Y46" s="42">
        <f t="shared" si="59"/>
        <v>1137150</v>
      </c>
      <c r="Z46" s="42">
        <f t="shared" si="3"/>
        <v>218863.125</v>
      </c>
      <c r="AA46" s="42">
        <f t="shared" si="4"/>
        <v>42652.0458</v>
      </c>
      <c r="AB46" s="42">
        <f t="shared" si="5"/>
        <v>280144.8</v>
      </c>
      <c r="AC46" s="42">
        <f t="shared" si="24"/>
        <v>1678809.9708</v>
      </c>
      <c r="AD46" s="42">
        <v>19</v>
      </c>
      <c r="AE46" s="42">
        <f t="shared" si="60"/>
        <v>1137150</v>
      </c>
      <c r="AF46" s="42">
        <f t="shared" si="26"/>
        <v>218863.125</v>
      </c>
      <c r="AG46" s="42">
        <f t="shared" si="27"/>
        <v>42652.0458</v>
      </c>
      <c r="AH46" s="42">
        <f t="shared" si="6"/>
        <v>280144.8</v>
      </c>
      <c r="AI46" s="42">
        <f t="shared" si="28"/>
        <v>1678809.9708</v>
      </c>
      <c r="AJ46" s="42">
        <v>9</v>
      </c>
      <c r="AK46" s="42">
        <f t="shared" si="61"/>
        <v>538650</v>
      </c>
      <c r="AL46" s="42">
        <f t="shared" si="30"/>
        <v>218863.125</v>
      </c>
      <c r="AM46" s="42">
        <f t="shared" si="31"/>
        <v>42652.0458</v>
      </c>
      <c r="AN46" s="42">
        <f t="shared" si="7"/>
        <v>280144.8</v>
      </c>
      <c r="AO46" s="42">
        <f t="shared" si="32"/>
        <v>1080309.9708</v>
      </c>
      <c r="AP46" s="42">
        <v>18</v>
      </c>
      <c r="AQ46" s="42">
        <f t="shared" si="62"/>
        <v>1077300</v>
      </c>
      <c r="AR46" s="42">
        <f t="shared" si="34"/>
        <v>218863.125</v>
      </c>
      <c r="AS46" s="42">
        <f t="shared" si="35"/>
        <v>42652.0458</v>
      </c>
      <c r="AT46" s="42">
        <f t="shared" si="8"/>
        <v>280144.8</v>
      </c>
      <c r="AU46" s="42">
        <f t="shared" si="36"/>
        <v>1618959.9708</v>
      </c>
      <c r="AV46" s="42">
        <v>19</v>
      </c>
      <c r="AW46" s="42">
        <f t="shared" si="55"/>
        <v>1137150</v>
      </c>
      <c r="AX46" s="42">
        <f t="shared" si="38"/>
        <v>218863.125</v>
      </c>
      <c r="AY46" s="42">
        <f t="shared" si="39"/>
        <v>42652.0458</v>
      </c>
      <c r="AZ46" s="42">
        <f t="shared" si="9"/>
        <v>280144.8</v>
      </c>
      <c r="BA46" s="119">
        <f t="shared" si="40"/>
        <v>1678809.9708</v>
      </c>
    </row>
    <row r="47" spans="1:53" s="34" customFormat="1" x14ac:dyDescent="0.25">
      <c r="A47" s="32" t="s">
        <v>41</v>
      </c>
      <c r="B47" s="33">
        <v>1</v>
      </c>
      <c r="C47" s="33">
        <v>34</v>
      </c>
      <c r="D47" s="33">
        <v>0</v>
      </c>
      <c r="E47" s="33">
        <f t="shared" si="10"/>
        <v>34</v>
      </c>
      <c r="F47" s="33">
        <v>10</v>
      </c>
      <c r="G47" s="42">
        <f t="shared" si="56"/>
        <v>598500</v>
      </c>
      <c r="H47" s="42">
        <f t="shared" si="12"/>
        <v>94840.6875</v>
      </c>
      <c r="I47" s="42">
        <f t="shared" si="13"/>
        <v>18482.553179999999</v>
      </c>
      <c r="J47" s="42">
        <f t="shared" si="14"/>
        <v>121396.08</v>
      </c>
      <c r="K47" s="42">
        <f t="shared" si="52"/>
        <v>833219.32068</v>
      </c>
      <c r="L47" s="42">
        <v>20</v>
      </c>
      <c r="M47" s="42">
        <f t="shared" si="57"/>
        <v>1197000</v>
      </c>
      <c r="N47" s="42">
        <f t="shared" si="17"/>
        <v>218863.125</v>
      </c>
      <c r="O47" s="42">
        <f t="shared" si="18"/>
        <v>42652.0458</v>
      </c>
      <c r="P47" s="42">
        <f t="shared" si="19"/>
        <v>280144.8</v>
      </c>
      <c r="Q47" s="42">
        <f t="shared" si="20"/>
        <v>1738659.9708</v>
      </c>
      <c r="R47" s="42">
        <v>19</v>
      </c>
      <c r="S47" s="42">
        <f t="shared" si="58"/>
        <v>1137150</v>
      </c>
      <c r="T47" s="42">
        <f t="shared" si="0"/>
        <v>218863.125</v>
      </c>
      <c r="U47" s="42">
        <f t="shared" si="1"/>
        <v>42652.0458</v>
      </c>
      <c r="V47" s="42">
        <f t="shared" si="2"/>
        <v>280144.8</v>
      </c>
      <c r="W47" s="42">
        <f t="shared" si="22"/>
        <v>1678809.9708</v>
      </c>
      <c r="X47" s="42">
        <v>19</v>
      </c>
      <c r="Y47" s="42">
        <f t="shared" si="59"/>
        <v>1137150</v>
      </c>
      <c r="Z47" s="42">
        <f t="shared" si="3"/>
        <v>218863.125</v>
      </c>
      <c r="AA47" s="42">
        <f t="shared" si="4"/>
        <v>42652.0458</v>
      </c>
      <c r="AB47" s="42">
        <f t="shared" si="5"/>
        <v>280144.8</v>
      </c>
      <c r="AC47" s="42">
        <f t="shared" si="24"/>
        <v>1678809.9708</v>
      </c>
      <c r="AD47" s="42">
        <v>19</v>
      </c>
      <c r="AE47" s="42">
        <f t="shared" si="60"/>
        <v>1137150</v>
      </c>
      <c r="AF47" s="42">
        <f t="shared" si="26"/>
        <v>218863.125</v>
      </c>
      <c r="AG47" s="42">
        <f t="shared" si="27"/>
        <v>42652.0458</v>
      </c>
      <c r="AH47" s="42">
        <f t="shared" si="6"/>
        <v>280144.8</v>
      </c>
      <c r="AI47" s="42">
        <f t="shared" si="28"/>
        <v>1678809.9708</v>
      </c>
      <c r="AJ47" s="42">
        <v>9</v>
      </c>
      <c r="AK47" s="42">
        <f t="shared" si="61"/>
        <v>538650</v>
      </c>
      <c r="AL47" s="42">
        <f t="shared" si="30"/>
        <v>218863.125</v>
      </c>
      <c r="AM47" s="42">
        <f t="shared" si="31"/>
        <v>42652.0458</v>
      </c>
      <c r="AN47" s="42">
        <f t="shared" si="7"/>
        <v>280144.8</v>
      </c>
      <c r="AO47" s="42">
        <f t="shared" si="32"/>
        <v>1080309.9708</v>
      </c>
      <c r="AP47" s="42">
        <v>18</v>
      </c>
      <c r="AQ47" s="42">
        <f t="shared" si="62"/>
        <v>1077300</v>
      </c>
      <c r="AR47" s="42">
        <f t="shared" si="34"/>
        <v>218863.125</v>
      </c>
      <c r="AS47" s="42">
        <f t="shared" si="35"/>
        <v>42652.0458</v>
      </c>
      <c r="AT47" s="42">
        <f t="shared" si="8"/>
        <v>280144.8</v>
      </c>
      <c r="AU47" s="42">
        <f t="shared" si="36"/>
        <v>1618959.9708</v>
      </c>
      <c r="AV47" s="42">
        <v>19</v>
      </c>
      <c r="AW47" s="42">
        <f t="shared" si="55"/>
        <v>1137150</v>
      </c>
      <c r="AX47" s="42">
        <f t="shared" si="38"/>
        <v>218863.125</v>
      </c>
      <c r="AY47" s="42">
        <f t="shared" si="39"/>
        <v>42652.0458</v>
      </c>
      <c r="AZ47" s="42">
        <f t="shared" si="9"/>
        <v>280144.8</v>
      </c>
      <c r="BA47" s="119">
        <f t="shared" si="40"/>
        <v>1678809.9708</v>
      </c>
    </row>
    <row r="48" spans="1:53" s="34" customFormat="1" x14ac:dyDescent="0.25">
      <c r="A48" s="32" t="s">
        <v>47</v>
      </c>
      <c r="B48" s="33">
        <v>1</v>
      </c>
      <c r="C48" s="33">
        <v>21</v>
      </c>
      <c r="D48" s="33">
        <v>0</v>
      </c>
      <c r="E48" s="33">
        <f t="shared" si="10"/>
        <v>21</v>
      </c>
      <c r="F48" s="33">
        <v>10</v>
      </c>
      <c r="G48" s="42">
        <f t="shared" si="56"/>
        <v>598500</v>
      </c>
      <c r="H48" s="42">
        <f t="shared" si="12"/>
        <v>94840.6875</v>
      </c>
      <c r="I48" s="42">
        <f t="shared" si="13"/>
        <v>18482.553179999999</v>
      </c>
      <c r="J48" s="42">
        <f t="shared" si="14"/>
        <v>121396.08</v>
      </c>
      <c r="K48" s="42">
        <f t="shared" si="52"/>
        <v>833219.32068</v>
      </c>
      <c r="L48" s="42">
        <v>20</v>
      </c>
      <c r="M48" s="42">
        <f t="shared" si="57"/>
        <v>1197000</v>
      </c>
      <c r="N48" s="42">
        <f t="shared" si="17"/>
        <v>218863.125</v>
      </c>
      <c r="O48" s="42">
        <f t="shared" si="18"/>
        <v>42652.0458</v>
      </c>
      <c r="P48" s="42">
        <f t="shared" si="19"/>
        <v>280144.8</v>
      </c>
      <c r="Q48" s="42">
        <f t="shared" si="20"/>
        <v>1738659.9708</v>
      </c>
      <c r="R48" s="42">
        <v>19</v>
      </c>
      <c r="S48" s="42">
        <f t="shared" si="58"/>
        <v>1137150</v>
      </c>
      <c r="T48" s="42">
        <f t="shared" si="0"/>
        <v>218863.125</v>
      </c>
      <c r="U48" s="42">
        <f t="shared" si="1"/>
        <v>42652.0458</v>
      </c>
      <c r="V48" s="42">
        <f t="shared" si="2"/>
        <v>280144.8</v>
      </c>
      <c r="W48" s="42">
        <f t="shared" si="22"/>
        <v>1678809.9708</v>
      </c>
      <c r="X48" s="42">
        <v>19</v>
      </c>
      <c r="Y48" s="42">
        <f t="shared" si="59"/>
        <v>1137150</v>
      </c>
      <c r="Z48" s="42">
        <f t="shared" si="3"/>
        <v>218863.125</v>
      </c>
      <c r="AA48" s="42">
        <f t="shared" si="4"/>
        <v>42652.0458</v>
      </c>
      <c r="AB48" s="42">
        <f t="shared" si="5"/>
        <v>280144.8</v>
      </c>
      <c r="AC48" s="42">
        <f t="shared" si="24"/>
        <v>1678809.9708</v>
      </c>
      <c r="AD48" s="42">
        <v>19</v>
      </c>
      <c r="AE48" s="42">
        <f t="shared" si="60"/>
        <v>1137150</v>
      </c>
      <c r="AF48" s="42">
        <f t="shared" si="26"/>
        <v>218863.125</v>
      </c>
      <c r="AG48" s="42">
        <f t="shared" si="27"/>
        <v>42652.0458</v>
      </c>
      <c r="AH48" s="42">
        <f t="shared" si="6"/>
        <v>280144.8</v>
      </c>
      <c r="AI48" s="42">
        <f t="shared" si="28"/>
        <v>1678809.9708</v>
      </c>
      <c r="AJ48" s="42">
        <v>9</v>
      </c>
      <c r="AK48" s="42">
        <f t="shared" si="61"/>
        <v>538650</v>
      </c>
      <c r="AL48" s="42">
        <f t="shared" si="30"/>
        <v>218863.125</v>
      </c>
      <c r="AM48" s="42">
        <f t="shared" si="31"/>
        <v>42652.0458</v>
      </c>
      <c r="AN48" s="42">
        <f t="shared" si="7"/>
        <v>280144.8</v>
      </c>
      <c r="AO48" s="42">
        <f t="shared" si="32"/>
        <v>1080309.9708</v>
      </c>
      <c r="AP48" s="42">
        <v>18</v>
      </c>
      <c r="AQ48" s="42">
        <f t="shared" si="62"/>
        <v>1077300</v>
      </c>
      <c r="AR48" s="42">
        <f t="shared" si="34"/>
        <v>218863.125</v>
      </c>
      <c r="AS48" s="42">
        <f t="shared" si="35"/>
        <v>42652.0458</v>
      </c>
      <c r="AT48" s="42">
        <f t="shared" si="8"/>
        <v>280144.8</v>
      </c>
      <c r="AU48" s="42">
        <f t="shared" si="36"/>
        <v>1618959.9708</v>
      </c>
      <c r="AV48" s="42">
        <v>19</v>
      </c>
      <c r="AW48" s="42">
        <f t="shared" si="55"/>
        <v>1137150</v>
      </c>
      <c r="AX48" s="42">
        <f t="shared" si="38"/>
        <v>218863.125</v>
      </c>
      <c r="AY48" s="42">
        <f t="shared" si="39"/>
        <v>42652.0458</v>
      </c>
      <c r="AZ48" s="42">
        <f t="shared" si="9"/>
        <v>280144.8</v>
      </c>
      <c r="BA48" s="119">
        <f t="shared" si="40"/>
        <v>1678809.9708</v>
      </c>
    </row>
    <row r="49" spans="1:53" s="34" customFormat="1" x14ac:dyDescent="0.25">
      <c r="A49" s="32" t="s">
        <v>52</v>
      </c>
      <c r="B49" s="33">
        <v>1</v>
      </c>
      <c r="C49" s="33">
        <v>16</v>
      </c>
      <c r="D49" s="33">
        <v>0</v>
      </c>
      <c r="E49" s="33">
        <f t="shared" si="10"/>
        <v>16</v>
      </c>
      <c r="F49" s="33">
        <v>10</v>
      </c>
      <c r="G49" s="42">
        <f t="shared" si="56"/>
        <v>598500</v>
      </c>
      <c r="H49" s="42">
        <f t="shared" si="12"/>
        <v>94840.6875</v>
      </c>
      <c r="I49" s="42">
        <f t="shared" si="13"/>
        <v>18482.553179999999</v>
      </c>
      <c r="J49" s="42">
        <f t="shared" si="14"/>
        <v>121396.08</v>
      </c>
      <c r="K49" s="42">
        <f t="shared" si="52"/>
        <v>833219.32068</v>
      </c>
      <c r="L49" s="42">
        <v>20</v>
      </c>
      <c r="M49" s="42">
        <f t="shared" si="57"/>
        <v>1197000</v>
      </c>
      <c r="N49" s="42">
        <f t="shared" si="17"/>
        <v>218863.125</v>
      </c>
      <c r="O49" s="42">
        <f t="shared" si="18"/>
        <v>42652.0458</v>
      </c>
      <c r="P49" s="42">
        <f t="shared" si="19"/>
        <v>280144.8</v>
      </c>
      <c r="Q49" s="42">
        <f t="shared" si="20"/>
        <v>1738659.9708</v>
      </c>
      <c r="R49" s="42">
        <v>19</v>
      </c>
      <c r="S49" s="42">
        <f t="shared" si="58"/>
        <v>1137150</v>
      </c>
      <c r="T49" s="42">
        <f t="shared" si="0"/>
        <v>218863.125</v>
      </c>
      <c r="U49" s="42">
        <f t="shared" si="1"/>
        <v>42652.0458</v>
      </c>
      <c r="V49" s="42">
        <f t="shared" si="2"/>
        <v>280144.8</v>
      </c>
      <c r="W49" s="42">
        <f t="shared" si="22"/>
        <v>1678809.9708</v>
      </c>
      <c r="X49" s="42">
        <v>19</v>
      </c>
      <c r="Y49" s="42">
        <f t="shared" si="59"/>
        <v>1137150</v>
      </c>
      <c r="Z49" s="42">
        <f t="shared" si="3"/>
        <v>218863.125</v>
      </c>
      <c r="AA49" s="42">
        <f t="shared" si="4"/>
        <v>42652.0458</v>
      </c>
      <c r="AB49" s="42">
        <f t="shared" si="5"/>
        <v>280144.8</v>
      </c>
      <c r="AC49" s="42">
        <f t="shared" si="24"/>
        <v>1678809.9708</v>
      </c>
      <c r="AD49" s="42">
        <v>19</v>
      </c>
      <c r="AE49" s="42">
        <f t="shared" si="60"/>
        <v>1137150</v>
      </c>
      <c r="AF49" s="42">
        <f t="shared" si="26"/>
        <v>218863.125</v>
      </c>
      <c r="AG49" s="42">
        <f t="shared" si="27"/>
        <v>42652.0458</v>
      </c>
      <c r="AH49" s="42">
        <f t="shared" si="6"/>
        <v>280144.8</v>
      </c>
      <c r="AI49" s="42">
        <f t="shared" si="28"/>
        <v>1678809.9708</v>
      </c>
      <c r="AJ49" s="42">
        <v>9</v>
      </c>
      <c r="AK49" s="42">
        <f t="shared" si="61"/>
        <v>538650</v>
      </c>
      <c r="AL49" s="42">
        <f t="shared" si="30"/>
        <v>218863.125</v>
      </c>
      <c r="AM49" s="42">
        <f t="shared" si="31"/>
        <v>42652.0458</v>
      </c>
      <c r="AN49" s="42">
        <f t="shared" si="7"/>
        <v>280144.8</v>
      </c>
      <c r="AO49" s="42">
        <f t="shared" si="32"/>
        <v>1080309.9708</v>
      </c>
      <c r="AP49" s="42">
        <v>18</v>
      </c>
      <c r="AQ49" s="42">
        <f t="shared" si="62"/>
        <v>1077300</v>
      </c>
      <c r="AR49" s="42">
        <f t="shared" si="34"/>
        <v>218863.125</v>
      </c>
      <c r="AS49" s="42">
        <f t="shared" si="35"/>
        <v>42652.0458</v>
      </c>
      <c r="AT49" s="42">
        <f t="shared" si="8"/>
        <v>280144.8</v>
      </c>
      <c r="AU49" s="42">
        <f t="shared" si="36"/>
        <v>1618959.9708</v>
      </c>
      <c r="AV49" s="42">
        <v>19</v>
      </c>
      <c r="AW49" s="42">
        <f t="shared" si="55"/>
        <v>1137150</v>
      </c>
      <c r="AX49" s="42">
        <f t="shared" si="38"/>
        <v>218863.125</v>
      </c>
      <c r="AY49" s="42">
        <f t="shared" si="39"/>
        <v>42652.0458</v>
      </c>
      <c r="AZ49" s="42">
        <f t="shared" si="9"/>
        <v>280144.8</v>
      </c>
      <c r="BA49" s="119">
        <f t="shared" si="40"/>
        <v>1678809.9708</v>
      </c>
    </row>
    <row r="50" spans="1:53" s="34" customFormat="1" x14ac:dyDescent="0.25">
      <c r="A50" s="32" t="s">
        <v>56</v>
      </c>
      <c r="B50" s="33">
        <v>1</v>
      </c>
      <c r="C50" s="33">
        <v>33</v>
      </c>
      <c r="D50" s="33">
        <v>0</v>
      </c>
      <c r="E50" s="33">
        <f t="shared" si="10"/>
        <v>33</v>
      </c>
      <c r="F50" s="33">
        <v>10</v>
      </c>
      <c r="G50" s="42">
        <f t="shared" si="56"/>
        <v>598500</v>
      </c>
      <c r="H50" s="42">
        <f t="shared" si="12"/>
        <v>94840.6875</v>
      </c>
      <c r="I50" s="42">
        <f t="shared" si="13"/>
        <v>18482.553179999999</v>
      </c>
      <c r="J50" s="42">
        <f t="shared" si="14"/>
        <v>121396.08</v>
      </c>
      <c r="K50" s="42">
        <f t="shared" si="52"/>
        <v>833219.32068</v>
      </c>
      <c r="L50" s="42">
        <v>20</v>
      </c>
      <c r="M50" s="42">
        <f t="shared" si="57"/>
        <v>1197000</v>
      </c>
      <c r="N50" s="42">
        <f t="shared" si="17"/>
        <v>218863.125</v>
      </c>
      <c r="O50" s="42">
        <f t="shared" si="18"/>
        <v>42652.0458</v>
      </c>
      <c r="P50" s="42">
        <f t="shared" si="19"/>
        <v>280144.8</v>
      </c>
      <c r="Q50" s="42">
        <f t="shared" si="20"/>
        <v>1738659.9708</v>
      </c>
      <c r="R50" s="42">
        <v>19</v>
      </c>
      <c r="S50" s="42">
        <f t="shared" si="58"/>
        <v>1137150</v>
      </c>
      <c r="T50" s="42">
        <f t="shared" si="0"/>
        <v>218863.125</v>
      </c>
      <c r="U50" s="42">
        <f t="shared" si="1"/>
        <v>42652.0458</v>
      </c>
      <c r="V50" s="42">
        <f t="shared" si="2"/>
        <v>280144.8</v>
      </c>
      <c r="W50" s="42">
        <f t="shared" si="22"/>
        <v>1678809.9708</v>
      </c>
      <c r="X50" s="42">
        <v>19</v>
      </c>
      <c r="Y50" s="42">
        <f t="shared" si="59"/>
        <v>1137150</v>
      </c>
      <c r="Z50" s="42">
        <f t="shared" si="3"/>
        <v>218863.125</v>
      </c>
      <c r="AA50" s="42">
        <f t="shared" si="4"/>
        <v>42652.0458</v>
      </c>
      <c r="AB50" s="42">
        <f t="shared" si="5"/>
        <v>280144.8</v>
      </c>
      <c r="AC50" s="42">
        <f t="shared" si="24"/>
        <v>1678809.9708</v>
      </c>
      <c r="AD50" s="42">
        <v>19</v>
      </c>
      <c r="AE50" s="42">
        <f t="shared" si="60"/>
        <v>1137150</v>
      </c>
      <c r="AF50" s="42">
        <f t="shared" si="26"/>
        <v>218863.125</v>
      </c>
      <c r="AG50" s="42">
        <f t="shared" si="27"/>
        <v>42652.0458</v>
      </c>
      <c r="AH50" s="42">
        <f t="shared" si="6"/>
        <v>280144.8</v>
      </c>
      <c r="AI50" s="42">
        <f t="shared" si="28"/>
        <v>1678809.9708</v>
      </c>
      <c r="AJ50" s="42">
        <v>9</v>
      </c>
      <c r="AK50" s="42">
        <f t="shared" si="61"/>
        <v>538650</v>
      </c>
      <c r="AL50" s="42">
        <f t="shared" si="30"/>
        <v>218863.125</v>
      </c>
      <c r="AM50" s="42">
        <f t="shared" si="31"/>
        <v>42652.0458</v>
      </c>
      <c r="AN50" s="42">
        <f t="shared" si="7"/>
        <v>280144.8</v>
      </c>
      <c r="AO50" s="42">
        <f t="shared" si="32"/>
        <v>1080309.9708</v>
      </c>
      <c r="AP50" s="42">
        <v>18</v>
      </c>
      <c r="AQ50" s="42">
        <f t="shared" si="62"/>
        <v>1077300</v>
      </c>
      <c r="AR50" s="42">
        <f t="shared" si="34"/>
        <v>218863.125</v>
      </c>
      <c r="AS50" s="42">
        <f t="shared" si="35"/>
        <v>42652.0458</v>
      </c>
      <c r="AT50" s="42">
        <f t="shared" si="8"/>
        <v>280144.8</v>
      </c>
      <c r="AU50" s="42">
        <f t="shared" si="36"/>
        <v>1618959.9708</v>
      </c>
      <c r="AV50" s="42">
        <v>19</v>
      </c>
      <c r="AW50" s="42">
        <f t="shared" si="55"/>
        <v>1137150</v>
      </c>
      <c r="AX50" s="42">
        <f t="shared" si="38"/>
        <v>218863.125</v>
      </c>
      <c r="AY50" s="42">
        <f t="shared" si="39"/>
        <v>42652.0458</v>
      </c>
      <c r="AZ50" s="42">
        <f t="shared" si="9"/>
        <v>280144.8</v>
      </c>
      <c r="BA50" s="119">
        <f t="shared" si="40"/>
        <v>1678809.9708</v>
      </c>
    </row>
    <row r="51" spans="1:53" s="34" customFormat="1" x14ac:dyDescent="0.25">
      <c r="A51" s="32" t="s">
        <v>58</v>
      </c>
      <c r="B51" s="33">
        <v>1</v>
      </c>
      <c r="C51" s="33">
        <v>19</v>
      </c>
      <c r="D51" s="33">
        <v>17</v>
      </c>
      <c r="E51" s="33">
        <f t="shared" si="10"/>
        <v>36</v>
      </c>
      <c r="F51" s="33">
        <v>10</v>
      </c>
      <c r="G51" s="42">
        <f t="shared" si="56"/>
        <v>598500</v>
      </c>
      <c r="H51" s="42">
        <f t="shared" si="12"/>
        <v>94840.6875</v>
      </c>
      <c r="I51" s="42">
        <f t="shared" si="13"/>
        <v>18482.553179999999</v>
      </c>
      <c r="J51" s="42">
        <f t="shared" si="14"/>
        <v>121396.08</v>
      </c>
      <c r="K51" s="42">
        <f t="shared" si="52"/>
        <v>833219.32068</v>
      </c>
      <c r="L51" s="42">
        <v>20</v>
      </c>
      <c r="M51" s="42">
        <f t="shared" si="57"/>
        <v>1197000</v>
      </c>
      <c r="N51" s="42">
        <f t="shared" si="17"/>
        <v>218863.125</v>
      </c>
      <c r="O51" s="42">
        <f t="shared" si="18"/>
        <v>42652.0458</v>
      </c>
      <c r="P51" s="42">
        <f t="shared" si="19"/>
        <v>280144.8</v>
      </c>
      <c r="Q51" s="42">
        <f t="shared" si="20"/>
        <v>1738659.9708</v>
      </c>
      <c r="R51" s="42">
        <v>19</v>
      </c>
      <c r="S51" s="42">
        <f>$C$5*R51</f>
        <v>1137150</v>
      </c>
      <c r="T51" s="42">
        <f t="shared" si="0"/>
        <v>218863.125</v>
      </c>
      <c r="U51" s="42">
        <f t="shared" si="1"/>
        <v>42652.0458</v>
      </c>
      <c r="V51" s="42">
        <f t="shared" si="2"/>
        <v>280144.8</v>
      </c>
      <c r="W51" s="42">
        <f t="shared" si="22"/>
        <v>1678809.9708</v>
      </c>
      <c r="X51" s="42">
        <v>19</v>
      </c>
      <c r="Y51" s="42">
        <f>$C$5*X51</f>
        <v>1137150</v>
      </c>
      <c r="Z51" s="42">
        <f t="shared" si="3"/>
        <v>218863.125</v>
      </c>
      <c r="AA51" s="42">
        <f t="shared" si="4"/>
        <v>42652.0458</v>
      </c>
      <c r="AB51" s="42">
        <f t="shared" si="5"/>
        <v>280144.8</v>
      </c>
      <c r="AC51" s="42">
        <f t="shared" si="24"/>
        <v>1678809.9708</v>
      </c>
      <c r="AD51" s="42">
        <v>19</v>
      </c>
      <c r="AE51" s="42">
        <f t="shared" si="60"/>
        <v>1137150</v>
      </c>
      <c r="AF51" s="42">
        <f t="shared" si="26"/>
        <v>218863.125</v>
      </c>
      <c r="AG51" s="42">
        <f t="shared" si="27"/>
        <v>42652.0458</v>
      </c>
      <c r="AH51" s="42">
        <f t="shared" si="6"/>
        <v>280144.8</v>
      </c>
      <c r="AI51" s="42">
        <f t="shared" si="28"/>
        <v>1678809.9708</v>
      </c>
      <c r="AJ51" s="42">
        <v>9</v>
      </c>
      <c r="AK51" s="42">
        <f t="shared" si="61"/>
        <v>538650</v>
      </c>
      <c r="AL51" s="42">
        <f t="shared" si="30"/>
        <v>218863.125</v>
      </c>
      <c r="AM51" s="42">
        <f t="shared" si="31"/>
        <v>42652.0458</v>
      </c>
      <c r="AN51" s="42">
        <f t="shared" si="7"/>
        <v>280144.8</v>
      </c>
      <c r="AO51" s="42">
        <f t="shared" si="32"/>
        <v>1080309.9708</v>
      </c>
      <c r="AP51" s="42">
        <v>18</v>
      </c>
      <c r="AQ51" s="42">
        <f t="shared" si="62"/>
        <v>1077300</v>
      </c>
      <c r="AR51" s="42">
        <f t="shared" si="34"/>
        <v>218863.125</v>
      </c>
      <c r="AS51" s="42">
        <f t="shared" si="35"/>
        <v>42652.0458</v>
      </c>
      <c r="AT51" s="42">
        <f t="shared" si="8"/>
        <v>280144.8</v>
      </c>
      <c r="AU51" s="42">
        <f t="shared" si="36"/>
        <v>1618959.9708</v>
      </c>
      <c r="AV51" s="42">
        <v>19</v>
      </c>
      <c r="AW51" s="42">
        <f t="shared" si="55"/>
        <v>1137150</v>
      </c>
      <c r="AX51" s="42">
        <f t="shared" si="38"/>
        <v>218863.125</v>
      </c>
      <c r="AY51" s="42">
        <f t="shared" si="39"/>
        <v>42652.0458</v>
      </c>
      <c r="AZ51" s="42">
        <f t="shared" si="9"/>
        <v>280144.8</v>
      </c>
      <c r="BA51" s="119">
        <f t="shared" si="40"/>
        <v>1678809.9708</v>
      </c>
    </row>
    <row r="52" spans="1:53" s="34" customFormat="1" x14ac:dyDescent="0.25">
      <c r="A52" s="32" t="s">
        <v>59</v>
      </c>
      <c r="B52" s="33">
        <v>1</v>
      </c>
      <c r="C52" s="33">
        <v>16</v>
      </c>
      <c r="D52" s="33">
        <v>0</v>
      </c>
      <c r="E52" s="33">
        <f t="shared" si="10"/>
        <v>16</v>
      </c>
      <c r="F52" s="33">
        <v>10</v>
      </c>
      <c r="G52" s="42">
        <f t="shared" si="56"/>
        <v>598500</v>
      </c>
      <c r="H52" s="42">
        <f t="shared" si="12"/>
        <v>94840.6875</v>
      </c>
      <c r="I52" s="42">
        <f t="shared" si="13"/>
        <v>18482.553179999999</v>
      </c>
      <c r="J52" s="42">
        <f t="shared" si="14"/>
        <v>121396.08</v>
      </c>
      <c r="K52" s="42">
        <f t="shared" si="52"/>
        <v>833219.32068</v>
      </c>
      <c r="L52" s="42">
        <v>20</v>
      </c>
      <c r="M52" s="42">
        <f t="shared" si="57"/>
        <v>1197000</v>
      </c>
      <c r="N52" s="42">
        <f t="shared" si="17"/>
        <v>218863.125</v>
      </c>
      <c r="O52" s="42">
        <f t="shared" si="18"/>
        <v>42652.0458</v>
      </c>
      <c r="P52" s="42">
        <f t="shared" si="19"/>
        <v>280144.8</v>
      </c>
      <c r="Q52" s="42">
        <f t="shared" si="20"/>
        <v>1738659.9708</v>
      </c>
      <c r="R52" s="42">
        <v>19</v>
      </c>
      <c r="S52" s="42">
        <f t="shared" si="58"/>
        <v>1137150</v>
      </c>
      <c r="T52" s="42">
        <f t="shared" si="0"/>
        <v>218863.125</v>
      </c>
      <c r="U52" s="42">
        <f t="shared" si="1"/>
        <v>42652.0458</v>
      </c>
      <c r="V52" s="42">
        <f t="shared" si="2"/>
        <v>280144.8</v>
      </c>
      <c r="W52" s="42">
        <f t="shared" si="22"/>
        <v>1678809.9708</v>
      </c>
      <c r="X52" s="42">
        <v>19</v>
      </c>
      <c r="Y52" s="42">
        <f t="shared" si="59"/>
        <v>1137150</v>
      </c>
      <c r="Z52" s="42">
        <f t="shared" si="3"/>
        <v>218863.125</v>
      </c>
      <c r="AA52" s="42">
        <f t="shared" si="4"/>
        <v>42652.0458</v>
      </c>
      <c r="AB52" s="42">
        <f t="shared" si="5"/>
        <v>280144.8</v>
      </c>
      <c r="AC52" s="42">
        <f t="shared" si="24"/>
        <v>1678809.9708</v>
      </c>
      <c r="AD52" s="42">
        <v>19</v>
      </c>
      <c r="AE52" s="42">
        <f t="shared" si="60"/>
        <v>1137150</v>
      </c>
      <c r="AF52" s="42">
        <f t="shared" si="26"/>
        <v>218863.125</v>
      </c>
      <c r="AG52" s="42">
        <f t="shared" si="27"/>
        <v>42652.0458</v>
      </c>
      <c r="AH52" s="42">
        <f t="shared" si="6"/>
        <v>280144.8</v>
      </c>
      <c r="AI52" s="42">
        <f t="shared" si="28"/>
        <v>1678809.9708</v>
      </c>
      <c r="AJ52" s="42">
        <v>9</v>
      </c>
      <c r="AK52" s="42">
        <f t="shared" si="61"/>
        <v>538650</v>
      </c>
      <c r="AL52" s="42">
        <f t="shared" si="30"/>
        <v>218863.125</v>
      </c>
      <c r="AM52" s="42">
        <f t="shared" si="31"/>
        <v>42652.0458</v>
      </c>
      <c r="AN52" s="42">
        <f t="shared" si="7"/>
        <v>280144.8</v>
      </c>
      <c r="AO52" s="42">
        <f t="shared" si="32"/>
        <v>1080309.9708</v>
      </c>
      <c r="AP52" s="42">
        <v>18</v>
      </c>
      <c r="AQ52" s="42">
        <f t="shared" si="62"/>
        <v>1077300</v>
      </c>
      <c r="AR52" s="42">
        <f t="shared" si="34"/>
        <v>218863.125</v>
      </c>
      <c r="AS52" s="42">
        <f t="shared" si="35"/>
        <v>42652.0458</v>
      </c>
      <c r="AT52" s="42">
        <f t="shared" si="8"/>
        <v>280144.8</v>
      </c>
      <c r="AU52" s="42">
        <f t="shared" si="36"/>
        <v>1618959.9708</v>
      </c>
      <c r="AV52" s="42">
        <v>19</v>
      </c>
      <c r="AW52" s="42">
        <f t="shared" si="55"/>
        <v>1137150</v>
      </c>
      <c r="AX52" s="42">
        <f t="shared" si="38"/>
        <v>218863.125</v>
      </c>
      <c r="AY52" s="42">
        <f t="shared" si="39"/>
        <v>42652.0458</v>
      </c>
      <c r="AZ52" s="42">
        <f t="shared" si="9"/>
        <v>280144.8</v>
      </c>
      <c r="BA52" s="119">
        <f t="shared" si="40"/>
        <v>1678809.9708</v>
      </c>
    </row>
    <row r="53" spans="1:53" s="34" customFormat="1" x14ac:dyDescent="0.25">
      <c r="A53" s="32" t="s">
        <v>68</v>
      </c>
      <c r="B53" s="33">
        <v>1</v>
      </c>
      <c r="C53" s="33">
        <v>22</v>
      </c>
      <c r="D53" s="33">
        <v>0</v>
      </c>
      <c r="E53" s="33">
        <f t="shared" si="10"/>
        <v>22</v>
      </c>
      <c r="F53" s="33">
        <v>10</v>
      </c>
      <c r="G53" s="42">
        <f t="shared" si="56"/>
        <v>598500</v>
      </c>
      <c r="H53" s="42">
        <f t="shared" si="12"/>
        <v>94840.6875</v>
      </c>
      <c r="I53" s="42">
        <f t="shared" si="13"/>
        <v>18482.553179999999</v>
      </c>
      <c r="J53" s="42">
        <f t="shared" si="14"/>
        <v>121396.08</v>
      </c>
      <c r="K53" s="42">
        <f t="shared" si="52"/>
        <v>833219.32068</v>
      </c>
      <c r="L53" s="42">
        <v>20</v>
      </c>
      <c r="M53" s="42">
        <f t="shared" si="57"/>
        <v>1197000</v>
      </c>
      <c r="N53" s="42">
        <f t="shared" si="17"/>
        <v>218863.125</v>
      </c>
      <c r="O53" s="42">
        <f t="shared" si="18"/>
        <v>42652.0458</v>
      </c>
      <c r="P53" s="42">
        <f t="shared" si="19"/>
        <v>280144.8</v>
      </c>
      <c r="Q53" s="42">
        <f t="shared" si="20"/>
        <v>1738659.9708</v>
      </c>
      <c r="R53" s="42">
        <v>19</v>
      </c>
      <c r="S53" s="42">
        <f t="shared" si="58"/>
        <v>1137150</v>
      </c>
      <c r="T53" s="42">
        <f t="shared" si="0"/>
        <v>218863.125</v>
      </c>
      <c r="U53" s="42">
        <f t="shared" si="1"/>
        <v>42652.0458</v>
      </c>
      <c r="V53" s="42">
        <f t="shared" si="2"/>
        <v>280144.8</v>
      </c>
      <c r="W53" s="42">
        <f t="shared" si="22"/>
        <v>1678809.9708</v>
      </c>
      <c r="X53" s="42">
        <v>19</v>
      </c>
      <c r="Y53" s="42">
        <f t="shared" si="59"/>
        <v>1137150</v>
      </c>
      <c r="Z53" s="42">
        <f t="shared" si="3"/>
        <v>218863.125</v>
      </c>
      <c r="AA53" s="42">
        <f t="shared" si="4"/>
        <v>42652.0458</v>
      </c>
      <c r="AB53" s="42">
        <f t="shared" si="5"/>
        <v>280144.8</v>
      </c>
      <c r="AC53" s="42">
        <f t="shared" si="24"/>
        <v>1678809.9708</v>
      </c>
      <c r="AD53" s="42">
        <v>19</v>
      </c>
      <c r="AE53" s="42">
        <f t="shared" si="60"/>
        <v>1137150</v>
      </c>
      <c r="AF53" s="42">
        <f t="shared" si="26"/>
        <v>218863.125</v>
      </c>
      <c r="AG53" s="42">
        <f t="shared" si="27"/>
        <v>42652.0458</v>
      </c>
      <c r="AH53" s="42">
        <f t="shared" si="6"/>
        <v>280144.8</v>
      </c>
      <c r="AI53" s="42">
        <f t="shared" si="28"/>
        <v>1678809.9708</v>
      </c>
      <c r="AJ53" s="42">
        <v>9</v>
      </c>
      <c r="AK53" s="42">
        <f t="shared" si="61"/>
        <v>538650</v>
      </c>
      <c r="AL53" s="42">
        <f t="shared" si="30"/>
        <v>218863.125</v>
      </c>
      <c r="AM53" s="42">
        <f t="shared" si="31"/>
        <v>42652.0458</v>
      </c>
      <c r="AN53" s="42">
        <f t="shared" si="7"/>
        <v>280144.8</v>
      </c>
      <c r="AO53" s="42">
        <f t="shared" si="32"/>
        <v>1080309.9708</v>
      </c>
      <c r="AP53" s="42">
        <v>18</v>
      </c>
      <c r="AQ53" s="42">
        <f t="shared" si="62"/>
        <v>1077300</v>
      </c>
      <c r="AR53" s="42">
        <f t="shared" si="34"/>
        <v>218863.125</v>
      </c>
      <c r="AS53" s="42">
        <f t="shared" si="35"/>
        <v>42652.0458</v>
      </c>
      <c r="AT53" s="42">
        <f t="shared" si="8"/>
        <v>280144.8</v>
      </c>
      <c r="AU53" s="42">
        <f t="shared" si="36"/>
        <v>1618959.9708</v>
      </c>
      <c r="AV53" s="42">
        <v>19</v>
      </c>
      <c r="AW53" s="42">
        <f t="shared" si="55"/>
        <v>1137150</v>
      </c>
      <c r="AX53" s="42">
        <f t="shared" si="38"/>
        <v>218863.125</v>
      </c>
      <c r="AY53" s="42">
        <f t="shared" si="39"/>
        <v>42652.0458</v>
      </c>
      <c r="AZ53" s="42">
        <f t="shared" si="9"/>
        <v>280144.8</v>
      </c>
      <c r="BA53" s="119">
        <f t="shared" si="40"/>
        <v>1678809.9708</v>
      </c>
    </row>
    <row r="54" spans="1:53" s="34" customFormat="1" x14ac:dyDescent="0.25">
      <c r="A54" s="32" t="s">
        <v>69</v>
      </c>
      <c r="B54" s="33">
        <v>1</v>
      </c>
      <c r="C54" s="33">
        <v>23</v>
      </c>
      <c r="D54" s="33">
        <v>11</v>
      </c>
      <c r="E54" s="33">
        <f t="shared" si="10"/>
        <v>34</v>
      </c>
      <c r="F54" s="33">
        <v>10</v>
      </c>
      <c r="G54" s="42">
        <f t="shared" si="56"/>
        <v>598500</v>
      </c>
      <c r="H54" s="42">
        <f t="shared" si="12"/>
        <v>94840.6875</v>
      </c>
      <c r="I54" s="42">
        <f t="shared" si="13"/>
        <v>18482.553179999999</v>
      </c>
      <c r="J54" s="42">
        <f t="shared" si="14"/>
        <v>121396.08</v>
      </c>
      <c r="K54" s="42">
        <f t="shared" si="52"/>
        <v>833219.32068</v>
      </c>
      <c r="L54" s="42">
        <v>20</v>
      </c>
      <c r="M54" s="42">
        <f t="shared" si="57"/>
        <v>1197000</v>
      </c>
      <c r="N54" s="42">
        <f t="shared" si="17"/>
        <v>218863.125</v>
      </c>
      <c r="O54" s="42">
        <f t="shared" si="18"/>
        <v>42652.0458</v>
      </c>
      <c r="P54" s="42">
        <f t="shared" si="19"/>
        <v>280144.8</v>
      </c>
      <c r="Q54" s="42">
        <f t="shared" si="20"/>
        <v>1738659.9708</v>
      </c>
      <c r="R54" s="42">
        <v>19</v>
      </c>
      <c r="S54" s="42">
        <f t="shared" si="58"/>
        <v>1137150</v>
      </c>
      <c r="T54" s="42">
        <f t="shared" si="0"/>
        <v>218863.125</v>
      </c>
      <c r="U54" s="42">
        <f t="shared" si="1"/>
        <v>42652.0458</v>
      </c>
      <c r="V54" s="42">
        <f t="shared" si="2"/>
        <v>280144.8</v>
      </c>
      <c r="W54" s="42">
        <f t="shared" si="22"/>
        <v>1678809.9708</v>
      </c>
      <c r="X54" s="42">
        <v>19</v>
      </c>
      <c r="Y54" s="42">
        <f t="shared" si="59"/>
        <v>1137150</v>
      </c>
      <c r="Z54" s="42">
        <f t="shared" si="3"/>
        <v>218863.125</v>
      </c>
      <c r="AA54" s="42">
        <f t="shared" si="4"/>
        <v>42652.0458</v>
      </c>
      <c r="AB54" s="42">
        <f t="shared" si="5"/>
        <v>280144.8</v>
      </c>
      <c r="AC54" s="42">
        <f t="shared" si="24"/>
        <v>1678809.9708</v>
      </c>
      <c r="AD54" s="42">
        <v>19</v>
      </c>
      <c r="AE54" s="42">
        <f t="shared" si="60"/>
        <v>1137150</v>
      </c>
      <c r="AF54" s="42">
        <f t="shared" si="26"/>
        <v>218863.125</v>
      </c>
      <c r="AG54" s="42">
        <f t="shared" si="27"/>
        <v>42652.0458</v>
      </c>
      <c r="AH54" s="42">
        <f t="shared" si="6"/>
        <v>280144.8</v>
      </c>
      <c r="AI54" s="42">
        <f t="shared" si="28"/>
        <v>1678809.9708</v>
      </c>
      <c r="AJ54" s="42">
        <v>9</v>
      </c>
      <c r="AK54" s="42">
        <f t="shared" si="61"/>
        <v>538650</v>
      </c>
      <c r="AL54" s="42">
        <f t="shared" si="30"/>
        <v>218863.125</v>
      </c>
      <c r="AM54" s="42">
        <f t="shared" si="31"/>
        <v>42652.0458</v>
      </c>
      <c r="AN54" s="42">
        <f t="shared" si="7"/>
        <v>280144.8</v>
      </c>
      <c r="AO54" s="42">
        <f t="shared" si="32"/>
        <v>1080309.9708</v>
      </c>
      <c r="AP54" s="42">
        <v>18</v>
      </c>
      <c r="AQ54" s="42">
        <f t="shared" si="62"/>
        <v>1077300</v>
      </c>
      <c r="AR54" s="42">
        <f t="shared" si="34"/>
        <v>218863.125</v>
      </c>
      <c r="AS54" s="42">
        <f t="shared" si="35"/>
        <v>42652.0458</v>
      </c>
      <c r="AT54" s="42">
        <f t="shared" si="8"/>
        <v>280144.8</v>
      </c>
      <c r="AU54" s="42">
        <f t="shared" si="36"/>
        <v>1618959.9708</v>
      </c>
      <c r="AV54" s="42">
        <v>19</v>
      </c>
      <c r="AW54" s="42">
        <f t="shared" si="55"/>
        <v>1137150</v>
      </c>
      <c r="AX54" s="42">
        <f t="shared" si="38"/>
        <v>218863.125</v>
      </c>
      <c r="AY54" s="42">
        <f t="shared" si="39"/>
        <v>42652.0458</v>
      </c>
      <c r="AZ54" s="42">
        <f t="shared" si="9"/>
        <v>280144.8</v>
      </c>
      <c r="BA54" s="42">
        <f t="shared" si="40"/>
        <v>1678809.9708</v>
      </c>
    </row>
    <row r="55" spans="1:53" s="34" customFormat="1" x14ac:dyDescent="0.25">
      <c r="A55" s="32" t="s">
        <v>74</v>
      </c>
      <c r="B55" s="33">
        <v>1</v>
      </c>
      <c r="C55" s="33">
        <v>43</v>
      </c>
      <c r="D55" s="33">
        <v>0</v>
      </c>
      <c r="E55" s="33">
        <f t="shared" si="10"/>
        <v>43</v>
      </c>
      <c r="F55" s="33">
        <v>10</v>
      </c>
      <c r="G55" s="42">
        <f>$C$5*F55</f>
        <v>598500</v>
      </c>
      <c r="H55" s="42">
        <f t="shared" si="12"/>
        <v>94840.6875</v>
      </c>
      <c r="I55" s="42">
        <f t="shared" si="13"/>
        <v>18482.553179999999</v>
      </c>
      <c r="J55" s="42">
        <f t="shared" si="14"/>
        <v>121396.08</v>
      </c>
      <c r="K55" s="42">
        <f t="shared" si="52"/>
        <v>833219.32068</v>
      </c>
      <c r="L55" s="42">
        <v>20</v>
      </c>
      <c r="M55" s="42">
        <f t="shared" si="57"/>
        <v>1197000</v>
      </c>
      <c r="N55" s="42">
        <f t="shared" si="17"/>
        <v>218863.125</v>
      </c>
      <c r="O55" s="42">
        <f t="shared" si="18"/>
        <v>42652.0458</v>
      </c>
      <c r="P55" s="42">
        <f t="shared" si="19"/>
        <v>280144.8</v>
      </c>
      <c r="Q55" s="42">
        <f t="shared" si="20"/>
        <v>1738659.9708</v>
      </c>
      <c r="R55" s="42">
        <v>19</v>
      </c>
      <c r="S55" s="42">
        <f t="shared" si="58"/>
        <v>1137150</v>
      </c>
      <c r="T55" s="42">
        <f t="shared" si="0"/>
        <v>218863.125</v>
      </c>
      <c r="U55" s="42">
        <f t="shared" si="1"/>
        <v>42652.0458</v>
      </c>
      <c r="V55" s="42">
        <f t="shared" si="2"/>
        <v>280144.8</v>
      </c>
      <c r="W55" s="42">
        <f t="shared" si="22"/>
        <v>1678809.9708</v>
      </c>
      <c r="X55" s="42">
        <v>19</v>
      </c>
      <c r="Y55" s="42">
        <f t="shared" si="59"/>
        <v>1137150</v>
      </c>
      <c r="Z55" s="42">
        <f t="shared" si="3"/>
        <v>218863.125</v>
      </c>
      <c r="AA55" s="42">
        <f t="shared" si="4"/>
        <v>42652.0458</v>
      </c>
      <c r="AB55" s="42">
        <f t="shared" si="5"/>
        <v>280144.8</v>
      </c>
      <c r="AC55" s="42">
        <f t="shared" si="24"/>
        <v>1678809.9708</v>
      </c>
      <c r="AD55" s="42">
        <v>19</v>
      </c>
      <c r="AE55" s="42">
        <f t="shared" si="60"/>
        <v>1137150</v>
      </c>
      <c r="AF55" s="42">
        <f t="shared" si="26"/>
        <v>218863.125</v>
      </c>
      <c r="AG55" s="42">
        <f t="shared" si="27"/>
        <v>42652.0458</v>
      </c>
      <c r="AH55" s="42">
        <f t="shared" si="6"/>
        <v>280144.8</v>
      </c>
      <c r="AI55" s="42">
        <f t="shared" si="28"/>
        <v>1678809.9708</v>
      </c>
      <c r="AJ55" s="42">
        <v>9</v>
      </c>
      <c r="AK55" s="42">
        <f t="shared" si="61"/>
        <v>538650</v>
      </c>
      <c r="AL55" s="42">
        <f t="shared" si="30"/>
        <v>218863.125</v>
      </c>
      <c r="AM55" s="42">
        <f t="shared" si="31"/>
        <v>42652.0458</v>
      </c>
      <c r="AN55" s="42">
        <f t="shared" si="7"/>
        <v>280144.8</v>
      </c>
      <c r="AO55" s="42">
        <f t="shared" si="32"/>
        <v>1080309.9708</v>
      </c>
      <c r="AP55" s="42">
        <v>18</v>
      </c>
      <c r="AQ55" s="42">
        <f t="shared" si="62"/>
        <v>1077300</v>
      </c>
      <c r="AR55" s="42">
        <f t="shared" si="34"/>
        <v>218863.125</v>
      </c>
      <c r="AS55" s="42">
        <f t="shared" si="35"/>
        <v>42652.0458</v>
      </c>
      <c r="AT55" s="42">
        <f t="shared" si="8"/>
        <v>280144.8</v>
      </c>
      <c r="AU55" s="42">
        <f t="shared" si="36"/>
        <v>1618959.9708</v>
      </c>
      <c r="AV55" s="42">
        <v>19</v>
      </c>
      <c r="AW55" s="42">
        <f t="shared" si="55"/>
        <v>1137150</v>
      </c>
      <c r="AX55" s="42">
        <f t="shared" si="38"/>
        <v>218863.125</v>
      </c>
      <c r="AY55" s="42">
        <f t="shared" si="39"/>
        <v>42652.0458</v>
      </c>
      <c r="AZ55" s="42">
        <f t="shared" si="9"/>
        <v>280144.8</v>
      </c>
      <c r="BA55" s="119">
        <f t="shared" si="40"/>
        <v>1678809.9708</v>
      </c>
    </row>
    <row r="56" spans="1:53" s="34" customFormat="1" x14ac:dyDescent="0.25">
      <c r="A56" s="32" t="s">
        <v>75</v>
      </c>
      <c r="B56" s="33">
        <v>1</v>
      </c>
      <c r="C56" s="33">
        <v>19</v>
      </c>
      <c r="D56" s="33">
        <v>0</v>
      </c>
      <c r="E56" s="33">
        <f t="shared" si="10"/>
        <v>19</v>
      </c>
      <c r="F56" s="33">
        <v>10</v>
      </c>
      <c r="G56" s="42">
        <f t="shared" si="56"/>
        <v>598500</v>
      </c>
      <c r="H56" s="42">
        <f t="shared" si="12"/>
        <v>94840.6875</v>
      </c>
      <c r="I56" s="42">
        <f t="shared" si="13"/>
        <v>18482.553179999999</v>
      </c>
      <c r="J56" s="42">
        <f t="shared" si="14"/>
        <v>121396.08</v>
      </c>
      <c r="K56" s="42">
        <f t="shared" si="52"/>
        <v>833219.32068</v>
      </c>
      <c r="L56" s="42">
        <v>20</v>
      </c>
      <c r="M56" s="42">
        <f t="shared" si="57"/>
        <v>1197000</v>
      </c>
      <c r="N56" s="42">
        <f t="shared" si="17"/>
        <v>218863.125</v>
      </c>
      <c r="O56" s="42">
        <f t="shared" si="18"/>
        <v>42652.0458</v>
      </c>
      <c r="P56" s="42">
        <f t="shared" si="19"/>
        <v>280144.8</v>
      </c>
      <c r="Q56" s="42">
        <f t="shared" si="20"/>
        <v>1738659.9708</v>
      </c>
      <c r="R56" s="42">
        <v>19</v>
      </c>
      <c r="S56" s="42">
        <f t="shared" si="58"/>
        <v>1137150</v>
      </c>
      <c r="T56" s="42">
        <f t="shared" si="0"/>
        <v>218863.125</v>
      </c>
      <c r="U56" s="42">
        <f t="shared" si="1"/>
        <v>42652.0458</v>
      </c>
      <c r="V56" s="42">
        <f t="shared" si="2"/>
        <v>280144.8</v>
      </c>
      <c r="W56" s="42">
        <f t="shared" si="22"/>
        <v>1678809.9708</v>
      </c>
      <c r="X56" s="42">
        <v>19</v>
      </c>
      <c r="Y56" s="42">
        <f t="shared" si="59"/>
        <v>1137150</v>
      </c>
      <c r="Z56" s="42">
        <f t="shared" si="3"/>
        <v>218863.125</v>
      </c>
      <c r="AA56" s="42">
        <f t="shared" si="4"/>
        <v>42652.0458</v>
      </c>
      <c r="AB56" s="42">
        <f t="shared" si="5"/>
        <v>280144.8</v>
      </c>
      <c r="AC56" s="42">
        <f t="shared" si="24"/>
        <v>1678809.9708</v>
      </c>
      <c r="AD56" s="42">
        <v>19</v>
      </c>
      <c r="AE56" s="42">
        <f t="shared" si="60"/>
        <v>1137150</v>
      </c>
      <c r="AF56" s="42">
        <f t="shared" si="26"/>
        <v>218863.125</v>
      </c>
      <c r="AG56" s="42">
        <f t="shared" si="27"/>
        <v>42652.0458</v>
      </c>
      <c r="AH56" s="42">
        <f t="shared" si="6"/>
        <v>280144.8</v>
      </c>
      <c r="AI56" s="42">
        <f t="shared" si="28"/>
        <v>1678809.9708</v>
      </c>
      <c r="AJ56" s="42">
        <v>9</v>
      </c>
      <c r="AK56" s="42">
        <f t="shared" si="61"/>
        <v>538650</v>
      </c>
      <c r="AL56" s="42">
        <f t="shared" si="30"/>
        <v>218863.125</v>
      </c>
      <c r="AM56" s="42">
        <f t="shared" si="31"/>
        <v>42652.0458</v>
      </c>
      <c r="AN56" s="42">
        <f t="shared" si="7"/>
        <v>280144.8</v>
      </c>
      <c r="AO56" s="42">
        <f t="shared" si="32"/>
        <v>1080309.9708</v>
      </c>
      <c r="AP56" s="42">
        <v>18</v>
      </c>
      <c r="AQ56" s="42">
        <f t="shared" si="62"/>
        <v>1077300</v>
      </c>
      <c r="AR56" s="42">
        <f t="shared" si="34"/>
        <v>218863.125</v>
      </c>
      <c r="AS56" s="42">
        <f t="shared" si="35"/>
        <v>42652.0458</v>
      </c>
      <c r="AT56" s="42">
        <f t="shared" si="8"/>
        <v>280144.8</v>
      </c>
      <c r="AU56" s="42">
        <f t="shared" si="36"/>
        <v>1618959.9708</v>
      </c>
      <c r="AV56" s="42">
        <v>19</v>
      </c>
      <c r="AW56" s="42">
        <f t="shared" si="55"/>
        <v>1137150</v>
      </c>
      <c r="AX56" s="42">
        <f t="shared" si="38"/>
        <v>218863.125</v>
      </c>
      <c r="AY56" s="42">
        <f t="shared" si="39"/>
        <v>42652.0458</v>
      </c>
      <c r="AZ56" s="42">
        <f t="shared" si="9"/>
        <v>280144.8</v>
      </c>
      <c r="BA56" s="119">
        <f t="shared" si="40"/>
        <v>1678809.9708</v>
      </c>
    </row>
    <row r="57" spans="1:53" s="34" customFormat="1" x14ac:dyDescent="0.25">
      <c r="A57" s="32" t="s">
        <v>76</v>
      </c>
      <c r="B57" s="33">
        <v>1</v>
      </c>
      <c r="C57" s="33">
        <v>43</v>
      </c>
      <c r="D57" s="33">
        <v>0</v>
      </c>
      <c r="E57" s="33">
        <f t="shared" si="10"/>
        <v>43</v>
      </c>
      <c r="F57" s="33">
        <v>10</v>
      </c>
      <c r="G57" s="42">
        <f t="shared" si="56"/>
        <v>598500</v>
      </c>
      <c r="H57" s="42">
        <f t="shared" si="12"/>
        <v>94840.6875</v>
      </c>
      <c r="I57" s="42">
        <f t="shared" si="13"/>
        <v>18482.553179999999</v>
      </c>
      <c r="J57" s="42">
        <f t="shared" si="14"/>
        <v>121396.08</v>
      </c>
      <c r="K57" s="42">
        <f t="shared" si="52"/>
        <v>833219.32068</v>
      </c>
      <c r="L57" s="42">
        <v>20</v>
      </c>
      <c r="M57" s="42">
        <f t="shared" si="57"/>
        <v>1197000</v>
      </c>
      <c r="N57" s="42">
        <f t="shared" si="17"/>
        <v>218863.125</v>
      </c>
      <c r="O57" s="42">
        <f t="shared" si="18"/>
        <v>42652.0458</v>
      </c>
      <c r="P57" s="42">
        <f t="shared" si="19"/>
        <v>280144.8</v>
      </c>
      <c r="Q57" s="42">
        <f t="shared" si="20"/>
        <v>1738659.9708</v>
      </c>
      <c r="R57" s="42">
        <v>19</v>
      </c>
      <c r="S57" s="42">
        <f t="shared" si="58"/>
        <v>1137150</v>
      </c>
      <c r="T57" s="42">
        <f t="shared" si="0"/>
        <v>218863.125</v>
      </c>
      <c r="U57" s="42">
        <f t="shared" si="1"/>
        <v>42652.0458</v>
      </c>
      <c r="V57" s="42">
        <f t="shared" si="2"/>
        <v>280144.8</v>
      </c>
      <c r="W57" s="42">
        <f t="shared" si="22"/>
        <v>1678809.9708</v>
      </c>
      <c r="X57" s="42">
        <v>19</v>
      </c>
      <c r="Y57" s="42">
        <f t="shared" si="59"/>
        <v>1137150</v>
      </c>
      <c r="Z57" s="42">
        <f t="shared" si="3"/>
        <v>218863.125</v>
      </c>
      <c r="AA57" s="42">
        <f t="shared" si="4"/>
        <v>42652.0458</v>
      </c>
      <c r="AB57" s="42">
        <f t="shared" si="5"/>
        <v>280144.8</v>
      </c>
      <c r="AC57" s="42">
        <f t="shared" si="24"/>
        <v>1678809.9708</v>
      </c>
      <c r="AD57" s="42">
        <v>19</v>
      </c>
      <c r="AE57" s="42">
        <f t="shared" si="60"/>
        <v>1137150</v>
      </c>
      <c r="AF57" s="42">
        <f t="shared" si="26"/>
        <v>218863.125</v>
      </c>
      <c r="AG57" s="42">
        <f t="shared" si="27"/>
        <v>42652.0458</v>
      </c>
      <c r="AH57" s="42">
        <f t="shared" si="6"/>
        <v>280144.8</v>
      </c>
      <c r="AI57" s="42">
        <f t="shared" si="28"/>
        <v>1678809.9708</v>
      </c>
      <c r="AJ57" s="42">
        <v>9</v>
      </c>
      <c r="AK57" s="42">
        <f t="shared" si="61"/>
        <v>538650</v>
      </c>
      <c r="AL57" s="42">
        <f t="shared" si="30"/>
        <v>218863.125</v>
      </c>
      <c r="AM57" s="42">
        <f t="shared" si="31"/>
        <v>42652.0458</v>
      </c>
      <c r="AN57" s="42">
        <f t="shared" si="7"/>
        <v>280144.8</v>
      </c>
      <c r="AO57" s="42">
        <f t="shared" si="32"/>
        <v>1080309.9708</v>
      </c>
      <c r="AP57" s="42">
        <v>18</v>
      </c>
      <c r="AQ57" s="42">
        <f t="shared" si="62"/>
        <v>1077300</v>
      </c>
      <c r="AR57" s="42">
        <f t="shared" si="34"/>
        <v>218863.125</v>
      </c>
      <c r="AS57" s="42">
        <f t="shared" si="35"/>
        <v>42652.0458</v>
      </c>
      <c r="AT57" s="42">
        <f t="shared" si="8"/>
        <v>280144.8</v>
      </c>
      <c r="AU57" s="42">
        <f t="shared" si="36"/>
        <v>1618959.9708</v>
      </c>
      <c r="AV57" s="42">
        <v>19</v>
      </c>
      <c r="AW57" s="42">
        <f t="shared" si="55"/>
        <v>1137150</v>
      </c>
      <c r="AX57" s="42">
        <f t="shared" si="38"/>
        <v>218863.125</v>
      </c>
      <c r="AY57" s="42">
        <f t="shared" si="39"/>
        <v>42652.0458</v>
      </c>
      <c r="AZ57" s="42">
        <f t="shared" si="9"/>
        <v>280144.8</v>
      </c>
      <c r="BA57" s="119">
        <f t="shared" si="40"/>
        <v>1678809.9708</v>
      </c>
    </row>
    <row r="58" spans="1:53" s="34" customFormat="1" x14ac:dyDescent="0.25">
      <c r="A58" s="32" t="s">
        <v>84</v>
      </c>
      <c r="B58" s="33">
        <v>1</v>
      </c>
      <c r="C58" s="33">
        <v>36</v>
      </c>
      <c r="D58" s="33">
        <v>0</v>
      </c>
      <c r="E58" s="33">
        <f t="shared" si="10"/>
        <v>36</v>
      </c>
      <c r="F58" s="33">
        <v>10</v>
      </c>
      <c r="G58" s="42">
        <f t="shared" si="56"/>
        <v>598500</v>
      </c>
      <c r="H58" s="42">
        <f t="shared" si="12"/>
        <v>94840.6875</v>
      </c>
      <c r="I58" s="42">
        <f t="shared" si="13"/>
        <v>18482.553179999999</v>
      </c>
      <c r="J58" s="42">
        <f t="shared" si="14"/>
        <v>121396.08</v>
      </c>
      <c r="K58" s="42">
        <f t="shared" si="52"/>
        <v>833219.32068</v>
      </c>
      <c r="L58" s="42">
        <v>20</v>
      </c>
      <c r="M58" s="42">
        <f t="shared" si="57"/>
        <v>1197000</v>
      </c>
      <c r="N58" s="42">
        <f t="shared" si="17"/>
        <v>218863.125</v>
      </c>
      <c r="O58" s="42">
        <f t="shared" si="18"/>
        <v>42652.0458</v>
      </c>
      <c r="P58" s="42">
        <f t="shared" si="19"/>
        <v>280144.8</v>
      </c>
      <c r="Q58" s="42">
        <f t="shared" si="20"/>
        <v>1738659.9708</v>
      </c>
      <c r="R58" s="42">
        <v>19</v>
      </c>
      <c r="S58" s="42">
        <f t="shared" si="58"/>
        <v>1137150</v>
      </c>
      <c r="T58" s="42">
        <f t="shared" si="0"/>
        <v>218863.125</v>
      </c>
      <c r="U58" s="42">
        <f t="shared" si="1"/>
        <v>42652.0458</v>
      </c>
      <c r="V58" s="42">
        <f t="shared" si="2"/>
        <v>280144.8</v>
      </c>
      <c r="W58" s="42">
        <f t="shared" si="22"/>
        <v>1678809.9708</v>
      </c>
      <c r="X58" s="42">
        <v>19</v>
      </c>
      <c r="Y58" s="42">
        <f t="shared" si="59"/>
        <v>1137150</v>
      </c>
      <c r="Z58" s="42">
        <f t="shared" si="3"/>
        <v>218863.125</v>
      </c>
      <c r="AA58" s="42">
        <f t="shared" si="4"/>
        <v>42652.0458</v>
      </c>
      <c r="AB58" s="42">
        <f t="shared" si="5"/>
        <v>280144.8</v>
      </c>
      <c r="AC58" s="42">
        <f t="shared" si="24"/>
        <v>1678809.9708</v>
      </c>
      <c r="AD58" s="42">
        <v>19</v>
      </c>
      <c r="AE58" s="42">
        <f t="shared" si="60"/>
        <v>1137150</v>
      </c>
      <c r="AF58" s="42">
        <f t="shared" si="26"/>
        <v>218863.125</v>
      </c>
      <c r="AG58" s="42">
        <f t="shared" si="27"/>
        <v>42652.0458</v>
      </c>
      <c r="AH58" s="42">
        <f t="shared" si="6"/>
        <v>280144.8</v>
      </c>
      <c r="AI58" s="42">
        <f t="shared" si="28"/>
        <v>1678809.9708</v>
      </c>
      <c r="AJ58" s="42">
        <v>9</v>
      </c>
      <c r="AK58" s="42">
        <f t="shared" si="61"/>
        <v>538650</v>
      </c>
      <c r="AL58" s="42">
        <f t="shared" si="30"/>
        <v>218863.125</v>
      </c>
      <c r="AM58" s="42">
        <f t="shared" si="31"/>
        <v>42652.0458</v>
      </c>
      <c r="AN58" s="42">
        <f t="shared" si="7"/>
        <v>280144.8</v>
      </c>
      <c r="AO58" s="42">
        <f t="shared" si="32"/>
        <v>1080309.9708</v>
      </c>
      <c r="AP58" s="42">
        <v>18</v>
      </c>
      <c r="AQ58" s="42">
        <f t="shared" si="62"/>
        <v>1077300</v>
      </c>
      <c r="AR58" s="42">
        <f t="shared" si="34"/>
        <v>218863.125</v>
      </c>
      <c r="AS58" s="42">
        <f t="shared" si="35"/>
        <v>42652.0458</v>
      </c>
      <c r="AT58" s="42">
        <f t="shared" si="8"/>
        <v>280144.8</v>
      </c>
      <c r="AU58" s="42">
        <f t="shared" si="36"/>
        <v>1618959.9708</v>
      </c>
      <c r="AV58" s="42">
        <v>19</v>
      </c>
      <c r="AW58" s="42">
        <f t="shared" si="55"/>
        <v>1137150</v>
      </c>
      <c r="AX58" s="42">
        <f t="shared" si="38"/>
        <v>218863.125</v>
      </c>
      <c r="AY58" s="42">
        <f t="shared" si="39"/>
        <v>42652.0458</v>
      </c>
      <c r="AZ58" s="42">
        <f t="shared" si="9"/>
        <v>280144.8</v>
      </c>
      <c r="BA58" s="119">
        <f t="shared" si="40"/>
        <v>1678809.9708</v>
      </c>
    </row>
    <row r="59" spans="1:53" s="34" customFormat="1" x14ac:dyDescent="0.25">
      <c r="A59" s="32" t="s">
        <v>92</v>
      </c>
      <c r="B59" s="33">
        <v>1</v>
      </c>
      <c r="C59" s="33">
        <v>25</v>
      </c>
      <c r="D59" s="33">
        <v>0</v>
      </c>
      <c r="E59" s="33">
        <f t="shared" si="10"/>
        <v>25</v>
      </c>
      <c r="F59" s="33">
        <v>10</v>
      </c>
      <c r="G59" s="42">
        <f t="shared" si="56"/>
        <v>598500</v>
      </c>
      <c r="H59" s="42">
        <f t="shared" si="12"/>
        <v>94840.6875</v>
      </c>
      <c r="I59" s="42">
        <f t="shared" si="13"/>
        <v>18482.553179999999</v>
      </c>
      <c r="J59" s="42">
        <f t="shared" si="14"/>
        <v>121396.08</v>
      </c>
      <c r="K59" s="42">
        <f t="shared" si="52"/>
        <v>833219.32068</v>
      </c>
      <c r="L59" s="42">
        <v>20</v>
      </c>
      <c r="M59" s="42">
        <f t="shared" si="57"/>
        <v>1197000</v>
      </c>
      <c r="N59" s="42">
        <f t="shared" si="17"/>
        <v>218863.125</v>
      </c>
      <c r="O59" s="42">
        <f t="shared" si="18"/>
        <v>42652.0458</v>
      </c>
      <c r="P59" s="42">
        <f t="shared" si="19"/>
        <v>280144.8</v>
      </c>
      <c r="Q59" s="42">
        <f t="shared" si="20"/>
        <v>1738659.9708</v>
      </c>
      <c r="R59" s="42">
        <v>19</v>
      </c>
      <c r="S59" s="42">
        <f t="shared" si="58"/>
        <v>1137150</v>
      </c>
      <c r="T59" s="42">
        <f t="shared" si="0"/>
        <v>218863.125</v>
      </c>
      <c r="U59" s="42">
        <f t="shared" si="1"/>
        <v>42652.0458</v>
      </c>
      <c r="V59" s="42">
        <f t="shared" si="2"/>
        <v>280144.8</v>
      </c>
      <c r="W59" s="42">
        <f t="shared" si="22"/>
        <v>1678809.9708</v>
      </c>
      <c r="X59" s="42">
        <v>19</v>
      </c>
      <c r="Y59" s="42">
        <f t="shared" si="59"/>
        <v>1137150</v>
      </c>
      <c r="Z59" s="42">
        <f t="shared" si="3"/>
        <v>218863.125</v>
      </c>
      <c r="AA59" s="42">
        <f t="shared" si="4"/>
        <v>42652.0458</v>
      </c>
      <c r="AB59" s="42">
        <f t="shared" si="5"/>
        <v>280144.8</v>
      </c>
      <c r="AC59" s="42">
        <f t="shared" si="24"/>
        <v>1678809.9708</v>
      </c>
      <c r="AD59" s="42">
        <v>19</v>
      </c>
      <c r="AE59" s="42">
        <f t="shared" si="60"/>
        <v>1137150</v>
      </c>
      <c r="AF59" s="42">
        <f t="shared" si="26"/>
        <v>218863.125</v>
      </c>
      <c r="AG59" s="42">
        <f t="shared" si="27"/>
        <v>42652.0458</v>
      </c>
      <c r="AH59" s="42">
        <f t="shared" si="6"/>
        <v>280144.8</v>
      </c>
      <c r="AI59" s="42">
        <f t="shared" si="28"/>
        <v>1678809.9708</v>
      </c>
      <c r="AJ59" s="42">
        <v>9</v>
      </c>
      <c r="AK59" s="42">
        <f t="shared" si="61"/>
        <v>538650</v>
      </c>
      <c r="AL59" s="42">
        <f t="shared" si="30"/>
        <v>218863.125</v>
      </c>
      <c r="AM59" s="42">
        <f t="shared" si="31"/>
        <v>42652.0458</v>
      </c>
      <c r="AN59" s="42">
        <f t="shared" si="7"/>
        <v>280144.8</v>
      </c>
      <c r="AO59" s="42">
        <f t="shared" si="32"/>
        <v>1080309.9708</v>
      </c>
      <c r="AP59" s="42">
        <v>18</v>
      </c>
      <c r="AQ59" s="42">
        <f t="shared" si="62"/>
        <v>1077300</v>
      </c>
      <c r="AR59" s="42">
        <f t="shared" si="34"/>
        <v>218863.125</v>
      </c>
      <c r="AS59" s="42">
        <f t="shared" si="35"/>
        <v>42652.0458</v>
      </c>
      <c r="AT59" s="42">
        <f t="shared" si="8"/>
        <v>280144.8</v>
      </c>
      <c r="AU59" s="42">
        <f t="shared" si="36"/>
        <v>1618959.9708</v>
      </c>
      <c r="AV59" s="42">
        <v>19</v>
      </c>
      <c r="AW59" s="42">
        <f t="shared" si="55"/>
        <v>1137150</v>
      </c>
      <c r="AX59" s="42">
        <f t="shared" si="38"/>
        <v>218863.125</v>
      </c>
      <c r="AY59" s="42">
        <f t="shared" si="39"/>
        <v>42652.0458</v>
      </c>
      <c r="AZ59" s="42">
        <f t="shared" si="9"/>
        <v>280144.8</v>
      </c>
      <c r="BA59" s="119">
        <f t="shared" si="40"/>
        <v>1678809.9708</v>
      </c>
    </row>
    <row r="60" spans="1:53" s="34" customFormat="1" x14ac:dyDescent="0.25">
      <c r="A60" s="32" t="s">
        <v>93</v>
      </c>
      <c r="B60" s="33">
        <v>1</v>
      </c>
      <c r="C60" s="33">
        <v>24</v>
      </c>
      <c r="D60" s="33">
        <v>0</v>
      </c>
      <c r="E60" s="33">
        <f t="shared" si="10"/>
        <v>24</v>
      </c>
      <c r="F60" s="33">
        <v>10</v>
      </c>
      <c r="G60" s="42">
        <f t="shared" si="56"/>
        <v>598500</v>
      </c>
      <c r="H60" s="42">
        <f t="shared" si="12"/>
        <v>94840.6875</v>
      </c>
      <c r="I60" s="42">
        <f t="shared" si="13"/>
        <v>18482.553179999999</v>
      </c>
      <c r="J60" s="42">
        <f t="shared" si="14"/>
        <v>121396.08</v>
      </c>
      <c r="K60" s="42">
        <f t="shared" si="52"/>
        <v>833219.32068</v>
      </c>
      <c r="L60" s="42">
        <v>20</v>
      </c>
      <c r="M60" s="42">
        <f t="shared" si="57"/>
        <v>1197000</v>
      </c>
      <c r="N60" s="42">
        <f t="shared" si="17"/>
        <v>218863.125</v>
      </c>
      <c r="O60" s="42">
        <f t="shared" si="18"/>
        <v>42652.0458</v>
      </c>
      <c r="P60" s="42">
        <f t="shared" si="19"/>
        <v>280144.8</v>
      </c>
      <c r="Q60" s="42">
        <f t="shared" si="20"/>
        <v>1738659.9708</v>
      </c>
      <c r="R60" s="42">
        <v>19</v>
      </c>
      <c r="S60" s="42">
        <f t="shared" si="58"/>
        <v>1137150</v>
      </c>
      <c r="T60" s="42">
        <f t="shared" si="0"/>
        <v>218863.125</v>
      </c>
      <c r="U60" s="42">
        <f t="shared" si="1"/>
        <v>42652.0458</v>
      </c>
      <c r="V60" s="42">
        <f t="shared" si="2"/>
        <v>280144.8</v>
      </c>
      <c r="W60" s="42">
        <f t="shared" si="22"/>
        <v>1678809.9708</v>
      </c>
      <c r="X60" s="42">
        <v>19</v>
      </c>
      <c r="Y60" s="42">
        <f t="shared" si="59"/>
        <v>1137150</v>
      </c>
      <c r="Z60" s="42">
        <f t="shared" si="3"/>
        <v>218863.125</v>
      </c>
      <c r="AA60" s="42">
        <f t="shared" si="4"/>
        <v>42652.0458</v>
      </c>
      <c r="AB60" s="42">
        <f t="shared" si="5"/>
        <v>280144.8</v>
      </c>
      <c r="AC60" s="42">
        <f t="shared" si="24"/>
        <v>1678809.9708</v>
      </c>
      <c r="AD60" s="42">
        <v>19</v>
      </c>
      <c r="AE60" s="42">
        <f t="shared" si="60"/>
        <v>1137150</v>
      </c>
      <c r="AF60" s="42">
        <f t="shared" si="26"/>
        <v>218863.125</v>
      </c>
      <c r="AG60" s="42">
        <f t="shared" si="27"/>
        <v>42652.0458</v>
      </c>
      <c r="AH60" s="42">
        <f t="shared" si="6"/>
        <v>280144.8</v>
      </c>
      <c r="AI60" s="42">
        <f t="shared" si="28"/>
        <v>1678809.9708</v>
      </c>
      <c r="AJ60" s="42">
        <v>9</v>
      </c>
      <c r="AK60" s="42">
        <f t="shared" si="61"/>
        <v>538650</v>
      </c>
      <c r="AL60" s="42">
        <f t="shared" si="30"/>
        <v>218863.125</v>
      </c>
      <c r="AM60" s="42">
        <f t="shared" si="31"/>
        <v>42652.0458</v>
      </c>
      <c r="AN60" s="42">
        <f t="shared" si="7"/>
        <v>280144.8</v>
      </c>
      <c r="AO60" s="42">
        <f>SUM(AK60:AN60)*B60</f>
        <v>1080309.9708</v>
      </c>
      <c r="AP60" s="42">
        <v>18</v>
      </c>
      <c r="AQ60" s="42">
        <f t="shared" si="62"/>
        <v>1077300</v>
      </c>
      <c r="AR60" s="42">
        <f t="shared" si="34"/>
        <v>218863.125</v>
      </c>
      <c r="AS60" s="42">
        <f t="shared" si="35"/>
        <v>42652.0458</v>
      </c>
      <c r="AT60" s="42">
        <f t="shared" si="8"/>
        <v>280144.8</v>
      </c>
      <c r="AU60" s="42">
        <f t="shared" si="36"/>
        <v>1618959.9708</v>
      </c>
      <c r="AV60" s="42">
        <v>19</v>
      </c>
      <c r="AW60" s="42">
        <f t="shared" si="55"/>
        <v>1137150</v>
      </c>
      <c r="AX60" s="42">
        <f t="shared" si="38"/>
        <v>218863.125</v>
      </c>
      <c r="AY60" s="42">
        <f t="shared" si="39"/>
        <v>42652.0458</v>
      </c>
      <c r="AZ60" s="42">
        <f t="shared" si="9"/>
        <v>280144.8</v>
      </c>
      <c r="BA60" s="119">
        <f t="shared" si="40"/>
        <v>1678809.9708</v>
      </c>
    </row>
    <row r="61" spans="1:53" s="34" customFormat="1" x14ac:dyDescent="0.25">
      <c r="A61" s="32" t="s">
        <v>96</v>
      </c>
      <c r="B61" s="33">
        <v>1</v>
      </c>
      <c r="C61" s="33">
        <v>18</v>
      </c>
      <c r="D61" s="33">
        <v>18</v>
      </c>
      <c r="E61" s="33">
        <f t="shared" si="10"/>
        <v>36</v>
      </c>
      <c r="F61" s="33">
        <v>10</v>
      </c>
      <c r="G61" s="42">
        <f t="shared" si="56"/>
        <v>598500</v>
      </c>
      <c r="H61" s="42">
        <f t="shared" si="12"/>
        <v>94840.6875</v>
      </c>
      <c r="I61" s="42">
        <f t="shared" si="13"/>
        <v>18482.553179999999</v>
      </c>
      <c r="J61" s="42">
        <f t="shared" si="14"/>
        <v>121396.08</v>
      </c>
      <c r="K61" s="42">
        <f t="shared" si="52"/>
        <v>833219.32068</v>
      </c>
      <c r="L61" s="42">
        <v>20</v>
      </c>
      <c r="M61" s="42">
        <f t="shared" si="57"/>
        <v>1197000</v>
      </c>
      <c r="N61" s="42">
        <f t="shared" si="17"/>
        <v>218863.125</v>
      </c>
      <c r="O61" s="42">
        <f t="shared" si="18"/>
        <v>42652.0458</v>
      </c>
      <c r="P61" s="42">
        <f t="shared" si="19"/>
        <v>280144.8</v>
      </c>
      <c r="Q61" s="42">
        <f t="shared" si="20"/>
        <v>1738659.9708</v>
      </c>
      <c r="R61" s="42">
        <v>19</v>
      </c>
      <c r="S61" s="42">
        <f t="shared" si="58"/>
        <v>1137150</v>
      </c>
      <c r="T61" s="42">
        <f t="shared" si="0"/>
        <v>218863.125</v>
      </c>
      <c r="U61" s="42">
        <f t="shared" si="1"/>
        <v>42652.0458</v>
      </c>
      <c r="V61" s="42">
        <f t="shared" si="2"/>
        <v>280144.8</v>
      </c>
      <c r="W61" s="42">
        <f t="shared" si="22"/>
        <v>1678809.9708</v>
      </c>
      <c r="X61" s="42">
        <v>19</v>
      </c>
      <c r="Y61" s="42">
        <f t="shared" si="59"/>
        <v>1137150</v>
      </c>
      <c r="Z61" s="42">
        <f t="shared" si="3"/>
        <v>218863.125</v>
      </c>
      <c r="AA61" s="42">
        <f t="shared" si="4"/>
        <v>42652.0458</v>
      </c>
      <c r="AB61" s="42">
        <f t="shared" si="5"/>
        <v>280144.8</v>
      </c>
      <c r="AC61" s="42">
        <f t="shared" si="24"/>
        <v>1678809.9708</v>
      </c>
      <c r="AD61" s="42">
        <v>19</v>
      </c>
      <c r="AE61" s="42">
        <f t="shared" si="60"/>
        <v>1137150</v>
      </c>
      <c r="AF61" s="42">
        <f t="shared" si="26"/>
        <v>218863.125</v>
      </c>
      <c r="AG61" s="42">
        <f t="shared" si="27"/>
        <v>42652.0458</v>
      </c>
      <c r="AH61" s="42">
        <f t="shared" si="6"/>
        <v>280144.8</v>
      </c>
      <c r="AI61" s="42">
        <f t="shared" si="28"/>
        <v>1678809.9708</v>
      </c>
      <c r="AJ61" s="42">
        <v>9</v>
      </c>
      <c r="AK61" s="42">
        <f t="shared" si="61"/>
        <v>538650</v>
      </c>
      <c r="AL61" s="42">
        <f t="shared" si="30"/>
        <v>218863.125</v>
      </c>
      <c r="AM61" s="42">
        <f t="shared" si="31"/>
        <v>42652.0458</v>
      </c>
      <c r="AN61" s="42">
        <f t="shared" si="7"/>
        <v>280144.8</v>
      </c>
      <c r="AO61" s="42">
        <f t="shared" si="32"/>
        <v>1080309.9708</v>
      </c>
      <c r="AP61" s="42">
        <v>18</v>
      </c>
      <c r="AQ61" s="42">
        <f t="shared" si="62"/>
        <v>1077300</v>
      </c>
      <c r="AR61" s="42">
        <f t="shared" si="34"/>
        <v>218863.125</v>
      </c>
      <c r="AS61" s="42">
        <f t="shared" si="35"/>
        <v>42652.0458</v>
      </c>
      <c r="AT61" s="42">
        <f t="shared" si="8"/>
        <v>280144.8</v>
      </c>
      <c r="AU61" s="42">
        <f t="shared" si="36"/>
        <v>1618959.9708</v>
      </c>
      <c r="AV61" s="42">
        <v>19</v>
      </c>
      <c r="AW61" s="42">
        <f t="shared" si="55"/>
        <v>1137150</v>
      </c>
      <c r="AX61" s="42">
        <f t="shared" si="38"/>
        <v>218863.125</v>
      </c>
      <c r="AY61" s="42">
        <f t="shared" si="39"/>
        <v>42652.0458</v>
      </c>
      <c r="AZ61" s="42">
        <f t="shared" si="9"/>
        <v>280144.8</v>
      </c>
      <c r="BA61" s="119">
        <f t="shared" si="40"/>
        <v>1678809.9708</v>
      </c>
    </row>
    <row r="62" spans="1:53" s="34" customFormat="1" x14ac:dyDescent="0.25">
      <c r="A62" s="32" t="s">
        <v>98</v>
      </c>
      <c r="B62" s="33">
        <v>1</v>
      </c>
      <c r="C62" s="33">
        <v>24</v>
      </c>
      <c r="D62" s="33">
        <v>15</v>
      </c>
      <c r="E62" s="33">
        <f t="shared" si="10"/>
        <v>39</v>
      </c>
      <c r="F62" s="33">
        <v>10</v>
      </c>
      <c r="G62" s="42">
        <f t="shared" si="56"/>
        <v>598500</v>
      </c>
      <c r="H62" s="42">
        <f t="shared" si="12"/>
        <v>94840.6875</v>
      </c>
      <c r="I62" s="42">
        <f t="shared" si="13"/>
        <v>18482.553179999999</v>
      </c>
      <c r="J62" s="42">
        <f t="shared" si="14"/>
        <v>121396.08</v>
      </c>
      <c r="K62" s="42">
        <f t="shared" si="52"/>
        <v>833219.32068</v>
      </c>
      <c r="L62" s="42">
        <v>20</v>
      </c>
      <c r="M62" s="42">
        <f t="shared" si="57"/>
        <v>1197000</v>
      </c>
      <c r="N62" s="42">
        <f t="shared" si="17"/>
        <v>218863.125</v>
      </c>
      <c r="O62" s="42">
        <f t="shared" si="18"/>
        <v>42652.0458</v>
      </c>
      <c r="P62" s="42">
        <f t="shared" si="19"/>
        <v>280144.8</v>
      </c>
      <c r="Q62" s="42">
        <f t="shared" si="20"/>
        <v>1738659.9708</v>
      </c>
      <c r="R62" s="42">
        <v>19</v>
      </c>
      <c r="S62" s="42">
        <f t="shared" si="58"/>
        <v>1137150</v>
      </c>
      <c r="T62" s="42">
        <f t="shared" si="0"/>
        <v>218863.125</v>
      </c>
      <c r="U62" s="42">
        <f t="shared" si="1"/>
        <v>42652.0458</v>
      </c>
      <c r="V62" s="42">
        <f t="shared" si="2"/>
        <v>280144.8</v>
      </c>
      <c r="W62" s="42">
        <f t="shared" si="22"/>
        <v>1678809.9708</v>
      </c>
      <c r="X62" s="42">
        <v>19</v>
      </c>
      <c r="Y62" s="42">
        <f t="shared" si="59"/>
        <v>1137150</v>
      </c>
      <c r="Z62" s="42">
        <f t="shared" si="3"/>
        <v>218863.125</v>
      </c>
      <c r="AA62" s="42">
        <f t="shared" si="4"/>
        <v>42652.0458</v>
      </c>
      <c r="AB62" s="42">
        <f t="shared" si="5"/>
        <v>280144.8</v>
      </c>
      <c r="AC62" s="42">
        <f t="shared" si="24"/>
        <v>1678809.9708</v>
      </c>
      <c r="AD62" s="42">
        <v>19</v>
      </c>
      <c r="AE62" s="42">
        <f t="shared" si="60"/>
        <v>1137150</v>
      </c>
      <c r="AF62" s="42">
        <f t="shared" si="26"/>
        <v>218863.125</v>
      </c>
      <c r="AG62" s="42">
        <f t="shared" si="27"/>
        <v>42652.0458</v>
      </c>
      <c r="AH62" s="42">
        <f t="shared" si="6"/>
        <v>280144.8</v>
      </c>
      <c r="AI62" s="42">
        <f t="shared" si="28"/>
        <v>1678809.9708</v>
      </c>
      <c r="AJ62" s="42">
        <v>9</v>
      </c>
      <c r="AK62" s="42">
        <f t="shared" si="61"/>
        <v>538650</v>
      </c>
      <c r="AL62" s="42">
        <f t="shared" si="30"/>
        <v>218863.125</v>
      </c>
      <c r="AM62" s="42">
        <f t="shared" si="31"/>
        <v>42652.0458</v>
      </c>
      <c r="AN62" s="42">
        <f t="shared" si="7"/>
        <v>280144.8</v>
      </c>
      <c r="AO62" s="42">
        <f t="shared" si="32"/>
        <v>1080309.9708</v>
      </c>
      <c r="AP62" s="42">
        <v>18</v>
      </c>
      <c r="AQ62" s="42">
        <f t="shared" si="62"/>
        <v>1077300</v>
      </c>
      <c r="AR62" s="42">
        <f t="shared" si="34"/>
        <v>218863.125</v>
      </c>
      <c r="AS62" s="42">
        <f t="shared" si="35"/>
        <v>42652.0458</v>
      </c>
      <c r="AT62" s="42">
        <f t="shared" si="8"/>
        <v>280144.8</v>
      </c>
      <c r="AU62" s="42">
        <f t="shared" si="36"/>
        <v>1618959.9708</v>
      </c>
      <c r="AV62" s="42">
        <v>19</v>
      </c>
      <c r="AW62" s="42">
        <f t="shared" si="55"/>
        <v>1137150</v>
      </c>
      <c r="AX62" s="42">
        <f t="shared" si="38"/>
        <v>218863.125</v>
      </c>
      <c r="AY62" s="42">
        <f t="shared" si="39"/>
        <v>42652.0458</v>
      </c>
      <c r="AZ62" s="42">
        <f t="shared" si="9"/>
        <v>280144.8</v>
      </c>
      <c r="BA62" s="119">
        <f t="shared" si="40"/>
        <v>1678809.9708</v>
      </c>
    </row>
    <row r="63" spans="1:53" s="34" customFormat="1" x14ac:dyDescent="0.25">
      <c r="A63" s="32" t="s">
        <v>99</v>
      </c>
      <c r="B63" s="33">
        <v>1</v>
      </c>
      <c r="C63" s="33">
        <v>12</v>
      </c>
      <c r="D63" s="33">
        <v>12</v>
      </c>
      <c r="E63" s="33">
        <f t="shared" si="10"/>
        <v>24</v>
      </c>
      <c r="F63" s="33">
        <v>10</v>
      </c>
      <c r="G63" s="42">
        <f t="shared" si="56"/>
        <v>598500</v>
      </c>
      <c r="H63" s="42">
        <f t="shared" si="12"/>
        <v>94840.6875</v>
      </c>
      <c r="I63" s="42">
        <f t="shared" si="13"/>
        <v>18482.553179999999</v>
      </c>
      <c r="J63" s="42">
        <f t="shared" si="14"/>
        <v>121396.08</v>
      </c>
      <c r="K63" s="42">
        <f t="shared" si="52"/>
        <v>833219.32068</v>
      </c>
      <c r="L63" s="42">
        <v>20</v>
      </c>
      <c r="M63" s="42">
        <f t="shared" si="57"/>
        <v>1197000</v>
      </c>
      <c r="N63" s="42">
        <f t="shared" si="17"/>
        <v>218863.125</v>
      </c>
      <c r="O63" s="42">
        <f t="shared" si="18"/>
        <v>42652.0458</v>
      </c>
      <c r="P63" s="42">
        <f t="shared" si="19"/>
        <v>280144.8</v>
      </c>
      <c r="Q63" s="42">
        <f t="shared" si="20"/>
        <v>1738659.9708</v>
      </c>
      <c r="R63" s="42">
        <v>19</v>
      </c>
      <c r="S63" s="42">
        <f t="shared" si="58"/>
        <v>1137150</v>
      </c>
      <c r="T63" s="42">
        <f t="shared" si="0"/>
        <v>218863.125</v>
      </c>
      <c r="U63" s="42">
        <f t="shared" si="1"/>
        <v>42652.0458</v>
      </c>
      <c r="V63" s="42">
        <f t="shared" si="2"/>
        <v>280144.8</v>
      </c>
      <c r="W63" s="42">
        <f t="shared" si="22"/>
        <v>1678809.9708</v>
      </c>
      <c r="X63" s="42">
        <v>19</v>
      </c>
      <c r="Y63" s="42">
        <f t="shared" si="59"/>
        <v>1137150</v>
      </c>
      <c r="Z63" s="42">
        <f t="shared" si="3"/>
        <v>218863.125</v>
      </c>
      <c r="AA63" s="42">
        <f t="shared" si="4"/>
        <v>42652.0458</v>
      </c>
      <c r="AB63" s="42">
        <f t="shared" si="5"/>
        <v>280144.8</v>
      </c>
      <c r="AC63" s="42">
        <f t="shared" si="24"/>
        <v>1678809.9708</v>
      </c>
      <c r="AD63" s="42">
        <v>19</v>
      </c>
      <c r="AE63" s="42">
        <f t="shared" si="60"/>
        <v>1137150</v>
      </c>
      <c r="AF63" s="42">
        <f t="shared" si="26"/>
        <v>218863.125</v>
      </c>
      <c r="AG63" s="42">
        <f t="shared" si="27"/>
        <v>42652.0458</v>
      </c>
      <c r="AH63" s="42">
        <f t="shared" si="6"/>
        <v>280144.8</v>
      </c>
      <c r="AI63" s="42">
        <f t="shared" si="28"/>
        <v>1678809.9708</v>
      </c>
      <c r="AJ63" s="42">
        <v>9</v>
      </c>
      <c r="AK63" s="42">
        <f t="shared" si="61"/>
        <v>538650</v>
      </c>
      <c r="AL63" s="42">
        <f t="shared" si="30"/>
        <v>218863.125</v>
      </c>
      <c r="AM63" s="42">
        <f t="shared" si="31"/>
        <v>42652.0458</v>
      </c>
      <c r="AN63" s="42">
        <f t="shared" si="7"/>
        <v>280144.8</v>
      </c>
      <c r="AO63" s="42">
        <f t="shared" si="32"/>
        <v>1080309.9708</v>
      </c>
      <c r="AP63" s="42">
        <v>18</v>
      </c>
      <c r="AQ63" s="42">
        <f t="shared" si="62"/>
        <v>1077300</v>
      </c>
      <c r="AR63" s="42">
        <f t="shared" si="34"/>
        <v>218863.125</v>
      </c>
      <c r="AS63" s="42">
        <f t="shared" si="35"/>
        <v>42652.0458</v>
      </c>
      <c r="AT63" s="42">
        <f t="shared" si="8"/>
        <v>280144.8</v>
      </c>
      <c r="AU63" s="42">
        <f t="shared" si="36"/>
        <v>1618959.9708</v>
      </c>
      <c r="AV63" s="42">
        <v>19</v>
      </c>
      <c r="AW63" s="42">
        <f t="shared" si="55"/>
        <v>1137150</v>
      </c>
      <c r="AX63" s="42">
        <f t="shared" si="38"/>
        <v>218863.125</v>
      </c>
      <c r="AY63" s="42">
        <f t="shared" si="39"/>
        <v>42652.0458</v>
      </c>
      <c r="AZ63" s="42">
        <f t="shared" si="9"/>
        <v>280144.8</v>
      </c>
      <c r="BA63" s="119">
        <f t="shared" si="40"/>
        <v>1678809.9708</v>
      </c>
    </row>
    <row r="64" spans="1:53" s="34" customFormat="1" x14ac:dyDescent="0.25">
      <c r="A64" s="32" t="s">
        <v>100</v>
      </c>
      <c r="B64" s="33">
        <v>1</v>
      </c>
      <c r="C64" s="33">
        <v>21</v>
      </c>
      <c r="D64" s="33">
        <v>0</v>
      </c>
      <c r="E64" s="33">
        <f t="shared" si="10"/>
        <v>21</v>
      </c>
      <c r="F64" s="33">
        <v>10</v>
      </c>
      <c r="G64" s="42">
        <f t="shared" si="56"/>
        <v>598500</v>
      </c>
      <c r="H64" s="42">
        <f t="shared" si="12"/>
        <v>94840.6875</v>
      </c>
      <c r="I64" s="42">
        <f t="shared" si="13"/>
        <v>18482.553179999999</v>
      </c>
      <c r="J64" s="42">
        <f t="shared" si="14"/>
        <v>121396.08</v>
      </c>
      <c r="K64" s="42">
        <f t="shared" si="52"/>
        <v>833219.32068</v>
      </c>
      <c r="L64" s="42">
        <v>20</v>
      </c>
      <c r="M64" s="42">
        <f t="shared" si="57"/>
        <v>1197000</v>
      </c>
      <c r="N64" s="42">
        <f t="shared" si="17"/>
        <v>218863.125</v>
      </c>
      <c r="O64" s="42">
        <f t="shared" si="18"/>
        <v>42652.0458</v>
      </c>
      <c r="P64" s="42">
        <f t="shared" si="19"/>
        <v>280144.8</v>
      </c>
      <c r="Q64" s="42">
        <f t="shared" si="20"/>
        <v>1738659.9708</v>
      </c>
      <c r="R64" s="42">
        <v>19</v>
      </c>
      <c r="S64" s="42">
        <f t="shared" si="58"/>
        <v>1137150</v>
      </c>
      <c r="T64" s="42">
        <f t="shared" si="0"/>
        <v>218863.125</v>
      </c>
      <c r="U64" s="42">
        <f t="shared" si="1"/>
        <v>42652.0458</v>
      </c>
      <c r="V64" s="42">
        <f t="shared" si="2"/>
        <v>280144.8</v>
      </c>
      <c r="W64" s="42">
        <f t="shared" si="22"/>
        <v>1678809.9708</v>
      </c>
      <c r="X64" s="42">
        <v>19</v>
      </c>
      <c r="Y64" s="42">
        <f t="shared" si="59"/>
        <v>1137150</v>
      </c>
      <c r="Z64" s="42">
        <f t="shared" si="3"/>
        <v>218863.125</v>
      </c>
      <c r="AA64" s="42">
        <f t="shared" si="4"/>
        <v>42652.0458</v>
      </c>
      <c r="AB64" s="42">
        <f t="shared" si="5"/>
        <v>280144.8</v>
      </c>
      <c r="AC64" s="42">
        <f t="shared" si="24"/>
        <v>1678809.9708</v>
      </c>
      <c r="AD64" s="42">
        <v>19</v>
      </c>
      <c r="AE64" s="42">
        <f t="shared" si="60"/>
        <v>1137150</v>
      </c>
      <c r="AF64" s="42">
        <f t="shared" si="26"/>
        <v>218863.125</v>
      </c>
      <c r="AG64" s="42">
        <f t="shared" si="27"/>
        <v>42652.0458</v>
      </c>
      <c r="AH64" s="42">
        <f t="shared" si="6"/>
        <v>280144.8</v>
      </c>
      <c r="AI64" s="42">
        <f t="shared" si="28"/>
        <v>1678809.9708</v>
      </c>
      <c r="AJ64" s="42">
        <v>9</v>
      </c>
      <c r="AK64" s="42">
        <f t="shared" si="61"/>
        <v>538650</v>
      </c>
      <c r="AL64" s="42">
        <f t="shared" si="30"/>
        <v>218863.125</v>
      </c>
      <c r="AM64" s="42">
        <f t="shared" si="31"/>
        <v>42652.0458</v>
      </c>
      <c r="AN64" s="42">
        <f t="shared" si="7"/>
        <v>280144.8</v>
      </c>
      <c r="AO64" s="42">
        <f t="shared" si="32"/>
        <v>1080309.9708</v>
      </c>
      <c r="AP64" s="42">
        <v>18</v>
      </c>
      <c r="AQ64" s="42">
        <f t="shared" si="62"/>
        <v>1077300</v>
      </c>
      <c r="AR64" s="42">
        <f t="shared" si="34"/>
        <v>218863.125</v>
      </c>
      <c r="AS64" s="42">
        <f t="shared" si="35"/>
        <v>42652.0458</v>
      </c>
      <c r="AT64" s="42">
        <f t="shared" si="8"/>
        <v>280144.8</v>
      </c>
      <c r="AU64" s="42">
        <f t="shared" si="36"/>
        <v>1618959.9708</v>
      </c>
      <c r="AV64" s="42">
        <v>19</v>
      </c>
      <c r="AW64" s="42">
        <f t="shared" si="55"/>
        <v>1137150</v>
      </c>
      <c r="AX64" s="42">
        <f t="shared" si="38"/>
        <v>218863.125</v>
      </c>
      <c r="AY64" s="42">
        <f t="shared" si="39"/>
        <v>42652.0458</v>
      </c>
      <c r="AZ64" s="42">
        <f t="shared" si="9"/>
        <v>280144.8</v>
      </c>
      <c r="BA64" s="119">
        <f t="shared" si="40"/>
        <v>1678809.9708</v>
      </c>
    </row>
    <row r="65" spans="1:53" s="34" customFormat="1" x14ac:dyDescent="0.25">
      <c r="A65" s="32" t="s">
        <v>106</v>
      </c>
      <c r="B65" s="33">
        <v>1</v>
      </c>
      <c r="C65" s="33">
        <v>22</v>
      </c>
      <c r="D65" s="33">
        <v>0</v>
      </c>
      <c r="E65" s="33">
        <f t="shared" si="10"/>
        <v>22</v>
      </c>
      <c r="F65" s="33">
        <v>10</v>
      </c>
      <c r="G65" s="42">
        <f t="shared" si="56"/>
        <v>598500</v>
      </c>
      <c r="H65" s="42">
        <f t="shared" si="12"/>
        <v>94840.6875</v>
      </c>
      <c r="I65" s="42">
        <f t="shared" si="13"/>
        <v>18482.553179999999</v>
      </c>
      <c r="J65" s="42">
        <f t="shared" si="14"/>
        <v>121396.08</v>
      </c>
      <c r="K65" s="42">
        <f t="shared" si="52"/>
        <v>833219.32068</v>
      </c>
      <c r="L65" s="42">
        <v>20</v>
      </c>
      <c r="M65" s="42">
        <f t="shared" si="57"/>
        <v>1197000</v>
      </c>
      <c r="N65" s="42">
        <f t="shared" si="17"/>
        <v>218863.125</v>
      </c>
      <c r="O65" s="42">
        <f t="shared" si="18"/>
        <v>42652.0458</v>
      </c>
      <c r="P65" s="42">
        <f t="shared" si="19"/>
        <v>280144.8</v>
      </c>
      <c r="Q65" s="42">
        <f t="shared" si="20"/>
        <v>1738659.9708</v>
      </c>
      <c r="R65" s="42">
        <v>19</v>
      </c>
      <c r="S65" s="42">
        <f t="shared" si="58"/>
        <v>1137150</v>
      </c>
      <c r="T65" s="42">
        <f t="shared" si="0"/>
        <v>218863.125</v>
      </c>
      <c r="U65" s="42">
        <f t="shared" si="1"/>
        <v>42652.0458</v>
      </c>
      <c r="V65" s="42">
        <f t="shared" si="2"/>
        <v>280144.8</v>
      </c>
      <c r="W65" s="42">
        <f t="shared" si="22"/>
        <v>1678809.9708</v>
      </c>
      <c r="X65" s="42">
        <v>19</v>
      </c>
      <c r="Y65" s="42">
        <f t="shared" si="59"/>
        <v>1137150</v>
      </c>
      <c r="Z65" s="42">
        <f t="shared" si="3"/>
        <v>218863.125</v>
      </c>
      <c r="AA65" s="42">
        <f t="shared" si="4"/>
        <v>42652.0458</v>
      </c>
      <c r="AB65" s="42">
        <f t="shared" si="5"/>
        <v>280144.8</v>
      </c>
      <c r="AC65" s="42">
        <f t="shared" si="24"/>
        <v>1678809.9708</v>
      </c>
      <c r="AD65" s="42">
        <v>19</v>
      </c>
      <c r="AE65" s="42">
        <f>$C$5*AD65</f>
        <v>1137150</v>
      </c>
      <c r="AF65" s="42">
        <f t="shared" si="26"/>
        <v>218863.125</v>
      </c>
      <c r="AG65" s="42">
        <f t="shared" si="27"/>
        <v>42652.0458</v>
      </c>
      <c r="AH65" s="42">
        <f t="shared" si="6"/>
        <v>280144.8</v>
      </c>
      <c r="AI65" s="42">
        <f t="shared" si="28"/>
        <v>1678809.9708</v>
      </c>
      <c r="AJ65" s="42">
        <v>9</v>
      </c>
      <c r="AK65" s="42">
        <f t="shared" si="61"/>
        <v>538650</v>
      </c>
      <c r="AL65" s="42">
        <f t="shared" si="30"/>
        <v>218863.125</v>
      </c>
      <c r="AM65" s="42">
        <f t="shared" si="31"/>
        <v>42652.0458</v>
      </c>
      <c r="AN65" s="42">
        <f t="shared" si="7"/>
        <v>280144.8</v>
      </c>
      <c r="AO65" s="42">
        <f t="shared" si="32"/>
        <v>1080309.9708</v>
      </c>
      <c r="AP65" s="42">
        <v>18</v>
      </c>
      <c r="AQ65" s="42">
        <f t="shared" si="62"/>
        <v>1077300</v>
      </c>
      <c r="AR65" s="42">
        <f t="shared" si="34"/>
        <v>218863.125</v>
      </c>
      <c r="AS65" s="42">
        <f t="shared" si="35"/>
        <v>42652.0458</v>
      </c>
      <c r="AT65" s="42">
        <f t="shared" si="8"/>
        <v>280144.8</v>
      </c>
      <c r="AU65" s="42">
        <f>SUM(AQ65:AT65)*B65</f>
        <v>1618959.9708</v>
      </c>
      <c r="AV65" s="42">
        <v>19</v>
      </c>
      <c r="AW65" s="42">
        <f t="shared" si="55"/>
        <v>1137150</v>
      </c>
      <c r="AX65" s="42">
        <f t="shared" si="38"/>
        <v>218863.125</v>
      </c>
      <c r="AY65" s="42">
        <f t="shared" si="39"/>
        <v>42652.0458</v>
      </c>
      <c r="AZ65" s="42">
        <f t="shared" si="9"/>
        <v>280144.8</v>
      </c>
      <c r="BA65" s="119">
        <f t="shared" si="40"/>
        <v>1678809.9708</v>
      </c>
    </row>
    <row r="66" spans="1:53" s="34" customFormat="1" x14ac:dyDescent="0.25">
      <c r="A66" s="32" t="s">
        <v>24</v>
      </c>
      <c r="B66" s="33">
        <v>1</v>
      </c>
      <c r="C66" s="33">
        <v>23</v>
      </c>
      <c r="D66" s="33">
        <v>23</v>
      </c>
      <c r="E66" s="33">
        <f>C66+D66</f>
        <v>46</v>
      </c>
      <c r="F66" s="33">
        <v>10</v>
      </c>
      <c r="G66" s="42">
        <f t="shared" ref="G66" si="63">$C$5*F66</f>
        <v>598500</v>
      </c>
      <c r="H66" s="42">
        <f t="shared" si="12"/>
        <v>94840.6875</v>
      </c>
      <c r="I66" s="42">
        <f t="shared" si="13"/>
        <v>18482.553179999999</v>
      </c>
      <c r="J66" s="42">
        <f t="shared" si="14"/>
        <v>121396.08</v>
      </c>
      <c r="K66" s="42">
        <f t="shared" si="52"/>
        <v>833219.32068</v>
      </c>
      <c r="L66" s="42">
        <v>20</v>
      </c>
      <c r="M66" s="42">
        <f t="shared" si="57"/>
        <v>1197000</v>
      </c>
      <c r="N66" s="42">
        <f t="shared" si="17"/>
        <v>218863.125</v>
      </c>
      <c r="O66" s="42">
        <f t="shared" si="18"/>
        <v>42652.0458</v>
      </c>
      <c r="P66" s="42">
        <f t="shared" si="19"/>
        <v>280144.8</v>
      </c>
      <c r="Q66" s="42">
        <f t="shared" si="20"/>
        <v>1738659.9708</v>
      </c>
      <c r="R66" s="42">
        <v>19</v>
      </c>
      <c r="S66" s="42">
        <f t="shared" si="58"/>
        <v>1137150</v>
      </c>
      <c r="T66" s="42">
        <f t="shared" si="0"/>
        <v>218863.125</v>
      </c>
      <c r="U66" s="42">
        <f t="shared" si="1"/>
        <v>42652.0458</v>
      </c>
      <c r="V66" s="42">
        <f t="shared" si="2"/>
        <v>280144.8</v>
      </c>
      <c r="W66" s="42">
        <f t="shared" si="22"/>
        <v>1678809.9708</v>
      </c>
      <c r="X66" s="42">
        <v>19</v>
      </c>
      <c r="Y66" s="42">
        <f>$C$5*X66</f>
        <v>1137150</v>
      </c>
      <c r="Z66" s="42">
        <f t="shared" si="3"/>
        <v>218863.125</v>
      </c>
      <c r="AA66" s="42">
        <f t="shared" si="4"/>
        <v>42652.0458</v>
      </c>
      <c r="AB66" s="42">
        <f t="shared" si="5"/>
        <v>280144.8</v>
      </c>
      <c r="AC66" s="42">
        <f t="shared" si="24"/>
        <v>1678809.9708</v>
      </c>
      <c r="AD66" s="42">
        <v>19</v>
      </c>
      <c r="AE66" s="42">
        <f>$C$5*AD66</f>
        <v>1137150</v>
      </c>
      <c r="AF66" s="42">
        <f t="shared" si="26"/>
        <v>218863.125</v>
      </c>
      <c r="AG66" s="42">
        <f t="shared" si="27"/>
        <v>42652.0458</v>
      </c>
      <c r="AH66" s="42">
        <f t="shared" si="6"/>
        <v>280144.8</v>
      </c>
      <c r="AI66" s="42">
        <f t="shared" si="28"/>
        <v>1678809.9708</v>
      </c>
      <c r="AJ66" s="42">
        <v>9</v>
      </c>
      <c r="AK66" s="42">
        <f t="shared" si="61"/>
        <v>538650</v>
      </c>
      <c r="AL66" s="42">
        <f t="shared" si="30"/>
        <v>218863.125</v>
      </c>
      <c r="AM66" s="42">
        <f t="shared" si="31"/>
        <v>42652.0458</v>
      </c>
      <c r="AN66" s="42">
        <f t="shared" si="7"/>
        <v>280144.8</v>
      </c>
      <c r="AO66" s="42">
        <f t="shared" si="32"/>
        <v>1080309.9708</v>
      </c>
      <c r="AP66" s="42">
        <v>18</v>
      </c>
      <c r="AQ66" s="42">
        <f t="shared" si="62"/>
        <v>1077300</v>
      </c>
      <c r="AR66" s="42">
        <f t="shared" si="34"/>
        <v>218863.125</v>
      </c>
      <c r="AS66" s="42">
        <f t="shared" si="35"/>
        <v>42652.0458</v>
      </c>
      <c r="AT66" s="42">
        <f t="shared" si="8"/>
        <v>280144.8</v>
      </c>
      <c r="AU66" s="42">
        <f>SUM(AQ66:AT66)*B66</f>
        <v>1618959.9708</v>
      </c>
      <c r="AV66" s="42">
        <v>19</v>
      </c>
      <c r="AW66" s="42">
        <f t="shared" si="55"/>
        <v>1137150</v>
      </c>
      <c r="AX66" s="42">
        <f t="shared" si="38"/>
        <v>218863.125</v>
      </c>
      <c r="AY66" s="42">
        <f t="shared" si="39"/>
        <v>42652.0458</v>
      </c>
      <c r="AZ66" s="42">
        <f t="shared" si="9"/>
        <v>280144.8</v>
      </c>
      <c r="BA66" s="42">
        <f t="shared" si="40"/>
        <v>1678809.9708</v>
      </c>
    </row>
    <row r="67" spans="1:53" s="92" customFormat="1" x14ac:dyDescent="0.25">
      <c r="A67" s="88" t="s">
        <v>61</v>
      </c>
      <c r="B67" s="89">
        <v>1</v>
      </c>
      <c r="C67" s="89">
        <v>15</v>
      </c>
      <c r="D67" s="89">
        <v>0</v>
      </c>
      <c r="E67" s="89">
        <f>C67+D67</f>
        <v>15</v>
      </c>
      <c r="F67" s="89">
        <v>10</v>
      </c>
      <c r="G67" s="90">
        <f>$C$4*F67</f>
        <v>409500</v>
      </c>
      <c r="H67" s="90">
        <f t="shared" si="12"/>
        <v>94840.6875</v>
      </c>
      <c r="I67" s="90">
        <f t="shared" si="13"/>
        <v>18482.553179999999</v>
      </c>
      <c r="J67" s="90">
        <f t="shared" si="14"/>
        <v>121396.08</v>
      </c>
      <c r="K67" s="90">
        <f>SUM(G67:J67)*B67</f>
        <v>644219.32068</v>
      </c>
      <c r="L67" s="90">
        <v>20</v>
      </c>
      <c r="M67" s="90">
        <f>$C$4*L67</f>
        <v>819000</v>
      </c>
      <c r="N67" s="90">
        <f t="shared" si="17"/>
        <v>218863.125</v>
      </c>
      <c r="O67" s="90">
        <f t="shared" si="18"/>
        <v>42652.0458</v>
      </c>
      <c r="P67" s="90">
        <f t="shared" si="19"/>
        <v>280144.8</v>
      </c>
      <c r="Q67" s="90">
        <f>SUM(M67:P67)*B67</f>
        <v>1360659.9708</v>
      </c>
      <c r="R67" s="90">
        <v>19</v>
      </c>
      <c r="S67" s="90">
        <f>$C$4*R67</f>
        <v>778050</v>
      </c>
      <c r="T67" s="90">
        <f t="shared" si="0"/>
        <v>218863.125</v>
      </c>
      <c r="U67" s="90">
        <f t="shared" si="1"/>
        <v>42652.0458</v>
      </c>
      <c r="V67" s="90">
        <f t="shared" si="2"/>
        <v>280144.8</v>
      </c>
      <c r="W67" s="90">
        <f>SUM(S67:V67)*B67</f>
        <v>1319709.9708</v>
      </c>
      <c r="X67" s="90">
        <v>19</v>
      </c>
      <c r="Y67" s="90">
        <f>$C$4*X67</f>
        <v>778050</v>
      </c>
      <c r="Z67" s="90">
        <f t="shared" si="3"/>
        <v>218863.125</v>
      </c>
      <c r="AA67" s="90">
        <f t="shared" si="4"/>
        <v>42652.0458</v>
      </c>
      <c r="AB67" s="90">
        <f t="shared" si="5"/>
        <v>280144.8</v>
      </c>
      <c r="AC67" s="90">
        <f>SUM(Y67:AB67)*B67</f>
        <v>1319709.9708</v>
      </c>
      <c r="AD67" s="90">
        <v>19</v>
      </c>
      <c r="AE67" s="90">
        <f>$C$4*AD67</f>
        <v>778050</v>
      </c>
      <c r="AF67" s="90">
        <f t="shared" si="26"/>
        <v>218863.125</v>
      </c>
      <c r="AG67" s="90">
        <f t="shared" si="27"/>
        <v>42652.0458</v>
      </c>
      <c r="AH67" s="90">
        <f t="shared" si="6"/>
        <v>280144.8</v>
      </c>
      <c r="AI67" s="90">
        <f>SUM(AE67:AH67)*B67</f>
        <v>1319709.9708</v>
      </c>
      <c r="AJ67" s="90">
        <v>9</v>
      </c>
      <c r="AK67" s="90">
        <f>$C$4*AJ67</f>
        <v>368550</v>
      </c>
      <c r="AL67" s="90">
        <f t="shared" si="30"/>
        <v>218863.125</v>
      </c>
      <c r="AM67" s="90">
        <f t="shared" si="31"/>
        <v>42652.0458</v>
      </c>
      <c r="AN67" s="90">
        <f t="shared" si="7"/>
        <v>280144.8</v>
      </c>
      <c r="AO67" s="90">
        <f>SUM(AK67:AN67)*B67</f>
        <v>910209.97080000001</v>
      </c>
      <c r="AP67" s="42">
        <v>18</v>
      </c>
      <c r="AQ67" s="42">
        <f t="shared" si="62"/>
        <v>1077300</v>
      </c>
      <c r="AR67" s="90">
        <f t="shared" si="34"/>
        <v>218863.125</v>
      </c>
      <c r="AS67" s="90">
        <f t="shared" si="35"/>
        <v>42652.0458</v>
      </c>
      <c r="AT67" s="90">
        <f t="shared" si="8"/>
        <v>280144.8</v>
      </c>
      <c r="AU67" s="90">
        <f>SUM(AQ67:AT67)*B67</f>
        <v>1618959.9708</v>
      </c>
      <c r="AV67" s="90">
        <v>19</v>
      </c>
      <c r="AW67" s="42">
        <f t="shared" si="55"/>
        <v>1137150</v>
      </c>
      <c r="AX67" s="90">
        <f t="shared" si="38"/>
        <v>218863.125</v>
      </c>
      <c r="AY67" s="90">
        <f t="shared" si="39"/>
        <v>42652.0458</v>
      </c>
      <c r="AZ67" s="90">
        <f t="shared" si="9"/>
        <v>280144.8</v>
      </c>
      <c r="BA67" s="90">
        <f>SUM(AW67:AZ67)*B67</f>
        <v>1678809.9708</v>
      </c>
    </row>
    <row r="68" spans="1:53" s="92" customFormat="1" x14ac:dyDescent="0.25">
      <c r="A68" s="88" t="s">
        <v>71</v>
      </c>
      <c r="B68" s="89">
        <v>1</v>
      </c>
      <c r="C68" s="89">
        <v>13</v>
      </c>
      <c r="D68" s="89">
        <v>0</v>
      </c>
      <c r="E68" s="89">
        <f>C68+D68</f>
        <v>13</v>
      </c>
      <c r="F68" s="89">
        <v>10</v>
      </c>
      <c r="G68" s="90">
        <f>$C$4*F68</f>
        <v>409500</v>
      </c>
      <c r="H68" s="90">
        <f t="shared" si="12"/>
        <v>94840.6875</v>
      </c>
      <c r="I68" s="90">
        <f t="shared" si="13"/>
        <v>18482.553179999999</v>
      </c>
      <c r="J68" s="90">
        <f t="shared" si="14"/>
        <v>121396.08</v>
      </c>
      <c r="K68" s="90">
        <f>SUM(G68:J68)*B68</f>
        <v>644219.32068</v>
      </c>
      <c r="L68" s="90">
        <v>20</v>
      </c>
      <c r="M68" s="90">
        <f>$C$4*L68</f>
        <v>819000</v>
      </c>
      <c r="N68" s="90">
        <f t="shared" si="17"/>
        <v>218863.125</v>
      </c>
      <c r="O68" s="90">
        <f t="shared" si="18"/>
        <v>42652.0458</v>
      </c>
      <c r="P68" s="90">
        <f t="shared" si="19"/>
        <v>280144.8</v>
      </c>
      <c r="Q68" s="90">
        <f>SUM(M68:P68)*B68</f>
        <v>1360659.9708</v>
      </c>
      <c r="R68" s="90">
        <v>19</v>
      </c>
      <c r="S68" s="90">
        <f>$C$4*R68</f>
        <v>778050</v>
      </c>
      <c r="T68" s="90">
        <f t="shared" si="0"/>
        <v>218863.125</v>
      </c>
      <c r="U68" s="90">
        <f t="shared" si="1"/>
        <v>42652.0458</v>
      </c>
      <c r="V68" s="90">
        <f t="shared" si="2"/>
        <v>280144.8</v>
      </c>
      <c r="W68" s="90">
        <f>SUM(S68:V68)*B68</f>
        <v>1319709.9708</v>
      </c>
      <c r="X68" s="90">
        <v>19</v>
      </c>
      <c r="Y68" s="90">
        <f>$C$4*X68</f>
        <v>778050</v>
      </c>
      <c r="Z68" s="90">
        <f t="shared" si="3"/>
        <v>218863.125</v>
      </c>
      <c r="AA68" s="90">
        <f t="shared" si="4"/>
        <v>42652.0458</v>
      </c>
      <c r="AB68" s="90">
        <f t="shared" si="5"/>
        <v>280144.8</v>
      </c>
      <c r="AC68" s="90">
        <f>SUM(Y68:AB68)*B68</f>
        <v>1319709.9708</v>
      </c>
      <c r="AD68" s="90">
        <v>19</v>
      </c>
      <c r="AE68" s="90">
        <f>$C$4*AD68</f>
        <v>778050</v>
      </c>
      <c r="AF68" s="90">
        <f t="shared" si="26"/>
        <v>218863.125</v>
      </c>
      <c r="AG68" s="90">
        <f t="shared" si="27"/>
        <v>42652.0458</v>
      </c>
      <c r="AH68" s="90">
        <f t="shared" si="6"/>
        <v>280144.8</v>
      </c>
      <c r="AI68" s="90">
        <f>SUM(AE68:AH68)*B68</f>
        <v>1319709.9708</v>
      </c>
      <c r="AJ68" s="90">
        <v>9</v>
      </c>
      <c r="AK68" s="90">
        <f>$C$4*AJ68</f>
        <v>368550</v>
      </c>
      <c r="AL68" s="90">
        <f t="shared" si="30"/>
        <v>218863.125</v>
      </c>
      <c r="AM68" s="90">
        <f t="shared" si="31"/>
        <v>42652.0458</v>
      </c>
      <c r="AN68" s="90">
        <f t="shared" si="7"/>
        <v>280144.8</v>
      </c>
      <c r="AO68" s="90">
        <f>SUM(AK68:AN68)*B68</f>
        <v>910209.97080000001</v>
      </c>
      <c r="AP68" s="42">
        <v>18</v>
      </c>
      <c r="AQ68" s="42">
        <f t="shared" si="62"/>
        <v>1077300</v>
      </c>
      <c r="AR68" s="90">
        <f t="shared" si="34"/>
        <v>218863.125</v>
      </c>
      <c r="AS68" s="90">
        <f t="shared" si="35"/>
        <v>42652.0458</v>
      </c>
      <c r="AT68" s="90">
        <f t="shared" si="8"/>
        <v>280144.8</v>
      </c>
      <c r="AU68" s="90">
        <f>SUM(AQ68:AT68)*B68</f>
        <v>1618959.9708</v>
      </c>
      <c r="AV68" s="90">
        <v>19</v>
      </c>
      <c r="AW68" s="42">
        <f t="shared" si="55"/>
        <v>1137150</v>
      </c>
      <c r="AX68" s="90">
        <f t="shared" si="38"/>
        <v>218863.125</v>
      </c>
      <c r="AY68" s="90">
        <f t="shared" si="39"/>
        <v>42652.0458</v>
      </c>
      <c r="AZ68" s="90">
        <f t="shared" si="9"/>
        <v>280144.8</v>
      </c>
      <c r="BA68" s="90">
        <f>SUM(AW68:AZ68)*B68</f>
        <v>1678809.9708</v>
      </c>
    </row>
    <row r="69" spans="1:53" s="37" customFormat="1" x14ac:dyDescent="0.25">
      <c r="A69" s="35" t="s">
        <v>42</v>
      </c>
      <c r="B69" s="36">
        <v>1</v>
      </c>
      <c r="C69" s="36">
        <v>103</v>
      </c>
      <c r="D69" s="36">
        <v>0</v>
      </c>
      <c r="E69" s="36">
        <f t="shared" si="10"/>
        <v>103</v>
      </c>
      <c r="F69" s="36">
        <v>10</v>
      </c>
      <c r="G69" s="43">
        <f t="shared" ref="G69:G87" si="64">$C$6*F69</f>
        <v>819000</v>
      </c>
      <c r="H69" s="43">
        <f t="shared" si="12"/>
        <v>94840.6875</v>
      </c>
      <c r="I69" s="43">
        <f t="shared" si="13"/>
        <v>18482.553179999999</v>
      </c>
      <c r="J69" s="43">
        <f t="shared" si="14"/>
        <v>121396.08</v>
      </c>
      <c r="K69" s="43">
        <f t="shared" si="52"/>
        <v>1053719.3206800001</v>
      </c>
      <c r="L69" s="43">
        <v>20</v>
      </c>
      <c r="M69" s="43">
        <f>$C$6*L69</f>
        <v>1638000</v>
      </c>
      <c r="N69" s="43">
        <f t="shared" si="17"/>
        <v>218863.125</v>
      </c>
      <c r="O69" s="43">
        <f t="shared" si="18"/>
        <v>42652.0458</v>
      </c>
      <c r="P69" s="43">
        <f t="shared" si="19"/>
        <v>280144.8</v>
      </c>
      <c r="Q69" s="43">
        <f t="shared" si="20"/>
        <v>2179659.9707999998</v>
      </c>
      <c r="R69" s="43">
        <v>19</v>
      </c>
      <c r="S69" s="43">
        <f>$C$6*R69</f>
        <v>1556100</v>
      </c>
      <c r="T69" s="43">
        <f t="shared" si="0"/>
        <v>218863.125</v>
      </c>
      <c r="U69" s="43">
        <f t="shared" si="1"/>
        <v>42652.0458</v>
      </c>
      <c r="V69" s="43">
        <f t="shared" si="2"/>
        <v>280144.8</v>
      </c>
      <c r="W69" s="43">
        <f t="shared" si="22"/>
        <v>2097759.9707999998</v>
      </c>
      <c r="X69" s="43">
        <v>19</v>
      </c>
      <c r="Y69" s="43">
        <f>$C$6*X69</f>
        <v>1556100</v>
      </c>
      <c r="Z69" s="43">
        <f t="shared" si="3"/>
        <v>218863.125</v>
      </c>
      <c r="AA69" s="43">
        <f t="shared" si="4"/>
        <v>42652.0458</v>
      </c>
      <c r="AB69" s="43">
        <f t="shared" si="5"/>
        <v>280144.8</v>
      </c>
      <c r="AC69" s="43">
        <f t="shared" si="24"/>
        <v>2097759.9707999998</v>
      </c>
      <c r="AD69" s="43">
        <v>19</v>
      </c>
      <c r="AE69" s="43">
        <f t="shared" ref="AE69:AE89" si="65">$C$6*AD69</f>
        <v>1556100</v>
      </c>
      <c r="AF69" s="43">
        <f t="shared" si="26"/>
        <v>218863.125</v>
      </c>
      <c r="AG69" s="43">
        <f t="shared" si="27"/>
        <v>42652.0458</v>
      </c>
      <c r="AH69" s="43">
        <f t="shared" si="6"/>
        <v>280144.8</v>
      </c>
      <c r="AI69" s="43">
        <f t="shared" si="28"/>
        <v>2097759.9707999998</v>
      </c>
      <c r="AJ69" s="43">
        <v>9</v>
      </c>
      <c r="AK69" s="43">
        <f t="shared" ref="AK69:AK89" si="66">$C$6*AJ69</f>
        <v>737100</v>
      </c>
      <c r="AL69" s="43">
        <f t="shared" si="30"/>
        <v>218863.125</v>
      </c>
      <c r="AM69" s="43">
        <f t="shared" si="31"/>
        <v>42652.0458</v>
      </c>
      <c r="AN69" s="43">
        <f t="shared" si="7"/>
        <v>280144.8</v>
      </c>
      <c r="AO69" s="43">
        <f t="shared" si="32"/>
        <v>1278759.9708</v>
      </c>
      <c r="AP69" s="43">
        <v>18</v>
      </c>
      <c r="AQ69" s="43">
        <f t="shared" ref="AQ69:AQ89" si="67">$C$6*AP69</f>
        <v>1474200</v>
      </c>
      <c r="AR69" s="43">
        <f t="shared" si="34"/>
        <v>218863.125</v>
      </c>
      <c r="AS69" s="43">
        <f t="shared" si="35"/>
        <v>42652.0458</v>
      </c>
      <c r="AT69" s="43">
        <f t="shared" si="8"/>
        <v>280144.8</v>
      </c>
      <c r="AU69" s="43">
        <f>SUM(AQ69:AT69)*B69</f>
        <v>2015859.9708</v>
      </c>
      <c r="AV69" s="43">
        <v>19</v>
      </c>
      <c r="AW69" s="43">
        <f t="shared" ref="AW69" si="68">$C$6*AV69</f>
        <v>1556100</v>
      </c>
      <c r="AX69" s="43">
        <f t="shared" si="38"/>
        <v>218863.125</v>
      </c>
      <c r="AY69" s="43">
        <f t="shared" si="39"/>
        <v>42652.0458</v>
      </c>
      <c r="AZ69" s="43">
        <f t="shared" si="9"/>
        <v>280144.8</v>
      </c>
      <c r="BA69" s="43">
        <f t="shared" si="40"/>
        <v>2097759.9707999998</v>
      </c>
    </row>
    <row r="70" spans="1:53" s="37" customFormat="1" x14ac:dyDescent="0.25">
      <c r="A70" s="35" t="s">
        <v>39</v>
      </c>
      <c r="B70" s="36">
        <v>5</v>
      </c>
      <c r="C70" s="36">
        <v>494</v>
      </c>
      <c r="D70" s="36">
        <v>0</v>
      </c>
      <c r="E70" s="36">
        <f t="shared" si="10"/>
        <v>494</v>
      </c>
      <c r="F70" s="36">
        <v>10</v>
      </c>
      <c r="G70" s="43">
        <f t="shared" si="64"/>
        <v>819000</v>
      </c>
      <c r="H70" s="43">
        <f t="shared" si="12"/>
        <v>94840.6875</v>
      </c>
      <c r="I70" s="43">
        <f t="shared" si="13"/>
        <v>18482.553179999999</v>
      </c>
      <c r="J70" s="43">
        <f t="shared" si="14"/>
        <v>121396.08</v>
      </c>
      <c r="K70" s="43">
        <f>SUM(G70:J70)*B70</f>
        <v>5268596.6034000004</v>
      </c>
      <c r="L70" s="43">
        <v>20</v>
      </c>
      <c r="M70" s="43">
        <f t="shared" ref="M70:M89" si="69">$C$6*L70</f>
        <v>1638000</v>
      </c>
      <c r="N70" s="43">
        <f t="shared" si="17"/>
        <v>218863.125</v>
      </c>
      <c r="O70" s="43">
        <f t="shared" si="18"/>
        <v>42652.0458</v>
      </c>
      <c r="P70" s="43">
        <f t="shared" si="19"/>
        <v>280144.8</v>
      </c>
      <c r="Q70" s="43">
        <f t="shared" si="20"/>
        <v>10898299.853999998</v>
      </c>
      <c r="R70" s="43">
        <v>19</v>
      </c>
      <c r="S70" s="43">
        <f t="shared" ref="S70:S89" si="70">$C$6*R70</f>
        <v>1556100</v>
      </c>
      <c r="T70" s="43">
        <f t="shared" si="0"/>
        <v>218863.125</v>
      </c>
      <c r="U70" s="43">
        <f t="shared" si="1"/>
        <v>42652.0458</v>
      </c>
      <c r="V70" s="43">
        <f t="shared" si="2"/>
        <v>280144.8</v>
      </c>
      <c r="W70" s="43">
        <f t="shared" si="22"/>
        <v>10488799.853999998</v>
      </c>
      <c r="X70" s="43">
        <v>19</v>
      </c>
      <c r="Y70" s="43">
        <f t="shared" ref="Y70:Y89" si="71">$C$6*X70</f>
        <v>1556100</v>
      </c>
      <c r="Z70" s="43">
        <f t="shared" si="3"/>
        <v>218863.125</v>
      </c>
      <c r="AA70" s="43">
        <f t="shared" si="4"/>
        <v>42652.0458</v>
      </c>
      <c r="AB70" s="43">
        <f t="shared" si="5"/>
        <v>280144.8</v>
      </c>
      <c r="AC70" s="43">
        <f t="shared" si="24"/>
        <v>10488799.853999998</v>
      </c>
      <c r="AD70" s="43">
        <v>19</v>
      </c>
      <c r="AE70" s="43">
        <f>$C$6*AD70</f>
        <v>1556100</v>
      </c>
      <c r="AF70" s="43">
        <f t="shared" si="26"/>
        <v>218863.125</v>
      </c>
      <c r="AG70" s="43">
        <f t="shared" si="27"/>
        <v>42652.0458</v>
      </c>
      <c r="AH70" s="43">
        <f t="shared" si="6"/>
        <v>280144.8</v>
      </c>
      <c r="AI70" s="43">
        <f t="shared" si="28"/>
        <v>10488799.853999998</v>
      </c>
      <c r="AJ70" s="43">
        <v>9</v>
      </c>
      <c r="AK70" s="43">
        <f t="shared" si="66"/>
        <v>737100</v>
      </c>
      <c r="AL70" s="43">
        <f t="shared" si="30"/>
        <v>218863.125</v>
      </c>
      <c r="AM70" s="43">
        <f t="shared" si="31"/>
        <v>42652.0458</v>
      </c>
      <c r="AN70" s="43">
        <f t="shared" si="7"/>
        <v>280144.8</v>
      </c>
      <c r="AO70" s="43">
        <f t="shared" si="32"/>
        <v>6393799.8540000003</v>
      </c>
      <c r="AP70" s="43">
        <v>18</v>
      </c>
      <c r="AQ70" s="43">
        <f>$C$6*AP70</f>
        <v>1474200</v>
      </c>
      <c r="AR70" s="43">
        <f t="shared" si="34"/>
        <v>218863.125</v>
      </c>
      <c r="AS70" s="43">
        <f t="shared" si="35"/>
        <v>42652.0458</v>
      </c>
      <c r="AT70" s="43">
        <f t="shared" si="8"/>
        <v>280144.8</v>
      </c>
      <c r="AU70" s="43">
        <f t="shared" si="36"/>
        <v>10079299.854</v>
      </c>
      <c r="AV70" s="43">
        <v>19</v>
      </c>
      <c r="AW70" s="43">
        <f>$C$6*AV70</f>
        <v>1556100</v>
      </c>
      <c r="AX70" s="43">
        <f t="shared" si="38"/>
        <v>218863.125</v>
      </c>
      <c r="AY70" s="43">
        <f t="shared" si="39"/>
        <v>42652.0458</v>
      </c>
      <c r="AZ70" s="43">
        <f t="shared" si="9"/>
        <v>280144.8</v>
      </c>
      <c r="BA70" s="43">
        <f t="shared" si="40"/>
        <v>10488799.853999998</v>
      </c>
    </row>
    <row r="71" spans="1:53" s="37" customFormat="1" x14ac:dyDescent="0.25">
      <c r="A71" s="35" t="s">
        <v>50</v>
      </c>
      <c r="B71" s="36">
        <v>5</v>
      </c>
      <c r="C71" s="36">
        <v>324</v>
      </c>
      <c r="D71" s="36">
        <v>0</v>
      </c>
      <c r="E71" s="36">
        <f t="shared" si="10"/>
        <v>324</v>
      </c>
      <c r="F71" s="36">
        <v>10</v>
      </c>
      <c r="G71" s="43">
        <f t="shared" si="64"/>
        <v>819000</v>
      </c>
      <c r="H71" s="43">
        <f t="shared" si="12"/>
        <v>94840.6875</v>
      </c>
      <c r="I71" s="43">
        <f t="shared" si="13"/>
        <v>18482.553179999999</v>
      </c>
      <c r="J71" s="43">
        <f t="shared" si="14"/>
        <v>121396.08</v>
      </c>
      <c r="K71" s="43">
        <f t="shared" si="52"/>
        <v>5268596.6034000004</v>
      </c>
      <c r="L71" s="43">
        <v>20</v>
      </c>
      <c r="M71" s="43">
        <f t="shared" si="69"/>
        <v>1638000</v>
      </c>
      <c r="N71" s="43">
        <f t="shared" si="17"/>
        <v>218863.125</v>
      </c>
      <c r="O71" s="43">
        <f t="shared" si="18"/>
        <v>42652.0458</v>
      </c>
      <c r="P71" s="43">
        <f t="shared" si="19"/>
        <v>280144.8</v>
      </c>
      <c r="Q71" s="43">
        <f t="shared" si="20"/>
        <v>10898299.853999998</v>
      </c>
      <c r="R71" s="43">
        <v>19</v>
      </c>
      <c r="S71" s="43">
        <f t="shared" si="70"/>
        <v>1556100</v>
      </c>
      <c r="T71" s="43">
        <f t="shared" si="0"/>
        <v>218863.125</v>
      </c>
      <c r="U71" s="43">
        <f t="shared" si="1"/>
        <v>42652.0458</v>
      </c>
      <c r="V71" s="43">
        <f t="shared" si="2"/>
        <v>280144.8</v>
      </c>
      <c r="W71" s="43">
        <f t="shared" si="22"/>
        <v>10488799.853999998</v>
      </c>
      <c r="X71" s="43">
        <v>19</v>
      </c>
      <c r="Y71" s="43">
        <f t="shared" si="71"/>
        <v>1556100</v>
      </c>
      <c r="Z71" s="43">
        <f t="shared" si="3"/>
        <v>218863.125</v>
      </c>
      <c r="AA71" s="43">
        <f t="shared" si="4"/>
        <v>42652.0458</v>
      </c>
      <c r="AB71" s="43">
        <f t="shared" si="5"/>
        <v>280144.8</v>
      </c>
      <c r="AC71" s="43">
        <f t="shared" si="24"/>
        <v>10488799.853999998</v>
      </c>
      <c r="AD71" s="43">
        <v>19</v>
      </c>
      <c r="AE71" s="43">
        <f t="shared" si="65"/>
        <v>1556100</v>
      </c>
      <c r="AF71" s="43">
        <f t="shared" si="26"/>
        <v>218863.125</v>
      </c>
      <c r="AG71" s="43">
        <f t="shared" si="27"/>
        <v>42652.0458</v>
      </c>
      <c r="AH71" s="43">
        <f t="shared" si="6"/>
        <v>280144.8</v>
      </c>
      <c r="AI71" s="43">
        <f t="shared" si="28"/>
        <v>10488799.853999998</v>
      </c>
      <c r="AJ71" s="43">
        <v>9</v>
      </c>
      <c r="AK71" s="43">
        <f t="shared" si="66"/>
        <v>737100</v>
      </c>
      <c r="AL71" s="43">
        <f t="shared" si="30"/>
        <v>218863.125</v>
      </c>
      <c r="AM71" s="43">
        <f t="shared" si="31"/>
        <v>42652.0458</v>
      </c>
      <c r="AN71" s="43">
        <f t="shared" si="7"/>
        <v>280144.8</v>
      </c>
      <c r="AO71" s="43">
        <f t="shared" si="32"/>
        <v>6393799.8540000003</v>
      </c>
      <c r="AP71" s="43">
        <v>18</v>
      </c>
      <c r="AQ71" s="43">
        <f t="shared" si="67"/>
        <v>1474200</v>
      </c>
      <c r="AR71" s="43">
        <f t="shared" si="34"/>
        <v>218863.125</v>
      </c>
      <c r="AS71" s="43">
        <f t="shared" si="35"/>
        <v>42652.0458</v>
      </c>
      <c r="AT71" s="43">
        <f t="shared" si="8"/>
        <v>280144.8</v>
      </c>
      <c r="AU71" s="43">
        <f t="shared" si="36"/>
        <v>10079299.854</v>
      </c>
      <c r="AV71" s="43">
        <v>19</v>
      </c>
      <c r="AW71" s="43">
        <f t="shared" ref="AW71:AW89" si="72">$C$6*AV71</f>
        <v>1556100</v>
      </c>
      <c r="AX71" s="43">
        <f t="shared" si="38"/>
        <v>218863.125</v>
      </c>
      <c r="AY71" s="43">
        <f t="shared" si="39"/>
        <v>42652.0458</v>
      </c>
      <c r="AZ71" s="43">
        <f t="shared" si="9"/>
        <v>280144.8</v>
      </c>
      <c r="BA71" s="43">
        <f t="shared" si="40"/>
        <v>10488799.853999998</v>
      </c>
    </row>
    <row r="72" spans="1:53" s="37" customFormat="1" x14ac:dyDescent="0.25">
      <c r="A72" s="35" t="s">
        <v>51</v>
      </c>
      <c r="B72" s="36">
        <v>6</v>
      </c>
      <c r="C72" s="36">
        <v>495</v>
      </c>
      <c r="D72" s="36">
        <v>0</v>
      </c>
      <c r="E72" s="36">
        <f t="shared" si="10"/>
        <v>495</v>
      </c>
      <c r="F72" s="36">
        <v>10</v>
      </c>
      <c r="G72" s="43">
        <f t="shared" si="64"/>
        <v>819000</v>
      </c>
      <c r="H72" s="43">
        <f t="shared" si="12"/>
        <v>94840.6875</v>
      </c>
      <c r="I72" s="43">
        <f t="shared" si="13"/>
        <v>18482.553179999999</v>
      </c>
      <c r="J72" s="43">
        <f t="shared" si="14"/>
        <v>121396.08</v>
      </c>
      <c r="K72" s="43">
        <f t="shared" si="52"/>
        <v>6322315.9240800012</v>
      </c>
      <c r="L72" s="43">
        <v>20</v>
      </c>
      <c r="M72" s="43">
        <f t="shared" si="69"/>
        <v>1638000</v>
      </c>
      <c r="N72" s="43">
        <f t="shared" si="17"/>
        <v>218863.125</v>
      </c>
      <c r="O72" s="43">
        <f t="shared" si="18"/>
        <v>42652.0458</v>
      </c>
      <c r="P72" s="43">
        <f t="shared" si="19"/>
        <v>280144.8</v>
      </c>
      <c r="Q72" s="43">
        <f t="shared" si="20"/>
        <v>13077959.8248</v>
      </c>
      <c r="R72" s="43">
        <v>19</v>
      </c>
      <c r="S72" s="43">
        <f t="shared" si="70"/>
        <v>1556100</v>
      </c>
      <c r="T72" s="43">
        <f t="shared" si="0"/>
        <v>218863.125</v>
      </c>
      <c r="U72" s="43">
        <f t="shared" si="1"/>
        <v>42652.0458</v>
      </c>
      <c r="V72" s="43">
        <f t="shared" si="2"/>
        <v>280144.8</v>
      </c>
      <c r="W72" s="43">
        <f t="shared" si="22"/>
        <v>12586559.8248</v>
      </c>
      <c r="X72" s="43">
        <v>19</v>
      </c>
      <c r="Y72" s="43">
        <f t="shared" si="71"/>
        <v>1556100</v>
      </c>
      <c r="Z72" s="43">
        <f t="shared" si="3"/>
        <v>218863.125</v>
      </c>
      <c r="AA72" s="43">
        <f t="shared" si="4"/>
        <v>42652.0458</v>
      </c>
      <c r="AB72" s="43">
        <f t="shared" si="5"/>
        <v>280144.8</v>
      </c>
      <c r="AC72" s="43">
        <f t="shared" si="24"/>
        <v>12586559.8248</v>
      </c>
      <c r="AD72" s="43">
        <v>19</v>
      </c>
      <c r="AE72" s="43">
        <f t="shared" si="65"/>
        <v>1556100</v>
      </c>
      <c r="AF72" s="43">
        <f t="shared" si="26"/>
        <v>218863.125</v>
      </c>
      <c r="AG72" s="43">
        <f t="shared" si="27"/>
        <v>42652.0458</v>
      </c>
      <c r="AH72" s="43">
        <f t="shared" si="6"/>
        <v>280144.8</v>
      </c>
      <c r="AI72" s="43">
        <f t="shared" si="28"/>
        <v>12586559.8248</v>
      </c>
      <c r="AJ72" s="43">
        <v>9</v>
      </c>
      <c r="AK72" s="43">
        <f t="shared" si="66"/>
        <v>737100</v>
      </c>
      <c r="AL72" s="43">
        <f t="shared" si="30"/>
        <v>218863.125</v>
      </c>
      <c r="AM72" s="43">
        <f t="shared" si="31"/>
        <v>42652.0458</v>
      </c>
      <c r="AN72" s="43">
        <f t="shared" si="7"/>
        <v>280144.8</v>
      </c>
      <c r="AO72" s="43">
        <f t="shared" si="32"/>
        <v>7672559.8247999996</v>
      </c>
      <c r="AP72" s="43">
        <v>18</v>
      </c>
      <c r="AQ72" s="43">
        <f t="shared" si="67"/>
        <v>1474200</v>
      </c>
      <c r="AR72" s="43">
        <f t="shared" si="34"/>
        <v>218863.125</v>
      </c>
      <c r="AS72" s="43">
        <f t="shared" si="35"/>
        <v>42652.0458</v>
      </c>
      <c r="AT72" s="43">
        <f t="shared" si="8"/>
        <v>280144.8</v>
      </c>
      <c r="AU72" s="43">
        <f t="shared" si="36"/>
        <v>12095159.8248</v>
      </c>
      <c r="AV72" s="43">
        <v>19</v>
      </c>
      <c r="AW72" s="43">
        <f t="shared" si="72"/>
        <v>1556100</v>
      </c>
      <c r="AX72" s="43">
        <f t="shared" si="38"/>
        <v>218863.125</v>
      </c>
      <c r="AY72" s="43">
        <f t="shared" si="39"/>
        <v>42652.0458</v>
      </c>
      <c r="AZ72" s="43">
        <f t="shared" si="9"/>
        <v>280144.8</v>
      </c>
      <c r="BA72" s="43">
        <f t="shared" si="40"/>
        <v>12586559.8248</v>
      </c>
    </row>
    <row r="73" spans="1:53" s="37" customFormat="1" x14ac:dyDescent="0.25">
      <c r="A73" s="35" t="s">
        <v>53</v>
      </c>
      <c r="B73" s="36">
        <v>1</v>
      </c>
      <c r="C73" s="36">
        <v>58</v>
      </c>
      <c r="D73" s="36">
        <v>0</v>
      </c>
      <c r="E73" s="36">
        <f t="shared" si="10"/>
        <v>58</v>
      </c>
      <c r="F73" s="36">
        <v>10</v>
      </c>
      <c r="G73" s="43">
        <f t="shared" si="64"/>
        <v>819000</v>
      </c>
      <c r="H73" s="43">
        <f t="shared" si="12"/>
        <v>94840.6875</v>
      </c>
      <c r="I73" s="43">
        <f t="shared" si="13"/>
        <v>18482.553179999999</v>
      </c>
      <c r="J73" s="43">
        <f t="shared" si="14"/>
        <v>121396.08</v>
      </c>
      <c r="K73" s="43">
        <f t="shared" si="52"/>
        <v>1053719.3206800001</v>
      </c>
      <c r="L73" s="43">
        <v>20</v>
      </c>
      <c r="M73" s="43">
        <f t="shared" si="69"/>
        <v>1638000</v>
      </c>
      <c r="N73" s="43">
        <f t="shared" ref="N73:N89" si="73">$D$4*12.5%</f>
        <v>218863.125</v>
      </c>
      <c r="O73" s="43">
        <f t="shared" ref="O73:O89" si="74">$D$4*2.436%</f>
        <v>42652.0458</v>
      </c>
      <c r="P73" s="43">
        <f t="shared" ref="P73:P89" si="75">$D$4*16%</f>
        <v>280144.8</v>
      </c>
      <c r="Q73" s="43">
        <f t="shared" si="20"/>
        <v>2179659.9707999998</v>
      </c>
      <c r="R73" s="43">
        <v>19</v>
      </c>
      <c r="S73" s="43">
        <f t="shared" si="70"/>
        <v>1556100</v>
      </c>
      <c r="T73" s="43">
        <f t="shared" ref="T73:T89" si="76">$D$4*12.5%</f>
        <v>218863.125</v>
      </c>
      <c r="U73" s="43">
        <f t="shared" ref="U73:U89" si="77">$D$4*2.436%</f>
        <v>42652.0458</v>
      </c>
      <c r="V73" s="43">
        <f t="shared" ref="V73:V89" si="78">$D$4*16%</f>
        <v>280144.8</v>
      </c>
      <c r="W73" s="43">
        <f t="shared" si="22"/>
        <v>2097759.9707999998</v>
      </c>
      <c r="X73" s="43">
        <v>19</v>
      </c>
      <c r="Y73" s="43">
        <f t="shared" si="71"/>
        <v>1556100</v>
      </c>
      <c r="Z73" s="43">
        <f t="shared" ref="Z73:Z89" si="79">$D$4*12.5%</f>
        <v>218863.125</v>
      </c>
      <c r="AA73" s="43">
        <f t="shared" ref="AA73:AA89" si="80">$D$4*2.436%</f>
        <v>42652.0458</v>
      </c>
      <c r="AB73" s="43">
        <f t="shared" ref="AB73:AB89" si="81">$D$4*16%</f>
        <v>280144.8</v>
      </c>
      <c r="AC73" s="43">
        <f t="shared" si="24"/>
        <v>2097759.9707999998</v>
      </c>
      <c r="AD73" s="43">
        <v>19</v>
      </c>
      <c r="AE73" s="43">
        <f t="shared" si="65"/>
        <v>1556100</v>
      </c>
      <c r="AF73" s="43">
        <f t="shared" ref="AF73:AF89" si="82">$D$4*12.5%</f>
        <v>218863.125</v>
      </c>
      <c r="AG73" s="43">
        <f t="shared" ref="AG73:AG89" si="83">$D$4*2.436%</f>
        <v>42652.0458</v>
      </c>
      <c r="AH73" s="43">
        <f t="shared" ref="AH73:AH89" si="84">$D$4*16%</f>
        <v>280144.8</v>
      </c>
      <c r="AI73" s="43">
        <f t="shared" si="28"/>
        <v>2097759.9707999998</v>
      </c>
      <c r="AJ73" s="43">
        <v>9</v>
      </c>
      <c r="AK73" s="43">
        <f t="shared" si="66"/>
        <v>737100</v>
      </c>
      <c r="AL73" s="43">
        <f t="shared" si="30"/>
        <v>218863.125</v>
      </c>
      <c r="AM73" s="43">
        <f t="shared" si="31"/>
        <v>42652.0458</v>
      </c>
      <c r="AN73" s="43">
        <f t="shared" si="7"/>
        <v>280144.8</v>
      </c>
      <c r="AO73" s="43">
        <f t="shared" si="32"/>
        <v>1278759.9708</v>
      </c>
      <c r="AP73" s="43">
        <v>18</v>
      </c>
      <c r="AQ73" s="43">
        <f t="shared" si="67"/>
        <v>1474200</v>
      </c>
      <c r="AR73" s="43">
        <f t="shared" si="34"/>
        <v>218863.125</v>
      </c>
      <c r="AS73" s="43">
        <f t="shared" si="35"/>
        <v>42652.0458</v>
      </c>
      <c r="AT73" s="43">
        <f t="shared" si="8"/>
        <v>280144.8</v>
      </c>
      <c r="AU73" s="43">
        <f t="shared" si="36"/>
        <v>2015859.9708</v>
      </c>
      <c r="AV73" s="43">
        <v>19</v>
      </c>
      <c r="AW73" s="43">
        <f t="shared" si="72"/>
        <v>1556100</v>
      </c>
      <c r="AX73" s="43">
        <f t="shared" si="38"/>
        <v>218863.125</v>
      </c>
      <c r="AY73" s="43">
        <f t="shared" si="39"/>
        <v>42652.0458</v>
      </c>
      <c r="AZ73" s="43">
        <f t="shared" si="9"/>
        <v>280144.8</v>
      </c>
      <c r="BA73" s="43">
        <f t="shared" si="40"/>
        <v>2097759.9707999998</v>
      </c>
    </row>
    <row r="74" spans="1:53" s="37" customFormat="1" x14ac:dyDescent="0.25">
      <c r="A74" s="35" t="s">
        <v>54</v>
      </c>
      <c r="B74" s="36">
        <v>2</v>
      </c>
      <c r="C74" s="36">
        <v>270</v>
      </c>
      <c r="D74" s="36">
        <v>0</v>
      </c>
      <c r="E74" s="36">
        <f t="shared" si="10"/>
        <v>270</v>
      </c>
      <c r="F74" s="36">
        <v>10</v>
      </c>
      <c r="G74" s="43">
        <f t="shared" si="64"/>
        <v>819000</v>
      </c>
      <c r="H74" s="43">
        <f t="shared" ref="H74:H87" si="85">($D$4*12.5%)/30*13</f>
        <v>94840.6875</v>
      </c>
      <c r="I74" s="43">
        <f t="shared" ref="I74:I89" si="86">($D$4*2.436%)/30*13</f>
        <v>18482.553179999999</v>
      </c>
      <c r="J74" s="43">
        <f t="shared" ref="J74:J89" si="87">($D$4*16%)/30*13</f>
        <v>121396.08</v>
      </c>
      <c r="K74" s="43">
        <f t="shared" si="52"/>
        <v>2107438.6413600002</v>
      </c>
      <c r="L74" s="43">
        <v>20</v>
      </c>
      <c r="M74" s="43">
        <f t="shared" si="69"/>
        <v>1638000</v>
      </c>
      <c r="N74" s="43">
        <f t="shared" si="73"/>
        <v>218863.125</v>
      </c>
      <c r="O74" s="43">
        <f t="shared" si="74"/>
        <v>42652.0458</v>
      </c>
      <c r="P74" s="43">
        <f t="shared" si="75"/>
        <v>280144.8</v>
      </c>
      <c r="Q74" s="43">
        <f t="shared" si="20"/>
        <v>4359319.9415999996</v>
      </c>
      <c r="R74" s="43">
        <v>19</v>
      </c>
      <c r="S74" s="43">
        <f t="shared" si="70"/>
        <v>1556100</v>
      </c>
      <c r="T74" s="43">
        <f t="shared" si="76"/>
        <v>218863.125</v>
      </c>
      <c r="U74" s="43">
        <f t="shared" si="77"/>
        <v>42652.0458</v>
      </c>
      <c r="V74" s="43">
        <f t="shared" si="78"/>
        <v>280144.8</v>
      </c>
      <c r="W74" s="43">
        <f t="shared" si="22"/>
        <v>4195519.9415999996</v>
      </c>
      <c r="X74" s="43">
        <v>19</v>
      </c>
      <c r="Y74" s="43">
        <f t="shared" si="71"/>
        <v>1556100</v>
      </c>
      <c r="Z74" s="43">
        <f t="shared" si="79"/>
        <v>218863.125</v>
      </c>
      <c r="AA74" s="43">
        <f t="shared" si="80"/>
        <v>42652.0458</v>
      </c>
      <c r="AB74" s="43">
        <f t="shared" si="81"/>
        <v>280144.8</v>
      </c>
      <c r="AC74" s="43">
        <f t="shared" si="24"/>
        <v>4195519.9415999996</v>
      </c>
      <c r="AD74" s="43">
        <v>19</v>
      </c>
      <c r="AE74" s="43">
        <f t="shared" si="65"/>
        <v>1556100</v>
      </c>
      <c r="AF74" s="43">
        <f t="shared" si="82"/>
        <v>218863.125</v>
      </c>
      <c r="AG74" s="43">
        <f t="shared" si="83"/>
        <v>42652.0458</v>
      </c>
      <c r="AH74" s="43">
        <f t="shared" si="84"/>
        <v>280144.8</v>
      </c>
      <c r="AI74" s="43">
        <f t="shared" si="28"/>
        <v>4195519.9415999996</v>
      </c>
      <c r="AJ74" s="43">
        <v>9</v>
      </c>
      <c r="AK74" s="43">
        <f t="shared" si="66"/>
        <v>737100</v>
      </c>
      <c r="AL74" s="43">
        <f t="shared" si="30"/>
        <v>218863.125</v>
      </c>
      <c r="AM74" s="43">
        <f t="shared" si="31"/>
        <v>42652.0458</v>
      </c>
      <c r="AN74" s="43">
        <f t="shared" ref="AN74:AN89" si="88">$D$4*16%</f>
        <v>280144.8</v>
      </c>
      <c r="AO74" s="43">
        <f t="shared" si="32"/>
        <v>2557519.9416</v>
      </c>
      <c r="AP74" s="43">
        <v>18</v>
      </c>
      <c r="AQ74" s="43">
        <f t="shared" si="67"/>
        <v>1474200</v>
      </c>
      <c r="AR74" s="43">
        <f t="shared" si="34"/>
        <v>218863.125</v>
      </c>
      <c r="AS74" s="43">
        <f t="shared" si="35"/>
        <v>42652.0458</v>
      </c>
      <c r="AT74" s="43">
        <f t="shared" ref="AT74:AT89" si="89">$D$4*16%</f>
        <v>280144.8</v>
      </c>
      <c r="AU74" s="43">
        <f t="shared" si="36"/>
        <v>4031719.9416</v>
      </c>
      <c r="AV74" s="43">
        <v>19</v>
      </c>
      <c r="AW74" s="43">
        <f t="shared" si="72"/>
        <v>1556100</v>
      </c>
      <c r="AX74" s="43">
        <f t="shared" si="38"/>
        <v>218863.125</v>
      </c>
      <c r="AY74" s="43">
        <f t="shared" si="39"/>
        <v>42652.0458</v>
      </c>
      <c r="AZ74" s="43">
        <f t="shared" ref="AZ74:AZ89" si="90">$D$4*16%</f>
        <v>280144.8</v>
      </c>
      <c r="BA74" s="43">
        <f t="shared" si="40"/>
        <v>4195519.9415999996</v>
      </c>
    </row>
    <row r="75" spans="1:53" s="37" customFormat="1" x14ac:dyDescent="0.25">
      <c r="A75" s="35" t="s">
        <v>55</v>
      </c>
      <c r="B75" s="36">
        <v>1</v>
      </c>
      <c r="C75" s="36">
        <v>80</v>
      </c>
      <c r="D75" s="36">
        <v>0</v>
      </c>
      <c r="E75" s="36">
        <f t="shared" ref="E75:E89" si="91">C75+D75</f>
        <v>80</v>
      </c>
      <c r="F75" s="36">
        <v>10</v>
      </c>
      <c r="G75" s="43">
        <f t="shared" si="64"/>
        <v>819000</v>
      </c>
      <c r="H75" s="43">
        <f t="shared" si="85"/>
        <v>94840.6875</v>
      </c>
      <c r="I75" s="43">
        <f t="shared" si="86"/>
        <v>18482.553179999999</v>
      </c>
      <c r="J75" s="43">
        <f t="shared" si="87"/>
        <v>121396.08</v>
      </c>
      <c r="K75" s="43">
        <f t="shared" ref="K75:K85" si="92">SUM(G75:J75)*B75</f>
        <v>1053719.3206800001</v>
      </c>
      <c r="L75" s="43">
        <v>20</v>
      </c>
      <c r="M75" s="43">
        <f t="shared" si="69"/>
        <v>1638000</v>
      </c>
      <c r="N75" s="43">
        <f t="shared" si="73"/>
        <v>218863.125</v>
      </c>
      <c r="O75" s="43">
        <f t="shared" si="74"/>
        <v>42652.0458</v>
      </c>
      <c r="P75" s="43">
        <f t="shared" si="75"/>
        <v>280144.8</v>
      </c>
      <c r="Q75" s="43">
        <f t="shared" ref="Q75:Q89" si="93">SUM(M75:P75)*B75</f>
        <v>2179659.9707999998</v>
      </c>
      <c r="R75" s="43">
        <v>19</v>
      </c>
      <c r="S75" s="43">
        <f t="shared" si="70"/>
        <v>1556100</v>
      </c>
      <c r="T75" s="43">
        <f t="shared" si="76"/>
        <v>218863.125</v>
      </c>
      <c r="U75" s="43">
        <f t="shared" si="77"/>
        <v>42652.0458</v>
      </c>
      <c r="V75" s="43">
        <f t="shared" si="78"/>
        <v>280144.8</v>
      </c>
      <c r="W75" s="43">
        <f t="shared" ref="W75:W89" si="94">SUM(S75:V75)*B75</f>
        <v>2097759.9707999998</v>
      </c>
      <c r="X75" s="43">
        <v>19</v>
      </c>
      <c r="Y75" s="43">
        <f t="shared" si="71"/>
        <v>1556100</v>
      </c>
      <c r="Z75" s="43">
        <f t="shared" si="79"/>
        <v>218863.125</v>
      </c>
      <c r="AA75" s="43">
        <f t="shared" si="80"/>
        <v>42652.0458</v>
      </c>
      <c r="AB75" s="43">
        <f t="shared" si="81"/>
        <v>280144.8</v>
      </c>
      <c r="AC75" s="43">
        <f t="shared" ref="AC75:AC89" si="95">SUM(Y75:AB75)*B75</f>
        <v>2097759.9707999998</v>
      </c>
      <c r="AD75" s="43">
        <v>19</v>
      </c>
      <c r="AE75" s="43">
        <f t="shared" si="65"/>
        <v>1556100</v>
      </c>
      <c r="AF75" s="43">
        <f t="shared" si="82"/>
        <v>218863.125</v>
      </c>
      <c r="AG75" s="43">
        <f t="shared" si="83"/>
        <v>42652.0458</v>
      </c>
      <c r="AH75" s="43">
        <f t="shared" si="84"/>
        <v>280144.8</v>
      </c>
      <c r="AI75" s="43">
        <f t="shared" ref="AI75:AI89" si="96">SUM(AE75:AH75)*B75</f>
        <v>2097759.9707999998</v>
      </c>
      <c r="AJ75" s="43">
        <v>9</v>
      </c>
      <c r="AK75" s="43">
        <f t="shared" si="66"/>
        <v>737100</v>
      </c>
      <c r="AL75" s="43">
        <f t="shared" ref="AL75:AL89" si="97">$D$4*12.5%</f>
        <v>218863.125</v>
      </c>
      <c r="AM75" s="43">
        <f t="shared" ref="AM75:AM89" si="98">$D$4*2.436%</f>
        <v>42652.0458</v>
      </c>
      <c r="AN75" s="43">
        <f t="shared" si="88"/>
        <v>280144.8</v>
      </c>
      <c r="AO75" s="43">
        <f t="shared" ref="AO75:AO89" si="99">SUM(AK75:AN75)*B75</f>
        <v>1278759.9708</v>
      </c>
      <c r="AP75" s="43">
        <v>18</v>
      </c>
      <c r="AQ75" s="43">
        <f t="shared" si="67"/>
        <v>1474200</v>
      </c>
      <c r="AR75" s="43">
        <f t="shared" ref="AR75:AR89" si="100">$D$4*12.5%</f>
        <v>218863.125</v>
      </c>
      <c r="AS75" s="43">
        <f t="shared" ref="AS75:AS89" si="101">$D$4*2.436%</f>
        <v>42652.0458</v>
      </c>
      <c r="AT75" s="43">
        <f t="shared" si="89"/>
        <v>280144.8</v>
      </c>
      <c r="AU75" s="43">
        <f t="shared" ref="AU75:AU89" si="102">SUM(AQ75:AT75)*B75</f>
        <v>2015859.9708</v>
      </c>
      <c r="AV75" s="43">
        <v>19</v>
      </c>
      <c r="AW75" s="43">
        <f t="shared" si="72"/>
        <v>1556100</v>
      </c>
      <c r="AX75" s="43">
        <f t="shared" ref="AX75:AX89" si="103">$D$4*12.5%</f>
        <v>218863.125</v>
      </c>
      <c r="AY75" s="43">
        <f t="shared" ref="AY75:AY89" si="104">$D$4*2.436%</f>
        <v>42652.0458</v>
      </c>
      <c r="AZ75" s="43">
        <f t="shared" si="90"/>
        <v>280144.8</v>
      </c>
      <c r="BA75" s="43">
        <f t="shared" ref="BA75:BA89" si="105">SUM(AW75:AZ75)*B75</f>
        <v>2097759.9707999998</v>
      </c>
    </row>
    <row r="76" spans="1:53" s="37" customFormat="1" x14ac:dyDescent="0.25">
      <c r="A76" s="35" t="s">
        <v>60</v>
      </c>
      <c r="B76" s="36">
        <v>1</v>
      </c>
      <c r="C76" s="36">
        <v>46</v>
      </c>
      <c r="D76" s="36">
        <v>0</v>
      </c>
      <c r="E76" s="36">
        <f t="shared" si="91"/>
        <v>46</v>
      </c>
      <c r="F76" s="36">
        <v>10</v>
      </c>
      <c r="G76" s="43">
        <f t="shared" si="64"/>
        <v>819000</v>
      </c>
      <c r="H76" s="43">
        <f t="shared" si="85"/>
        <v>94840.6875</v>
      </c>
      <c r="I76" s="43">
        <f t="shared" si="86"/>
        <v>18482.553179999999</v>
      </c>
      <c r="J76" s="43">
        <f t="shared" si="87"/>
        <v>121396.08</v>
      </c>
      <c r="K76" s="43">
        <f t="shared" si="92"/>
        <v>1053719.3206800001</v>
      </c>
      <c r="L76" s="43">
        <v>20</v>
      </c>
      <c r="M76" s="43">
        <f t="shared" si="69"/>
        <v>1638000</v>
      </c>
      <c r="N76" s="43">
        <f t="shared" si="73"/>
        <v>218863.125</v>
      </c>
      <c r="O76" s="43">
        <f t="shared" si="74"/>
        <v>42652.0458</v>
      </c>
      <c r="P76" s="43">
        <f t="shared" si="75"/>
        <v>280144.8</v>
      </c>
      <c r="Q76" s="43">
        <f t="shared" si="93"/>
        <v>2179659.9707999998</v>
      </c>
      <c r="R76" s="43">
        <v>19</v>
      </c>
      <c r="S76" s="43">
        <f t="shared" si="70"/>
        <v>1556100</v>
      </c>
      <c r="T76" s="43">
        <f t="shared" si="76"/>
        <v>218863.125</v>
      </c>
      <c r="U76" s="43">
        <f t="shared" si="77"/>
        <v>42652.0458</v>
      </c>
      <c r="V76" s="43">
        <f t="shared" si="78"/>
        <v>280144.8</v>
      </c>
      <c r="W76" s="43">
        <f t="shared" si="94"/>
        <v>2097759.9707999998</v>
      </c>
      <c r="X76" s="43">
        <v>19</v>
      </c>
      <c r="Y76" s="43">
        <f t="shared" si="71"/>
        <v>1556100</v>
      </c>
      <c r="Z76" s="43">
        <f t="shared" si="79"/>
        <v>218863.125</v>
      </c>
      <c r="AA76" s="43">
        <f t="shared" si="80"/>
        <v>42652.0458</v>
      </c>
      <c r="AB76" s="43">
        <f t="shared" si="81"/>
        <v>280144.8</v>
      </c>
      <c r="AC76" s="43">
        <f t="shared" si="95"/>
        <v>2097759.9707999998</v>
      </c>
      <c r="AD76" s="43">
        <v>19</v>
      </c>
      <c r="AE76" s="43">
        <f t="shared" si="65"/>
        <v>1556100</v>
      </c>
      <c r="AF76" s="43">
        <f t="shared" si="82"/>
        <v>218863.125</v>
      </c>
      <c r="AG76" s="43">
        <f t="shared" si="83"/>
        <v>42652.0458</v>
      </c>
      <c r="AH76" s="43">
        <f t="shared" si="84"/>
        <v>280144.8</v>
      </c>
      <c r="AI76" s="43">
        <f t="shared" si="96"/>
        <v>2097759.9707999998</v>
      </c>
      <c r="AJ76" s="43">
        <v>9</v>
      </c>
      <c r="AK76" s="43">
        <f t="shared" si="66"/>
        <v>737100</v>
      </c>
      <c r="AL76" s="43">
        <f t="shared" si="97"/>
        <v>218863.125</v>
      </c>
      <c r="AM76" s="43">
        <f t="shared" si="98"/>
        <v>42652.0458</v>
      </c>
      <c r="AN76" s="43">
        <f t="shared" si="88"/>
        <v>280144.8</v>
      </c>
      <c r="AO76" s="43">
        <f t="shared" si="99"/>
        <v>1278759.9708</v>
      </c>
      <c r="AP76" s="43">
        <v>18</v>
      </c>
      <c r="AQ76" s="43">
        <f t="shared" si="67"/>
        <v>1474200</v>
      </c>
      <c r="AR76" s="43">
        <f t="shared" si="100"/>
        <v>218863.125</v>
      </c>
      <c r="AS76" s="43">
        <f t="shared" si="101"/>
        <v>42652.0458</v>
      </c>
      <c r="AT76" s="43">
        <f t="shared" si="89"/>
        <v>280144.8</v>
      </c>
      <c r="AU76" s="43">
        <f t="shared" si="102"/>
        <v>2015859.9708</v>
      </c>
      <c r="AV76" s="43">
        <v>19</v>
      </c>
      <c r="AW76" s="43">
        <f t="shared" si="72"/>
        <v>1556100</v>
      </c>
      <c r="AX76" s="43">
        <f t="shared" si="103"/>
        <v>218863.125</v>
      </c>
      <c r="AY76" s="43">
        <f t="shared" si="104"/>
        <v>42652.0458</v>
      </c>
      <c r="AZ76" s="43">
        <f t="shared" si="90"/>
        <v>280144.8</v>
      </c>
      <c r="BA76" s="43">
        <f t="shared" si="105"/>
        <v>2097759.9707999998</v>
      </c>
    </row>
    <row r="77" spans="1:53" s="37" customFormat="1" x14ac:dyDescent="0.25">
      <c r="A77" s="35" t="s">
        <v>64</v>
      </c>
      <c r="B77" s="36">
        <v>1</v>
      </c>
      <c r="C77" s="36">
        <v>44</v>
      </c>
      <c r="D77" s="36">
        <v>0</v>
      </c>
      <c r="E77" s="36">
        <f t="shared" si="91"/>
        <v>44</v>
      </c>
      <c r="F77" s="36">
        <v>10</v>
      </c>
      <c r="G77" s="43">
        <f t="shared" si="64"/>
        <v>819000</v>
      </c>
      <c r="H77" s="43">
        <f t="shared" si="85"/>
        <v>94840.6875</v>
      </c>
      <c r="I77" s="43">
        <f t="shared" si="86"/>
        <v>18482.553179999999</v>
      </c>
      <c r="J77" s="43">
        <f t="shared" si="87"/>
        <v>121396.08</v>
      </c>
      <c r="K77" s="43">
        <f t="shared" si="92"/>
        <v>1053719.3206800001</v>
      </c>
      <c r="L77" s="43">
        <v>20</v>
      </c>
      <c r="M77" s="43">
        <f t="shared" si="69"/>
        <v>1638000</v>
      </c>
      <c r="N77" s="43">
        <f t="shared" si="73"/>
        <v>218863.125</v>
      </c>
      <c r="O77" s="43">
        <f t="shared" si="74"/>
        <v>42652.0458</v>
      </c>
      <c r="P77" s="43">
        <f t="shared" si="75"/>
        <v>280144.8</v>
      </c>
      <c r="Q77" s="43">
        <f t="shared" si="93"/>
        <v>2179659.9707999998</v>
      </c>
      <c r="R77" s="43">
        <v>19</v>
      </c>
      <c r="S77" s="43">
        <f t="shared" si="70"/>
        <v>1556100</v>
      </c>
      <c r="T77" s="43">
        <f t="shared" si="76"/>
        <v>218863.125</v>
      </c>
      <c r="U77" s="43">
        <f t="shared" si="77"/>
        <v>42652.0458</v>
      </c>
      <c r="V77" s="43">
        <f t="shared" si="78"/>
        <v>280144.8</v>
      </c>
      <c r="W77" s="43">
        <f t="shared" si="94"/>
        <v>2097759.9707999998</v>
      </c>
      <c r="X77" s="43">
        <v>19</v>
      </c>
      <c r="Y77" s="43">
        <f t="shared" si="71"/>
        <v>1556100</v>
      </c>
      <c r="Z77" s="43">
        <f t="shared" si="79"/>
        <v>218863.125</v>
      </c>
      <c r="AA77" s="43">
        <f t="shared" si="80"/>
        <v>42652.0458</v>
      </c>
      <c r="AB77" s="43">
        <f t="shared" si="81"/>
        <v>280144.8</v>
      </c>
      <c r="AC77" s="43">
        <f t="shared" si="95"/>
        <v>2097759.9707999998</v>
      </c>
      <c r="AD77" s="43">
        <v>19</v>
      </c>
      <c r="AE77" s="43">
        <f t="shared" si="65"/>
        <v>1556100</v>
      </c>
      <c r="AF77" s="43">
        <f t="shared" si="82"/>
        <v>218863.125</v>
      </c>
      <c r="AG77" s="43">
        <f t="shared" si="83"/>
        <v>42652.0458</v>
      </c>
      <c r="AH77" s="43">
        <f t="shared" si="84"/>
        <v>280144.8</v>
      </c>
      <c r="AI77" s="43">
        <f t="shared" si="96"/>
        <v>2097759.9707999998</v>
      </c>
      <c r="AJ77" s="43">
        <v>9</v>
      </c>
      <c r="AK77" s="43">
        <f t="shared" si="66"/>
        <v>737100</v>
      </c>
      <c r="AL77" s="43">
        <f t="shared" si="97"/>
        <v>218863.125</v>
      </c>
      <c r="AM77" s="43">
        <f t="shared" si="98"/>
        <v>42652.0458</v>
      </c>
      <c r="AN77" s="43">
        <f t="shared" si="88"/>
        <v>280144.8</v>
      </c>
      <c r="AO77" s="43">
        <f t="shared" si="99"/>
        <v>1278759.9708</v>
      </c>
      <c r="AP77" s="43">
        <v>18</v>
      </c>
      <c r="AQ77" s="43">
        <f t="shared" si="67"/>
        <v>1474200</v>
      </c>
      <c r="AR77" s="43">
        <f t="shared" si="100"/>
        <v>218863.125</v>
      </c>
      <c r="AS77" s="43">
        <f t="shared" si="101"/>
        <v>42652.0458</v>
      </c>
      <c r="AT77" s="43">
        <f t="shared" si="89"/>
        <v>280144.8</v>
      </c>
      <c r="AU77" s="43">
        <f t="shared" si="102"/>
        <v>2015859.9708</v>
      </c>
      <c r="AV77" s="43">
        <v>19</v>
      </c>
      <c r="AW77" s="43">
        <f t="shared" si="72"/>
        <v>1556100</v>
      </c>
      <c r="AX77" s="43">
        <f t="shared" si="103"/>
        <v>218863.125</v>
      </c>
      <c r="AY77" s="43">
        <f t="shared" si="104"/>
        <v>42652.0458</v>
      </c>
      <c r="AZ77" s="43">
        <f t="shared" si="90"/>
        <v>280144.8</v>
      </c>
      <c r="BA77" s="43">
        <f t="shared" si="105"/>
        <v>2097759.9707999998</v>
      </c>
    </row>
    <row r="78" spans="1:53" s="37" customFormat="1" x14ac:dyDescent="0.25">
      <c r="A78" s="35" t="s">
        <v>65</v>
      </c>
      <c r="B78" s="36">
        <v>1</v>
      </c>
      <c r="C78" s="36">
        <v>68</v>
      </c>
      <c r="D78" s="36">
        <v>0</v>
      </c>
      <c r="E78" s="36">
        <f t="shared" si="91"/>
        <v>68</v>
      </c>
      <c r="F78" s="36">
        <v>10</v>
      </c>
      <c r="G78" s="43">
        <f t="shared" si="64"/>
        <v>819000</v>
      </c>
      <c r="H78" s="43">
        <f t="shared" si="85"/>
        <v>94840.6875</v>
      </c>
      <c r="I78" s="43">
        <f t="shared" si="86"/>
        <v>18482.553179999999</v>
      </c>
      <c r="J78" s="43">
        <f t="shared" si="87"/>
        <v>121396.08</v>
      </c>
      <c r="K78" s="43">
        <f t="shared" si="92"/>
        <v>1053719.3206800001</v>
      </c>
      <c r="L78" s="43">
        <v>20</v>
      </c>
      <c r="M78" s="43">
        <f t="shared" si="69"/>
        <v>1638000</v>
      </c>
      <c r="N78" s="43">
        <f t="shared" si="73"/>
        <v>218863.125</v>
      </c>
      <c r="O78" s="43">
        <f t="shared" si="74"/>
        <v>42652.0458</v>
      </c>
      <c r="P78" s="43">
        <f t="shared" si="75"/>
        <v>280144.8</v>
      </c>
      <c r="Q78" s="43">
        <f t="shared" si="93"/>
        <v>2179659.9707999998</v>
      </c>
      <c r="R78" s="43">
        <v>19</v>
      </c>
      <c r="S78" s="43">
        <f t="shared" si="70"/>
        <v>1556100</v>
      </c>
      <c r="T78" s="43">
        <f t="shared" si="76"/>
        <v>218863.125</v>
      </c>
      <c r="U78" s="43">
        <f t="shared" si="77"/>
        <v>42652.0458</v>
      </c>
      <c r="V78" s="43">
        <f t="shared" si="78"/>
        <v>280144.8</v>
      </c>
      <c r="W78" s="43">
        <f t="shared" si="94"/>
        <v>2097759.9707999998</v>
      </c>
      <c r="X78" s="43">
        <v>19</v>
      </c>
      <c r="Y78" s="43">
        <f t="shared" si="71"/>
        <v>1556100</v>
      </c>
      <c r="Z78" s="43">
        <f t="shared" si="79"/>
        <v>218863.125</v>
      </c>
      <c r="AA78" s="43">
        <f t="shared" si="80"/>
        <v>42652.0458</v>
      </c>
      <c r="AB78" s="43">
        <f t="shared" si="81"/>
        <v>280144.8</v>
      </c>
      <c r="AC78" s="43">
        <f t="shared" si="95"/>
        <v>2097759.9707999998</v>
      </c>
      <c r="AD78" s="43">
        <v>19</v>
      </c>
      <c r="AE78" s="43">
        <f t="shared" si="65"/>
        <v>1556100</v>
      </c>
      <c r="AF78" s="43">
        <f t="shared" si="82"/>
        <v>218863.125</v>
      </c>
      <c r="AG78" s="43">
        <f t="shared" si="83"/>
        <v>42652.0458</v>
      </c>
      <c r="AH78" s="43">
        <f t="shared" si="84"/>
        <v>280144.8</v>
      </c>
      <c r="AI78" s="43">
        <f t="shared" si="96"/>
        <v>2097759.9707999998</v>
      </c>
      <c r="AJ78" s="43">
        <v>9</v>
      </c>
      <c r="AK78" s="43">
        <f t="shared" si="66"/>
        <v>737100</v>
      </c>
      <c r="AL78" s="43">
        <f t="shared" si="97"/>
        <v>218863.125</v>
      </c>
      <c r="AM78" s="43">
        <f t="shared" si="98"/>
        <v>42652.0458</v>
      </c>
      <c r="AN78" s="43">
        <f t="shared" si="88"/>
        <v>280144.8</v>
      </c>
      <c r="AO78" s="43">
        <f t="shared" si="99"/>
        <v>1278759.9708</v>
      </c>
      <c r="AP78" s="43">
        <v>18</v>
      </c>
      <c r="AQ78" s="43">
        <f t="shared" si="67"/>
        <v>1474200</v>
      </c>
      <c r="AR78" s="43">
        <f t="shared" si="100"/>
        <v>218863.125</v>
      </c>
      <c r="AS78" s="43">
        <f t="shared" si="101"/>
        <v>42652.0458</v>
      </c>
      <c r="AT78" s="43">
        <f t="shared" si="89"/>
        <v>280144.8</v>
      </c>
      <c r="AU78" s="43">
        <f t="shared" si="102"/>
        <v>2015859.9708</v>
      </c>
      <c r="AV78" s="43">
        <v>19</v>
      </c>
      <c r="AW78" s="43">
        <f t="shared" si="72"/>
        <v>1556100</v>
      </c>
      <c r="AX78" s="43">
        <f t="shared" si="103"/>
        <v>218863.125</v>
      </c>
      <c r="AY78" s="43">
        <f t="shared" si="104"/>
        <v>42652.0458</v>
      </c>
      <c r="AZ78" s="43">
        <f t="shared" si="90"/>
        <v>280144.8</v>
      </c>
      <c r="BA78" s="43">
        <f t="shared" si="105"/>
        <v>2097759.9707999998</v>
      </c>
    </row>
    <row r="79" spans="1:53" s="37" customFormat="1" ht="30" x14ac:dyDescent="0.25">
      <c r="A79" s="35" t="s">
        <v>66</v>
      </c>
      <c r="B79" s="36">
        <v>2</v>
      </c>
      <c r="C79" s="36">
        <v>234</v>
      </c>
      <c r="D79" s="36">
        <v>0</v>
      </c>
      <c r="E79" s="36">
        <f t="shared" si="91"/>
        <v>234</v>
      </c>
      <c r="F79" s="36">
        <v>10</v>
      </c>
      <c r="G79" s="43">
        <f t="shared" si="64"/>
        <v>819000</v>
      </c>
      <c r="H79" s="43">
        <f t="shared" si="85"/>
        <v>94840.6875</v>
      </c>
      <c r="I79" s="43">
        <f t="shared" si="86"/>
        <v>18482.553179999999</v>
      </c>
      <c r="J79" s="43">
        <f t="shared" si="87"/>
        <v>121396.08</v>
      </c>
      <c r="K79" s="43">
        <f t="shared" si="92"/>
        <v>2107438.6413600002</v>
      </c>
      <c r="L79" s="43">
        <v>20</v>
      </c>
      <c r="M79" s="43">
        <f t="shared" si="69"/>
        <v>1638000</v>
      </c>
      <c r="N79" s="43">
        <f t="shared" si="73"/>
        <v>218863.125</v>
      </c>
      <c r="O79" s="43">
        <f t="shared" si="74"/>
        <v>42652.0458</v>
      </c>
      <c r="P79" s="43">
        <f t="shared" si="75"/>
        <v>280144.8</v>
      </c>
      <c r="Q79" s="43">
        <f t="shared" si="93"/>
        <v>4359319.9415999996</v>
      </c>
      <c r="R79" s="43">
        <v>19</v>
      </c>
      <c r="S79" s="43">
        <f t="shared" si="70"/>
        <v>1556100</v>
      </c>
      <c r="T79" s="43">
        <f t="shared" si="76"/>
        <v>218863.125</v>
      </c>
      <c r="U79" s="43">
        <f t="shared" si="77"/>
        <v>42652.0458</v>
      </c>
      <c r="V79" s="43">
        <f t="shared" si="78"/>
        <v>280144.8</v>
      </c>
      <c r="W79" s="43">
        <f t="shared" si="94"/>
        <v>4195519.9415999996</v>
      </c>
      <c r="X79" s="43">
        <v>19</v>
      </c>
      <c r="Y79" s="43">
        <f t="shared" si="71"/>
        <v>1556100</v>
      </c>
      <c r="Z79" s="43">
        <f t="shared" si="79"/>
        <v>218863.125</v>
      </c>
      <c r="AA79" s="43">
        <f t="shared" si="80"/>
        <v>42652.0458</v>
      </c>
      <c r="AB79" s="43">
        <f t="shared" si="81"/>
        <v>280144.8</v>
      </c>
      <c r="AC79" s="43">
        <f t="shared" si="95"/>
        <v>4195519.9415999996</v>
      </c>
      <c r="AD79" s="43">
        <v>19</v>
      </c>
      <c r="AE79" s="43">
        <f t="shared" si="65"/>
        <v>1556100</v>
      </c>
      <c r="AF79" s="43">
        <f t="shared" si="82"/>
        <v>218863.125</v>
      </c>
      <c r="AG79" s="43">
        <f t="shared" si="83"/>
        <v>42652.0458</v>
      </c>
      <c r="AH79" s="43">
        <f t="shared" si="84"/>
        <v>280144.8</v>
      </c>
      <c r="AI79" s="43">
        <f t="shared" si="96"/>
        <v>4195519.9415999996</v>
      </c>
      <c r="AJ79" s="43">
        <v>9</v>
      </c>
      <c r="AK79" s="43">
        <f t="shared" si="66"/>
        <v>737100</v>
      </c>
      <c r="AL79" s="43">
        <f t="shared" si="97"/>
        <v>218863.125</v>
      </c>
      <c r="AM79" s="43">
        <f t="shared" si="98"/>
        <v>42652.0458</v>
      </c>
      <c r="AN79" s="43">
        <f t="shared" si="88"/>
        <v>280144.8</v>
      </c>
      <c r="AO79" s="43">
        <f t="shared" si="99"/>
        <v>2557519.9416</v>
      </c>
      <c r="AP79" s="43">
        <v>18</v>
      </c>
      <c r="AQ79" s="43">
        <f t="shared" si="67"/>
        <v>1474200</v>
      </c>
      <c r="AR79" s="43">
        <f t="shared" si="100"/>
        <v>218863.125</v>
      </c>
      <c r="AS79" s="43">
        <f t="shared" si="101"/>
        <v>42652.0458</v>
      </c>
      <c r="AT79" s="43">
        <f t="shared" si="89"/>
        <v>280144.8</v>
      </c>
      <c r="AU79" s="43">
        <f t="shared" si="102"/>
        <v>4031719.9416</v>
      </c>
      <c r="AV79" s="43">
        <v>19</v>
      </c>
      <c r="AW79" s="43">
        <f t="shared" si="72"/>
        <v>1556100</v>
      </c>
      <c r="AX79" s="43">
        <f t="shared" si="103"/>
        <v>218863.125</v>
      </c>
      <c r="AY79" s="43">
        <f t="shared" si="104"/>
        <v>42652.0458</v>
      </c>
      <c r="AZ79" s="43">
        <f t="shared" si="90"/>
        <v>280144.8</v>
      </c>
      <c r="BA79" s="43">
        <f t="shared" si="105"/>
        <v>4195519.9415999996</v>
      </c>
    </row>
    <row r="80" spans="1:53" s="37" customFormat="1" x14ac:dyDescent="0.25">
      <c r="A80" s="35" t="s">
        <v>67</v>
      </c>
      <c r="B80" s="36">
        <v>2</v>
      </c>
      <c r="C80" s="36">
        <v>329</v>
      </c>
      <c r="D80" s="36">
        <v>0</v>
      </c>
      <c r="E80" s="36">
        <f t="shared" si="91"/>
        <v>329</v>
      </c>
      <c r="F80" s="36">
        <v>10</v>
      </c>
      <c r="G80" s="43">
        <f t="shared" si="64"/>
        <v>819000</v>
      </c>
      <c r="H80" s="43">
        <f t="shared" si="85"/>
        <v>94840.6875</v>
      </c>
      <c r="I80" s="43">
        <f t="shared" si="86"/>
        <v>18482.553179999999</v>
      </c>
      <c r="J80" s="43">
        <f t="shared" si="87"/>
        <v>121396.08</v>
      </c>
      <c r="K80" s="43">
        <f t="shared" si="92"/>
        <v>2107438.6413600002</v>
      </c>
      <c r="L80" s="43">
        <v>20</v>
      </c>
      <c r="M80" s="43">
        <f t="shared" si="69"/>
        <v>1638000</v>
      </c>
      <c r="N80" s="43">
        <f t="shared" si="73"/>
        <v>218863.125</v>
      </c>
      <c r="O80" s="43">
        <f t="shared" si="74"/>
        <v>42652.0458</v>
      </c>
      <c r="P80" s="43">
        <f t="shared" si="75"/>
        <v>280144.8</v>
      </c>
      <c r="Q80" s="43">
        <f t="shared" si="93"/>
        <v>4359319.9415999996</v>
      </c>
      <c r="R80" s="43">
        <v>19</v>
      </c>
      <c r="S80" s="43">
        <f t="shared" si="70"/>
        <v>1556100</v>
      </c>
      <c r="T80" s="43">
        <f t="shared" si="76"/>
        <v>218863.125</v>
      </c>
      <c r="U80" s="43">
        <f t="shared" si="77"/>
        <v>42652.0458</v>
      </c>
      <c r="V80" s="43">
        <f t="shared" si="78"/>
        <v>280144.8</v>
      </c>
      <c r="W80" s="43">
        <f t="shared" si="94"/>
        <v>4195519.9415999996</v>
      </c>
      <c r="X80" s="43">
        <v>19</v>
      </c>
      <c r="Y80" s="43">
        <f t="shared" si="71"/>
        <v>1556100</v>
      </c>
      <c r="Z80" s="43">
        <f t="shared" si="79"/>
        <v>218863.125</v>
      </c>
      <c r="AA80" s="43">
        <f t="shared" si="80"/>
        <v>42652.0458</v>
      </c>
      <c r="AB80" s="43">
        <f t="shared" si="81"/>
        <v>280144.8</v>
      </c>
      <c r="AC80" s="43">
        <f t="shared" si="95"/>
        <v>4195519.9415999996</v>
      </c>
      <c r="AD80" s="43">
        <v>19</v>
      </c>
      <c r="AE80" s="43">
        <f t="shared" si="65"/>
        <v>1556100</v>
      </c>
      <c r="AF80" s="43">
        <f t="shared" si="82"/>
        <v>218863.125</v>
      </c>
      <c r="AG80" s="43">
        <f t="shared" si="83"/>
        <v>42652.0458</v>
      </c>
      <c r="AH80" s="43">
        <f t="shared" si="84"/>
        <v>280144.8</v>
      </c>
      <c r="AI80" s="43">
        <f t="shared" si="96"/>
        <v>4195519.9415999996</v>
      </c>
      <c r="AJ80" s="43">
        <v>9</v>
      </c>
      <c r="AK80" s="43">
        <f t="shared" si="66"/>
        <v>737100</v>
      </c>
      <c r="AL80" s="43">
        <f t="shared" si="97"/>
        <v>218863.125</v>
      </c>
      <c r="AM80" s="43">
        <f t="shared" si="98"/>
        <v>42652.0458</v>
      </c>
      <c r="AN80" s="43">
        <f t="shared" si="88"/>
        <v>280144.8</v>
      </c>
      <c r="AO80" s="43">
        <f t="shared" si="99"/>
        <v>2557519.9416</v>
      </c>
      <c r="AP80" s="43">
        <v>18</v>
      </c>
      <c r="AQ80" s="43">
        <f t="shared" si="67"/>
        <v>1474200</v>
      </c>
      <c r="AR80" s="43">
        <f t="shared" si="100"/>
        <v>218863.125</v>
      </c>
      <c r="AS80" s="43">
        <f t="shared" si="101"/>
        <v>42652.0458</v>
      </c>
      <c r="AT80" s="43">
        <f t="shared" si="89"/>
        <v>280144.8</v>
      </c>
      <c r="AU80" s="43">
        <f t="shared" si="102"/>
        <v>4031719.9416</v>
      </c>
      <c r="AV80" s="43">
        <v>19</v>
      </c>
      <c r="AW80" s="43">
        <f t="shared" si="72"/>
        <v>1556100</v>
      </c>
      <c r="AX80" s="43">
        <f t="shared" si="103"/>
        <v>218863.125</v>
      </c>
      <c r="AY80" s="43">
        <f t="shared" si="104"/>
        <v>42652.0458</v>
      </c>
      <c r="AZ80" s="43">
        <f t="shared" si="90"/>
        <v>280144.8</v>
      </c>
      <c r="BA80" s="43">
        <f t="shared" si="105"/>
        <v>4195519.9415999996</v>
      </c>
    </row>
    <row r="81" spans="1:53" s="37" customFormat="1" x14ac:dyDescent="0.25">
      <c r="A81" s="35" t="s">
        <v>82</v>
      </c>
      <c r="B81" s="36">
        <v>1</v>
      </c>
      <c r="C81" s="36">
        <v>44</v>
      </c>
      <c r="D81" s="36">
        <v>0</v>
      </c>
      <c r="E81" s="36">
        <f t="shared" si="91"/>
        <v>44</v>
      </c>
      <c r="F81" s="36">
        <v>10</v>
      </c>
      <c r="G81" s="43">
        <f t="shared" si="64"/>
        <v>819000</v>
      </c>
      <c r="H81" s="43">
        <f t="shared" si="85"/>
        <v>94840.6875</v>
      </c>
      <c r="I81" s="43">
        <f t="shared" si="86"/>
        <v>18482.553179999999</v>
      </c>
      <c r="J81" s="43">
        <f t="shared" si="87"/>
        <v>121396.08</v>
      </c>
      <c r="K81" s="43">
        <f t="shared" si="92"/>
        <v>1053719.3206800001</v>
      </c>
      <c r="L81" s="43">
        <v>20</v>
      </c>
      <c r="M81" s="43">
        <f t="shared" si="69"/>
        <v>1638000</v>
      </c>
      <c r="N81" s="43">
        <f t="shared" si="73"/>
        <v>218863.125</v>
      </c>
      <c r="O81" s="43">
        <f t="shared" si="74"/>
        <v>42652.0458</v>
      </c>
      <c r="P81" s="43">
        <f t="shared" si="75"/>
        <v>280144.8</v>
      </c>
      <c r="Q81" s="43">
        <f t="shared" si="93"/>
        <v>2179659.9707999998</v>
      </c>
      <c r="R81" s="43">
        <v>19</v>
      </c>
      <c r="S81" s="43">
        <f t="shared" si="70"/>
        <v>1556100</v>
      </c>
      <c r="T81" s="43">
        <f t="shared" si="76"/>
        <v>218863.125</v>
      </c>
      <c r="U81" s="43">
        <f t="shared" si="77"/>
        <v>42652.0458</v>
      </c>
      <c r="V81" s="43">
        <f t="shared" si="78"/>
        <v>280144.8</v>
      </c>
      <c r="W81" s="43">
        <f t="shared" si="94"/>
        <v>2097759.9707999998</v>
      </c>
      <c r="X81" s="43">
        <v>19</v>
      </c>
      <c r="Y81" s="43">
        <f t="shared" si="71"/>
        <v>1556100</v>
      </c>
      <c r="Z81" s="43">
        <f t="shared" si="79"/>
        <v>218863.125</v>
      </c>
      <c r="AA81" s="43">
        <f t="shared" si="80"/>
        <v>42652.0458</v>
      </c>
      <c r="AB81" s="43">
        <f t="shared" si="81"/>
        <v>280144.8</v>
      </c>
      <c r="AC81" s="43">
        <f t="shared" si="95"/>
        <v>2097759.9707999998</v>
      </c>
      <c r="AD81" s="43">
        <v>19</v>
      </c>
      <c r="AE81" s="43">
        <f t="shared" si="65"/>
        <v>1556100</v>
      </c>
      <c r="AF81" s="43">
        <f t="shared" si="82"/>
        <v>218863.125</v>
      </c>
      <c r="AG81" s="43">
        <f t="shared" si="83"/>
        <v>42652.0458</v>
      </c>
      <c r="AH81" s="43">
        <f t="shared" si="84"/>
        <v>280144.8</v>
      </c>
      <c r="AI81" s="43">
        <f t="shared" si="96"/>
        <v>2097759.9707999998</v>
      </c>
      <c r="AJ81" s="43">
        <v>9</v>
      </c>
      <c r="AK81" s="43">
        <f t="shared" si="66"/>
        <v>737100</v>
      </c>
      <c r="AL81" s="43">
        <f t="shared" si="97"/>
        <v>218863.125</v>
      </c>
      <c r="AM81" s="43">
        <f t="shared" si="98"/>
        <v>42652.0458</v>
      </c>
      <c r="AN81" s="43">
        <f t="shared" si="88"/>
        <v>280144.8</v>
      </c>
      <c r="AO81" s="43">
        <f t="shared" si="99"/>
        <v>1278759.9708</v>
      </c>
      <c r="AP81" s="43">
        <v>18</v>
      </c>
      <c r="AQ81" s="43">
        <f t="shared" si="67"/>
        <v>1474200</v>
      </c>
      <c r="AR81" s="43">
        <f t="shared" si="100"/>
        <v>218863.125</v>
      </c>
      <c r="AS81" s="43">
        <f t="shared" si="101"/>
        <v>42652.0458</v>
      </c>
      <c r="AT81" s="43">
        <f t="shared" si="89"/>
        <v>280144.8</v>
      </c>
      <c r="AU81" s="43">
        <f t="shared" si="102"/>
        <v>2015859.9708</v>
      </c>
      <c r="AV81" s="43">
        <v>19</v>
      </c>
      <c r="AW81" s="43">
        <f t="shared" si="72"/>
        <v>1556100</v>
      </c>
      <c r="AX81" s="43">
        <f t="shared" si="103"/>
        <v>218863.125</v>
      </c>
      <c r="AY81" s="43">
        <f t="shared" si="104"/>
        <v>42652.0458</v>
      </c>
      <c r="AZ81" s="43">
        <f t="shared" si="90"/>
        <v>280144.8</v>
      </c>
      <c r="BA81" s="43">
        <f t="shared" si="105"/>
        <v>2097759.9707999998</v>
      </c>
    </row>
    <row r="82" spans="1:53" s="37" customFormat="1" ht="30" x14ac:dyDescent="0.25">
      <c r="A82" s="35" t="s">
        <v>77</v>
      </c>
      <c r="B82" s="36">
        <v>4</v>
      </c>
      <c r="C82" s="36">
        <v>677</v>
      </c>
      <c r="D82" s="36">
        <v>0</v>
      </c>
      <c r="E82" s="36">
        <f t="shared" si="91"/>
        <v>677</v>
      </c>
      <c r="F82" s="36">
        <v>10</v>
      </c>
      <c r="G82" s="43">
        <f t="shared" si="64"/>
        <v>819000</v>
      </c>
      <c r="H82" s="43">
        <f t="shared" si="85"/>
        <v>94840.6875</v>
      </c>
      <c r="I82" s="43">
        <f t="shared" si="86"/>
        <v>18482.553179999999</v>
      </c>
      <c r="J82" s="43">
        <f t="shared" si="87"/>
        <v>121396.08</v>
      </c>
      <c r="K82" s="43">
        <f t="shared" si="92"/>
        <v>4214877.2827200005</v>
      </c>
      <c r="L82" s="43">
        <v>20</v>
      </c>
      <c r="M82" s="43">
        <f t="shared" si="69"/>
        <v>1638000</v>
      </c>
      <c r="N82" s="43">
        <f t="shared" si="73"/>
        <v>218863.125</v>
      </c>
      <c r="O82" s="43">
        <f t="shared" si="74"/>
        <v>42652.0458</v>
      </c>
      <c r="P82" s="43">
        <f t="shared" si="75"/>
        <v>280144.8</v>
      </c>
      <c r="Q82" s="43">
        <f t="shared" si="93"/>
        <v>8718639.8831999991</v>
      </c>
      <c r="R82" s="43">
        <v>19</v>
      </c>
      <c r="S82" s="43">
        <f t="shared" si="70"/>
        <v>1556100</v>
      </c>
      <c r="T82" s="43">
        <f t="shared" si="76"/>
        <v>218863.125</v>
      </c>
      <c r="U82" s="43">
        <f t="shared" si="77"/>
        <v>42652.0458</v>
      </c>
      <c r="V82" s="43">
        <f t="shared" si="78"/>
        <v>280144.8</v>
      </c>
      <c r="W82" s="43">
        <f t="shared" si="94"/>
        <v>8391039.8831999991</v>
      </c>
      <c r="X82" s="43">
        <v>19</v>
      </c>
      <c r="Y82" s="43">
        <f t="shared" si="71"/>
        <v>1556100</v>
      </c>
      <c r="Z82" s="43">
        <f t="shared" si="79"/>
        <v>218863.125</v>
      </c>
      <c r="AA82" s="43">
        <f t="shared" si="80"/>
        <v>42652.0458</v>
      </c>
      <c r="AB82" s="43">
        <f t="shared" si="81"/>
        <v>280144.8</v>
      </c>
      <c r="AC82" s="43">
        <f t="shared" si="95"/>
        <v>8391039.8831999991</v>
      </c>
      <c r="AD82" s="43">
        <v>19</v>
      </c>
      <c r="AE82" s="43">
        <f t="shared" si="65"/>
        <v>1556100</v>
      </c>
      <c r="AF82" s="43">
        <f t="shared" si="82"/>
        <v>218863.125</v>
      </c>
      <c r="AG82" s="43">
        <f t="shared" si="83"/>
        <v>42652.0458</v>
      </c>
      <c r="AH82" s="43">
        <f t="shared" si="84"/>
        <v>280144.8</v>
      </c>
      <c r="AI82" s="43">
        <f t="shared" si="96"/>
        <v>8391039.8831999991</v>
      </c>
      <c r="AJ82" s="43">
        <v>9</v>
      </c>
      <c r="AK82" s="43">
        <f t="shared" si="66"/>
        <v>737100</v>
      </c>
      <c r="AL82" s="43">
        <f t="shared" si="97"/>
        <v>218863.125</v>
      </c>
      <c r="AM82" s="43">
        <f t="shared" si="98"/>
        <v>42652.0458</v>
      </c>
      <c r="AN82" s="43">
        <f t="shared" si="88"/>
        <v>280144.8</v>
      </c>
      <c r="AO82" s="43">
        <f t="shared" si="99"/>
        <v>5115039.8832</v>
      </c>
      <c r="AP82" s="43">
        <v>18</v>
      </c>
      <c r="AQ82" s="43">
        <f t="shared" si="67"/>
        <v>1474200</v>
      </c>
      <c r="AR82" s="43">
        <f t="shared" si="100"/>
        <v>218863.125</v>
      </c>
      <c r="AS82" s="43">
        <f t="shared" si="101"/>
        <v>42652.0458</v>
      </c>
      <c r="AT82" s="43">
        <f t="shared" si="89"/>
        <v>280144.8</v>
      </c>
      <c r="AU82" s="43">
        <f t="shared" si="102"/>
        <v>8063439.8832</v>
      </c>
      <c r="AV82" s="43">
        <v>19</v>
      </c>
      <c r="AW82" s="43">
        <f t="shared" si="72"/>
        <v>1556100</v>
      </c>
      <c r="AX82" s="43">
        <f t="shared" si="103"/>
        <v>218863.125</v>
      </c>
      <c r="AY82" s="43">
        <f t="shared" si="104"/>
        <v>42652.0458</v>
      </c>
      <c r="AZ82" s="43">
        <f t="shared" si="90"/>
        <v>280144.8</v>
      </c>
      <c r="BA82" s="43">
        <f t="shared" si="105"/>
        <v>8391039.8831999991</v>
      </c>
    </row>
    <row r="83" spans="1:53" s="37" customFormat="1" ht="30" x14ac:dyDescent="0.25">
      <c r="A83" s="35" t="s">
        <v>94</v>
      </c>
      <c r="B83" s="36">
        <v>4</v>
      </c>
      <c r="C83" s="36">
        <v>342</v>
      </c>
      <c r="D83" s="36">
        <v>0</v>
      </c>
      <c r="E83" s="36">
        <f t="shared" si="91"/>
        <v>342</v>
      </c>
      <c r="F83" s="36">
        <v>10</v>
      </c>
      <c r="G83" s="43">
        <f t="shared" si="64"/>
        <v>819000</v>
      </c>
      <c r="H83" s="43">
        <f t="shared" si="85"/>
        <v>94840.6875</v>
      </c>
      <c r="I83" s="43">
        <f t="shared" si="86"/>
        <v>18482.553179999999</v>
      </c>
      <c r="J83" s="43">
        <f t="shared" si="87"/>
        <v>121396.08</v>
      </c>
      <c r="K83" s="43">
        <f t="shared" si="92"/>
        <v>4214877.2827200005</v>
      </c>
      <c r="L83" s="43">
        <v>20</v>
      </c>
      <c r="M83" s="43">
        <f t="shared" si="69"/>
        <v>1638000</v>
      </c>
      <c r="N83" s="43">
        <f t="shared" si="73"/>
        <v>218863.125</v>
      </c>
      <c r="O83" s="43">
        <f t="shared" si="74"/>
        <v>42652.0458</v>
      </c>
      <c r="P83" s="43">
        <f t="shared" si="75"/>
        <v>280144.8</v>
      </c>
      <c r="Q83" s="43">
        <f t="shared" si="93"/>
        <v>8718639.8831999991</v>
      </c>
      <c r="R83" s="43">
        <v>19</v>
      </c>
      <c r="S83" s="43">
        <f>$C$6*R83</f>
        <v>1556100</v>
      </c>
      <c r="T83" s="43">
        <f t="shared" si="76"/>
        <v>218863.125</v>
      </c>
      <c r="U83" s="43">
        <f t="shared" si="77"/>
        <v>42652.0458</v>
      </c>
      <c r="V83" s="43">
        <f t="shared" si="78"/>
        <v>280144.8</v>
      </c>
      <c r="W83" s="43">
        <f t="shared" si="94"/>
        <v>8391039.8831999991</v>
      </c>
      <c r="X83" s="43">
        <v>19</v>
      </c>
      <c r="Y83" s="43">
        <f t="shared" si="71"/>
        <v>1556100</v>
      </c>
      <c r="Z83" s="43">
        <f t="shared" si="79"/>
        <v>218863.125</v>
      </c>
      <c r="AA83" s="43">
        <f t="shared" si="80"/>
        <v>42652.0458</v>
      </c>
      <c r="AB83" s="43">
        <f t="shared" si="81"/>
        <v>280144.8</v>
      </c>
      <c r="AC83" s="43">
        <f t="shared" si="95"/>
        <v>8391039.8831999991</v>
      </c>
      <c r="AD83" s="43">
        <v>19</v>
      </c>
      <c r="AE83" s="43">
        <f t="shared" si="65"/>
        <v>1556100</v>
      </c>
      <c r="AF83" s="43">
        <f t="shared" si="82"/>
        <v>218863.125</v>
      </c>
      <c r="AG83" s="43">
        <f t="shared" si="83"/>
        <v>42652.0458</v>
      </c>
      <c r="AH83" s="43">
        <f t="shared" si="84"/>
        <v>280144.8</v>
      </c>
      <c r="AI83" s="43">
        <f t="shared" si="96"/>
        <v>8391039.8831999991</v>
      </c>
      <c r="AJ83" s="43">
        <v>9</v>
      </c>
      <c r="AK83" s="43">
        <f t="shared" si="66"/>
        <v>737100</v>
      </c>
      <c r="AL83" s="43">
        <f t="shared" si="97"/>
        <v>218863.125</v>
      </c>
      <c r="AM83" s="43">
        <f t="shared" si="98"/>
        <v>42652.0458</v>
      </c>
      <c r="AN83" s="43">
        <f t="shared" si="88"/>
        <v>280144.8</v>
      </c>
      <c r="AO83" s="43">
        <f t="shared" si="99"/>
        <v>5115039.8832</v>
      </c>
      <c r="AP83" s="43">
        <v>18</v>
      </c>
      <c r="AQ83" s="43">
        <f t="shared" si="67"/>
        <v>1474200</v>
      </c>
      <c r="AR83" s="43">
        <f t="shared" si="100"/>
        <v>218863.125</v>
      </c>
      <c r="AS83" s="43">
        <f t="shared" si="101"/>
        <v>42652.0458</v>
      </c>
      <c r="AT83" s="43">
        <f t="shared" si="89"/>
        <v>280144.8</v>
      </c>
      <c r="AU83" s="43">
        <f t="shared" si="102"/>
        <v>8063439.8832</v>
      </c>
      <c r="AV83" s="43">
        <v>19</v>
      </c>
      <c r="AW83" s="43">
        <f t="shared" si="72"/>
        <v>1556100</v>
      </c>
      <c r="AX83" s="43">
        <f t="shared" si="103"/>
        <v>218863.125</v>
      </c>
      <c r="AY83" s="43">
        <f t="shared" si="104"/>
        <v>42652.0458</v>
      </c>
      <c r="AZ83" s="43">
        <f t="shared" si="90"/>
        <v>280144.8</v>
      </c>
      <c r="BA83" s="43">
        <f t="shared" si="105"/>
        <v>8391039.8831999991</v>
      </c>
    </row>
    <row r="84" spans="1:53" s="37" customFormat="1" ht="30" x14ac:dyDescent="0.25">
      <c r="A84" s="35" t="s">
        <v>95</v>
      </c>
      <c r="B84" s="36">
        <v>1</v>
      </c>
      <c r="C84" s="36">
        <v>53</v>
      </c>
      <c r="D84" s="36">
        <v>0</v>
      </c>
      <c r="E84" s="36">
        <f t="shared" si="91"/>
        <v>53</v>
      </c>
      <c r="F84" s="36">
        <v>10</v>
      </c>
      <c r="G84" s="43">
        <f t="shared" si="64"/>
        <v>819000</v>
      </c>
      <c r="H84" s="43">
        <f t="shared" si="85"/>
        <v>94840.6875</v>
      </c>
      <c r="I84" s="43">
        <f t="shared" si="86"/>
        <v>18482.553179999999</v>
      </c>
      <c r="J84" s="43">
        <f t="shared" si="87"/>
        <v>121396.08</v>
      </c>
      <c r="K84" s="43">
        <f t="shared" si="92"/>
        <v>1053719.3206800001</v>
      </c>
      <c r="L84" s="43">
        <v>20</v>
      </c>
      <c r="M84" s="43">
        <f t="shared" si="69"/>
        <v>1638000</v>
      </c>
      <c r="N84" s="43">
        <f t="shared" si="73"/>
        <v>218863.125</v>
      </c>
      <c r="O84" s="43">
        <f t="shared" si="74"/>
        <v>42652.0458</v>
      </c>
      <c r="P84" s="43">
        <f t="shared" si="75"/>
        <v>280144.8</v>
      </c>
      <c r="Q84" s="43">
        <f t="shared" si="93"/>
        <v>2179659.9707999998</v>
      </c>
      <c r="R84" s="43">
        <v>19</v>
      </c>
      <c r="S84" s="43">
        <f t="shared" si="70"/>
        <v>1556100</v>
      </c>
      <c r="T84" s="43">
        <f t="shared" si="76"/>
        <v>218863.125</v>
      </c>
      <c r="U84" s="43">
        <f t="shared" si="77"/>
        <v>42652.0458</v>
      </c>
      <c r="V84" s="43">
        <f t="shared" si="78"/>
        <v>280144.8</v>
      </c>
      <c r="W84" s="43">
        <f t="shared" si="94"/>
        <v>2097759.9707999998</v>
      </c>
      <c r="X84" s="43">
        <v>19</v>
      </c>
      <c r="Y84" s="43">
        <f t="shared" si="71"/>
        <v>1556100</v>
      </c>
      <c r="Z84" s="43">
        <f t="shared" si="79"/>
        <v>218863.125</v>
      </c>
      <c r="AA84" s="43">
        <f t="shared" si="80"/>
        <v>42652.0458</v>
      </c>
      <c r="AB84" s="43">
        <f t="shared" si="81"/>
        <v>280144.8</v>
      </c>
      <c r="AC84" s="43">
        <f t="shared" si="95"/>
        <v>2097759.9707999998</v>
      </c>
      <c r="AD84" s="43">
        <v>19</v>
      </c>
      <c r="AE84" s="43">
        <f t="shared" si="65"/>
        <v>1556100</v>
      </c>
      <c r="AF84" s="43">
        <f t="shared" si="82"/>
        <v>218863.125</v>
      </c>
      <c r="AG84" s="43">
        <f t="shared" si="83"/>
        <v>42652.0458</v>
      </c>
      <c r="AH84" s="43">
        <f t="shared" si="84"/>
        <v>280144.8</v>
      </c>
      <c r="AI84" s="43">
        <f t="shared" si="96"/>
        <v>2097759.9707999998</v>
      </c>
      <c r="AJ84" s="43">
        <v>9</v>
      </c>
      <c r="AK84" s="43">
        <f t="shared" si="66"/>
        <v>737100</v>
      </c>
      <c r="AL84" s="43">
        <f t="shared" si="97"/>
        <v>218863.125</v>
      </c>
      <c r="AM84" s="43">
        <f t="shared" si="98"/>
        <v>42652.0458</v>
      </c>
      <c r="AN84" s="43">
        <f t="shared" si="88"/>
        <v>280144.8</v>
      </c>
      <c r="AO84" s="43">
        <f t="shared" si="99"/>
        <v>1278759.9708</v>
      </c>
      <c r="AP84" s="43">
        <v>18</v>
      </c>
      <c r="AQ84" s="43">
        <f t="shared" si="67"/>
        <v>1474200</v>
      </c>
      <c r="AR84" s="43">
        <f t="shared" si="100"/>
        <v>218863.125</v>
      </c>
      <c r="AS84" s="43">
        <f t="shared" si="101"/>
        <v>42652.0458</v>
      </c>
      <c r="AT84" s="43">
        <f t="shared" si="89"/>
        <v>280144.8</v>
      </c>
      <c r="AU84" s="43">
        <f t="shared" si="102"/>
        <v>2015859.9708</v>
      </c>
      <c r="AV84" s="43">
        <v>19</v>
      </c>
      <c r="AW84" s="43">
        <f t="shared" si="72"/>
        <v>1556100</v>
      </c>
      <c r="AX84" s="43">
        <f t="shared" si="103"/>
        <v>218863.125</v>
      </c>
      <c r="AY84" s="43">
        <f t="shared" si="104"/>
        <v>42652.0458</v>
      </c>
      <c r="AZ84" s="43">
        <f t="shared" si="90"/>
        <v>280144.8</v>
      </c>
      <c r="BA84" s="43">
        <f t="shared" si="105"/>
        <v>2097759.9707999998</v>
      </c>
    </row>
    <row r="85" spans="1:53" s="37" customFormat="1" x14ac:dyDescent="0.25">
      <c r="A85" s="35" t="s">
        <v>103</v>
      </c>
      <c r="B85" s="36">
        <v>1</v>
      </c>
      <c r="C85" s="36">
        <v>50</v>
      </c>
      <c r="D85" s="36">
        <v>0</v>
      </c>
      <c r="E85" s="36">
        <f t="shared" si="91"/>
        <v>50</v>
      </c>
      <c r="F85" s="36">
        <v>10</v>
      </c>
      <c r="G85" s="43">
        <f t="shared" si="64"/>
        <v>819000</v>
      </c>
      <c r="H85" s="43">
        <f t="shared" si="85"/>
        <v>94840.6875</v>
      </c>
      <c r="I85" s="43">
        <f t="shared" si="86"/>
        <v>18482.553179999999</v>
      </c>
      <c r="J85" s="43">
        <f t="shared" si="87"/>
        <v>121396.08</v>
      </c>
      <c r="K85" s="43">
        <f t="shared" si="92"/>
        <v>1053719.3206800001</v>
      </c>
      <c r="L85" s="43">
        <v>20</v>
      </c>
      <c r="M85" s="43">
        <f t="shared" si="69"/>
        <v>1638000</v>
      </c>
      <c r="N85" s="43">
        <f t="shared" si="73"/>
        <v>218863.125</v>
      </c>
      <c r="O85" s="43">
        <f t="shared" si="74"/>
        <v>42652.0458</v>
      </c>
      <c r="P85" s="43">
        <f t="shared" si="75"/>
        <v>280144.8</v>
      </c>
      <c r="Q85" s="43">
        <f t="shared" si="93"/>
        <v>2179659.9707999998</v>
      </c>
      <c r="R85" s="43">
        <v>19</v>
      </c>
      <c r="S85" s="43">
        <f t="shared" si="70"/>
        <v>1556100</v>
      </c>
      <c r="T85" s="43">
        <f t="shared" si="76"/>
        <v>218863.125</v>
      </c>
      <c r="U85" s="43">
        <f t="shared" si="77"/>
        <v>42652.0458</v>
      </c>
      <c r="V85" s="43">
        <f t="shared" si="78"/>
        <v>280144.8</v>
      </c>
      <c r="W85" s="43">
        <f t="shared" si="94"/>
        <v>2097759.9707999998</v>
      </c>
      <c r="X85" s="43">
        <v>19</v>
      </c>
      <c r="Y85" s="43">
        <f t="shared" si="71"/>
        <v>1556100</v>
      </c>
      <c r="Z85" s="43">
        <f t="shared" si="79"/>
        <v>218863.125</v>
      </c>
      <c r="AA85" s="43">
        <f t="shared" si="80"/>
        <v>42652.0458</v>
      </c>
      <c r="AB85" s="43">
        <f t="shared" si="81"/>
        <v>280144.8</v>
      </c>
      <c r="AC85" s="43">
        <f t="shared" si="95"/>
        <v>2097759.9707999998</v>
      </c>
      <c r="AD85" s="43">
        <v>19</v>
      </c>
      <c r="AE85" s="43">
        <f t="shared" si="65"/>
        <v>1556100</v>
      </c>
      <c r="AF85" s="43">
        <f t="shared" si="82"/>
        <v>218863.125</v>
      </c>
      <c r="AG85" s="43">
        <f t="shared" si="83"/>
        <v>42652.0458</v>
      </c>
      <c r="AH85" s="43">
        <f t="shared" si="84"/>
        <v>280144.8</v>
      </c>
      <c r="AI85" s="43">
        <f t="shared" si="96"/>
        <v>2097759.9707999998</v>
      </c>
      <c r="AJ85" s="43">
        <v>9</v>
      </c>
      <c r="AK85" s="43">
        <f t="shared" si="66"/>
        <v>737100</v>
      </c>
      <c r="AL85" s="43">
        <f t="shared" si="97"/>
        <v>218863.125</v>
      </c>
      <c r="AM85" s="43">
        <f t="shared" si="98"/>
        <v>42652.0458</v>
      </c>
      <c r="AN85" s="43">
        <f t="shared" si="88"/>
        <v>280144.8</v>
      </c>
      <c r="AO85" s="43">
        <f t="shared" si="99"/>
        <v>1278759.9708</v>
      </c>
      <c r="AP85" s="43">
        <v>18</v>
      </c>
      <c r="AQ85" s="43">
        <f t="shared" si="67"/>
        <v>1474200</v>
      </c>
      <c r="AR85" s="43">
        <f t="shared" si="100"/>
        <v>218863.125</v>
      </c>
      <c r="AS85" s="43">
        <f t="shared" si="101"/>
        <v>42652.0458</v>
      </c>
      <c r="AT85" s="43">
        <f t="shared" si="89"/>
        <v>280144.8</v>
      </c>
      <c r="AU85" s="43">
        <f t="shared" si="102"/>
        <v>2015859.9708</v>
      </c>
      <c r="AV85" s="43">
        <v>19</v>
      </c>
      <c r="AW85" s="43">
        <f t="shared" si="72"/>
        <v>1556100</v>
      </c>
      <c r="AX85" s="43">
        <f t="shared" si="103"/>
        <v>218863.125</v>
      </c>
      <c r="AY85" s="43">
        <f t="shared" si="104"/>
        <v>42652.0458</v>
      </c>
      <c r="AZ85" s="43">
        <f t="shared" si="90"/>
        <v>280144.8</v>
      </c>
      <c r="BA85" s="43">
        <f t="shared" si="105"/>
        <v>2097759.9707999998</v>
      </c>
    </row>
    <row r="86" spans="1:53" s="37" customFormat="1" x14ac:dyDescent="0.25">
      <c r="A86" s="35" t="s">
        <v>110</v>
      </c>
      <c r="B86" s="36">
        <v>2</v>
      </c>
      <c r="C86" s="36">
        <v>343</v>
      </c>
      <c r="D86" s="36">
        <v>0</v>
      </c>
      <c r="E86" s="36">
        <f t="shared" si="91"/>
        <v>343</v>
      </c>
      <c r="F86" s="36">
        <v>10</v>
      </c>
      <c r="G86" s="43">
        <f t="shared" si="64"/>
        <v>819000</v>
      </c>
      <c r="H86" s="43">
        <f t="shared" si="85"/>
        <v>94840.6875</v>
      </c>
      <c r="I86" s="43">
        <f t="shared" si="86"/>
        <v>18482.553179999999</v>
      </c>
      <c r="J86" s="43">
        <f t="shared" si="87"/>
        <v>121396.08</v>
      </c>
      <c r="K86" s="43">
        <f>SUM(G86:J86)*B86</f>
        <v>2107438.6413600002</v>
      </c>
      <c r="L86" s="43">
        <v>20</v>
      </c>
      <c r="M86" s="43">
        <f t="shared" si="69"/>
        <v>1638000</v>
      </c>
      <c r="N86" s="43">
        <f t="shared" si="73"/>
        <v>218863.125</v>
      </c>
      <c r="O86" s="43">
        <f t="shared" si="74"/>
        <v>42652.0458</v>
      </c>
      <c r="P86" s="43">
        <f t="shared" si="75"/>
        <v>280144.8</v>
      </c>
      <c r="Q86" s="43">
        <f t="shared" si="93"/>
        <v>4359319.9415999996</v>
      </c>
      <c r="R86" s="43">
        <v>19</v>
      </c>
      <c r="S86" s="43">
        <f t="shared" si="70"/>
        <v>1556100</v>
      </c>
      <c r="T86" s="43">
        <f t="shared" si="76"/>
        <v>218863.125</v>
      </c>
      <c r="U86" s="43">
        <f t="shared" si="77"/>
        <v>42652.0458</v>
      </c>
      <c r="V86" s="43">
        <f t="shared" si="78"/>
        <v>280144.8</v>
      </c>
      <c r="W86" s="43">
        <f t="shared" si="94"/>
        <v>4195519.9415999996</v>
      </c>
      <c r="X86" s="43">
        <v>19</v>
      </c>
      <c r="Y86" s="43">
        <f t="shared" si="71"/>
        <v>1556100</v>
      </c>
      <c r="Z86" s="43">
        <f t="shared" si="79"/>
        <v>218863.125</v>
      </c>
      <c r="AA86" s="43">
        <f t="shared" si="80"/>
        <v>42652.0458</v>
      </c>
      <c r="AB86" s="43">
        <f t="shared" si="81"/>
        <v>280144.8</v>
      </c>
      <c r="AC86" s="43">
        <f t="shared" si="95"/>
        <v>4195519.9415999996</v>
      </c>
      <c r="AD86" s="43">
        <v>19</v>
      </c>
      <c r="AE86" s="43">
        <f t="shared" si="65"/>
        <v>1556100</v>
      </c>
      <c r="AF86" s="43">
        <f t="shared" si="82"/>
        <v>218863.125</v>
      </c>
      <c r="AG86" s="43">
        <f t="shared" si="83"/>
        <v>42652.0458</v>
      </c>
      <c r="AH86" s="43">
        <f t="shared" si="84"/>
        <v>280144.8</v>
      </c>
      <c r="AI86" s="43">
        <f t="shared" si="96"/>
        <v>4195519.9415999996</v>
      </c>
      <c r="AJ86" s="43">
        <v>9</v>
      </c>
      <c r="AK86" s="43">
        <f t="shared" si="66"/>
        <v>737100</v>
      </c>
      <c r="AL86" s="43">
        <f t="shared" si="97"/>
        <v>218863.125</v>
      </c>
      <c r="AM86" s="43">
        <f t="shared" si="98"/>
        <v>42652.0458</v>
      </c>
      <c r="AN86" s="43">
        <f t="shared" si="88"/>
        <v>280144.8</v>
      </c>
      <c r="AO86" s="43">
        <f t="shared" si="99"/>
        <v>2557519.9416</v>
      </c>
      <c r="AP86" s="43">
        <v>18</v>
      </c>
      <c r="AQ86" s="43">
        <f t="shared" si="67"/>
        <v>1474200</v>
      </c>
      <c r="AR86" s="43">
        <f t="shared" si="100"/>
        <v>218863.125</v>
      </c>
      <c r="AS86" s="43">
        <f t="shared" si="101"/>
        <v>42652.0458</v>
      </c>
      <c r="AT86" s="43">
        <f t="shared" si="89"/>
        <v>280144.8</v>
      </c>
      <c r="AU86" s="43">
        <f t="shared" si="102"/>
        <v>4031719.9416</v>
      </c>
      <c r="AV86" s="43">
        <v>19</v>
      </c>
      <c r="AW86" s="43">
        <f t="shared" si="72"/>
        <v>1556100</v>
      </c>
      <c r="AX86" s="43">
        <f t="shared" si="103"/>
        <v>218863.125</v>
      </c>
      <c r="AY86" s="43">
        <f t="shared" si="104"/>
        <v>42652.0458</v>
      </c>
      <c r="AZ86" s="43">
        <f t="shared" si="90"/>
        <v>280144.8</v>
      </c>
      <c r="BA86" s="43">
        <f t="shared" si="105"/>
        <v>4195519.9415999996</v>
      </c>
    </row>
    <row r="87" spans="1:53" s="37" customFormat="1" ht="30" x14ac:dyDescent="0.25">
      <c r="A87" s="35" t="s">
        <v>111</v>
      </c>
      <c r="B87" s="36">
        <v>2</v>
      </c>
      <c r="C87" s="36">
        <v>249</v>
      </c>
      <c r="D87" s="36">
        <v>0</v>
      </c>
      <c r="E87" s="36">
        <f t="shared" si="91"/>
        <v>249</v>
      </c>
      <c r="F87" s="36">
        <v>10</v>
      </c>
      <c r="G87" s="43">
        <f t="shared" si="64"/>
        <v>819000</v>
      </c>
      <c r="H87" s="43">
        <f t="shared" si="85"/>
        <v>94840.6875</v>
      </c>
      <c r="I87" s="43">
        <f t="shared" si="86"/>
        <v>18482.553179999999</v>
      </c>
      <c r="J87" s="43">
        <f t="shared" si="87"/>
        <v>121396.08</v>
      </c>
      <c r="K87" s="43">
        <f>SUM(G87:J87)*B87</f>
        <v>2107438.6413600002</v>
      </c>
      <c r="L87" s="43">
        <v>20</v>
      </c>
      <c r="M87" s="43">
        <f>$C$6*L87</f>
        <v>1638000</v>
      </c>
      <c r="N87" s="43">
        <f t="shared" si="73"/>
        <v>218863.125</v>
      </c>
      <c r="O87" s="43">
        <f t="shared" si="74"/>
        <v>42652.0458</v>
      </c>
      <c r="P87" s="43">
        <f t="shared" si="75"/>
        <v>280144.8</v>
      </c>
      <c r="Q87" s="43">
        <f t="shared" si="93"/>
        <v>4359319.9415999996</v>
      </c>
      <c r="R87" s="43">
        <v>19</v>
      </c>
      <c r="S87" s="43">
        <f t="shared" si="70"/>
        <v>1556100</v>
      </c>
      <c r="T87" s="43">
        <f t="shared" si="76"/>
        <v>218863.125</v>
      </c>
      <c r="U87" s="43">
        <f t="shared" si="77"/>
        <v>42652.0458</v>
      </c>
      <c r="V87" s="43">
        <f t="shared" si="78"/>
        <v>280144.8</v>
      </c>
      <c r="W87" s="43">
        <f t="shared" si="94"/>
        <v>4195519.9415999996</v>
      </c>
      <c r="X87" s="43">
        <v>19</v>
      </c>
      <c r="Y87" s="43">
        <f t="shared" si="71"/>
        <v>1556100</v>
      </c>
      <c r="Z87" s="43">
        <f t="shared" si="79"/>
        <v>218863.125</v>
      </c>
      <c r="AA87" s="43">
        <f t="shared" si="80"/>
        <v>42652.0458</v>
      </c>
      <c r="AB87" s="43">
        <f t="shared" si="81"/>
        <v>280144.8</v>
      </c>
      <c r="AC87" s="43">
        <f t="shared" si="95"/>
        <v>4195519.9415999996</v>
      </c>
      <c r="AD87" s="43">
        <v>19</v>
      </c>
      <c r="AE87" s="43">
        <f t="shared" si="65"/>
        <v>1556100</v>
      </c>
      <c r="AF87" s="43">
        <f t="shared" si="82"/>
        <v>218863.125</v>
      </c>
      <c r="AG87" s="43">
        <f t="shared" si="83"/>
        <v>42652.0458</v>
      </c>
      <c r="AH87" s="43">
        <f t="shared" si="84"/>
        <v>280144.8</v>
      </c>
      <c r="AI87" s="43">
        <f t="shared" si="96"/>
        <v>4195519.9415999996</v>
      </c>
      <c r="AJ87" s="43">
        <v>9</v>
      </c>
      <c r="AK87" s="43">
        <f t="shared" si="66"/>
        <v>737100</v>
      </c>
      <c r="AL87" s="43">
        <f t="shared" si="97"/>
        <v>218863.125</v>
      </c>
      <c r="AM87" s="43">
        <f t="shared" si="98"/>
        <v>42652.0458</v>
      </c>
      <c r="AN87" s="43">
        <f t="shared" si="88"/>
        <v>280144.8</v>
      </c>
      <c r="AO87" s="43">
        <f t="shared" si="99"/>
        <v>2557519.9416</v>
      </c>
      <c r="AP87" s="43">
        <v>18</v>
      </c>
      <c r="AQ87" s="43">
        <f t="shared" si="67"/>
        <v>1474200</v>
      </c>
      <c r="AR87" s="43">
        <f t="shared" si="100"/>
        <v>218863.125</v>
      </c>
      <c r="AS87" s="43">
        <f t="shared" si="101"/>
        <v>42652.0458</v>
      </c>
      <c r="AT87" s="43">
        <f t="shared" si="89"/>
        <v>280144.8</v>
      </c>
      <c r="AU87" s="43">
        <f>SUM(AQ87:AT87)*B87</f>
        <v>4031719.9416</v>
      </c>
      <c r="AV87" s="43">
        <v>19</v>
      </c>
      <c r="AW87" s="43">
        <f t="shared" si="72"/>
        <v>1556100</v>
      </c>
      <c r="AX87" s="43">
        <f t="shared" si="103"/>
        <v>218863.125</v>
      </c>
      <c r="AY87" s="43">
        <f t="shared" si="104"/>
        <v>42652.0458</v>
      </c>
      <c r="AZ87" s="43">
        <f t="shared" si="90"/>
        <v>280144.8</v>
      </c>
      <c r="BA87" s="43">
        <f t="shared" si="105"/>
        <v>4195519.9415999996</v>
      </c>
    </row>
    <row r="88" spans="1:53" s="92" customFormat="1" x14ac:dyDescent="0.25">
      <c r="A88" s="88" t="s">
        <v>89</v>
      </c>
      <c r="B88" s="89">
        <v>1</v>
      </c>
      <c r="C88" s="89">
        <v>34</v>
      </c>
      <c r="D88" s="89">
        <v>0</v>
      </c>
      <c r="E88" s="89">
        <f>C88+D88</f>
        <v>34</v>
      </c>
      <c r="F88" s="89">
        <v>10</v>
      </c>
      <c r="G88" s="90">
        <f>$C$5*F88</f>
        <v>598500</v>
      </c>
      <c r="H88" s="90">
        <f t="shared" si="12"/>
        <v>94840.6875</v>
      </c>
      <c r="I88" s="90">
        <f t="shared" si="13"/>
        <v>18482.553179999999</v>
      </c>
      <c r="J88" s="90">
        <f t="shared" si="14"/>
        <v>121396.08</v>
      </c>
      <c r="K88" s="90">
        <f>SUM(G88:J88)*B88</f>
        <v>833219.32068</v>
      </c>
      <c r="L88" s="90">
        <v>20</v>
      </c>
      <c r="M88" s="90">
        <f>$C$5*L88</f>
        <v>1197000</v>
      </c>
      <c r="N88" s="90">
        <f t="shared" si="17"/>
        <v>218863.125</v>
      </c>
      <c r="O88" s="90">
        <f t="shared" si="18"/>
        <v>42652.0458</v>
      </c>
      <c r="P88" s="90">
        <f t="shared" si="19"/>
        <v>280144.8</v>
      </c>
      <c r="Q88" s="90">
        <f>SUM(M88:P88)*B88</f>
        <v>1738659.9708</v>
      </c>
      <c r="R88" s="90">
        <v>19</v>
      </c>
      <c r="S88" s="90">
        <f>$C$5*R88</f>
        <v>1137150</v>
      </c>
      <c r="T88" s="90">
        <f t="shared" si="0"/>
        <v>218863.125</v>
      </c>
      <c r="U88" s="90">
        <f t="shared" si="1"/>
        <v>42652.0458</v>
      </c>
      <c r="V88" s="90">
        <f t="shared" si="2"/>
        <v>280144.8</v>
      </c>
      <c r="W88" s="90">
        <f>SUM(S88:V88)*B88</f>
        <v>1678809.9708</v>
      </c>
      <c r="X88" s="90">
        <v>19</v>
      </c>
      <c r="Y88" s="90">
        <f>$C$5*X88</f>
        <v>1137150</v>
      </c>
      <c r="Z88" s="90">
        <f t="shared" si="3"/>
        <v>218863.125</v>
      </c>
      <c r="AA88" s="90">
        <f t="shared" si="4"/>
        <v>42652.0458</v>
      </c>
      <c r="AB88" s="90">
        <f t="shared" si="5"/>
        <v>280144.8</v>
      </c>
      <c r="AC88" s="90">
        <f>SUM(Y88:AB88)*B88</f>
        <v>1678809.9708</v>
      </c>
      <c r="AD88" s="90">
        <v>19</v>
      </c>
      <c r="AE88" s="90">
        <f>$C$5*AD88</f>
        <v>1137150</v>
      </c>
      <c r="AF88" s="90">
        <f t="shared" si="26"/>
        <v>218863.125</v>
      </c>
      <c r="AG88" s="90">
        <f t="shared" si="27"/>
        <v>42652.0458</v>
      </c>
      <c r="AH88" s="90">
        <f t="shared" si="6"/>
        <v>280144.8</v>
      </c>
      <c r="AI88" s="90">
        <f>SUM(AE88:AH88)*B88</f>
        <v>1678809.9708</v>
      </c>
      <c r="AJ88" s="90">
        <v>9</v>
      </c>
      <c r="AK88" s="90">
        <f>$C$5*AJ88</f>
        <v>538650</v>
      </c>
      <c r="AL88" s="90">
        <f t="shared" si="30"/>
        <v>218863.125</v>
      </c>
      <c r="AM88" s="90">
        <f t="shared" si="31"/>
        <v>42652.0458</v>
      </c>
      <c r="AN88" s="90">
        <f t="shared" si="7"/>
        <v>280144.8</v>
      </c>
      <c r="AO88" s="90">
        <f>SUM(AK88:AN88)*B88</f>
        <v>1080309.9708</v>
      </c>
      <c r="AP88" s="43">
        <v>18</v>
      </c>
      <c r="AQ88" s="43">
        <f t="shared" si="67"/>
        <v>1474200</v>
      </c>
      <c r="AR88" s="90">
        <f t="shared" si="34"/>
        <v>218863.125</v>
      </c>
      <c r="AS88" s="90">
        <f t="shared" si="35"/>
        <v>42652.0458</v>
      </c>
      <c r="AT88" s="90">
        <f t="shared" si="8"/>
        <v>280144.8</v>
      </c>
      <c r="AU88" s="90">
        <f>SUM(AQ88:AT88)*B88</f>
        <v>2015859.9708</v>
      </c>
      <c r="AV88" s="90">
        <v>19</v>
      </c>
      <c r="AW88" s="43">
        <f t="shared" si="72"/>
        <v>1556100</v>
      </c>
      <c r="AX88" s="90">
        <f t="shared" si="38"/>
        <v>218863.125</v>
      </c>
      <c r="AY88" s="90">
        <f t="shared" si="39"/>
        <v>42652.0458</v>
      </c>
      <c r="AZ88" s="90">
        <f t="shared" si="9"/>
        <v>280144.8</v>
      </c>
      <c r="BA88" s="90">
        <f>SUM(AW88:AZ88)*B88</f>
        <v>2097759.9707999998</v>
      </c>
    </row>
    <row r="89" spans="1:53" s="37" customFormat="1" x14ac:dyDescent="0.25">
      <c r="A89" s="38" t="s">
        <v>113</v>
      </c>
      <c r="B89" s="36">
        <v>1</v>
      </c>
      <c r="C89" s="36">
        <v>0</v>
      </c>
      <c r="D89" s="36">
        <v>0</v>
      </c>
      <c r="E89" s="36">
        <f t="shared" si="91"/>
        <v>0</v>
      </c>
      <c r="F89" s="36">
        <v>10</v>
      </c>
      <c r="G89" s="43">
        <f>$C$6*F89</f>
        <v>819000</v>
      </c>
      <c r="H89" s="43">
        <f>($D$4*12.5%)/30*13</f>
        <v>94840.6875</v>
      </c>
      <c r="I89" s="43">
        <f t="shared" si="86"/>
        <v>18482.553179999999</v>
      </c>
      <c r="J89" s="43">
        <f t="shared" si="87"/>
        <v>121396.08</v>
      </c>
      <c r="K89" s="43">
        <f>SUM(G89:J89)*B89</f>
        <v>1053719.3206800001</v>
      </c>
      <c r="L89" s="43">
        <v>20</v>
      </c>
      <c r="M89" s="43">
        <f t="shared" si="69"/>
        <v>1638000</v>
      </c>
      <c r="N89" s="43">
        <f t="shared" si="73"/>
        <v>218863.125</v>
      </c>
      <c r="O89" s="43">
        <f t="shared" si="74"/>
        <v>42652.0458</v>
      </c>
      <c r="P89" s="43">
        <f t="shared" si="75"/>
        <v>280144.8</v>
      </c>
      <c r="Q89" s="43">
        <f t="shared" si="93"/>
        <v>2179659.9707999998</v>
      </c>
      <c r="R89" s="43">
        <v>19</v>
      </c>
      <c r="S89" s="43">
        <f t="shared" si="70"/>
        <v>1556100</v>
      </c>
      <c r="T89" s="43">
        <f t="shared" si="76"/>
        <v>218863.125</v>
      </c>
      <c r="U89" s="43">
        <f t="shared" si="77"/>
        <v>42652.0458</v>
      </c>
      <c r="V89" s="43">
        <f t="shared" si="78"/>
        <v>280144.8</v>
      </c>
      <c r="W89" s="43">
        <f t="shared" si="94"/>
        <v>2097759.9707999998</v>
      </c>
      <c r="X89" s="43">
        <v>19</v>
      </c>
      <c r="Y89" s="43">
        <f t="shared" si="71"/>
        <v>1556100</v>
      </c>
      <c r="Z89" s="43">
        <f t="shared" si="79"/>
        <v>218863.125</v>
      </c>
      <c r="AA89" s="43">
        <f t="shared" si="80"/>
        <v>42652.0458</v>
      </c>
      <c r="AB89" s="43">
        <f t="shared" si="81"/>
        <v>280144.8</v>
      </c>
      <c r="AC89" s="43">
        <f t="shared" si="95"/>
        <v>2097759.9707999998</v>
      </c>
      <c r="AD89" s="43">
        <v>19</v>
      </c>
      <c r="AE89" s="43">
        <f t="shared" si="65"/>
        <v>1556100</v>
      </c>
      <c r="AF89" s="43">
        <f t="shared" si="82"/>
        <v>218863.125</v>
      </c>
      <c r="AG89" s="43">
        <f t="shared" si="83"/>
        <v>42652.0458</v>
      </c>
      <c r="AH89" s="43">
        <f t="shared" si="84"/>
        <v>280144.8</v>
      </c>
      <c r="AI89" s="43">
        <f t="shared" si="96"/>
        <v>2097759.9707999998</v>
      </c>
      <c r="AJ89" s="43">
        <v>9</v>
      </c>
      <c r="AK89" s="43">
        <f t="shared" si="66"/>
        <v>737100</v>
      </c>
      <c r="AL89" s="43">
        <f t="shared" si="97"/>
        <v>218863.125</v>
      </c>
      <c r="AM89" s="43">
        <f t="shared" si="98"/>
        <v>42652.0458</v>
      </c>
      <c r="AN89" s="43">
        <f t="shared" si="88"/>
        <v>280144.8</v>
      </c>
      <c r="AO89" s="43">
        <f t="shared" si="99"/>
        <v>1278759.9708</v>
      </c>
      <c r="AP89" s="43">
        <v>18</v>
      </c>
      <c r="AQ89" s="43">
        <f t="shared" si="67"/>
        <v>1474200</v>
      </c>
      <c r="AR89" s="43">
        <f t="shared" si="100"/>
        <v>218863.125</v>
      </c>
      <c r="AS89" s="43">
        <f t="shared" si="101"/>
        <v>42652.0458</v>
      </c>
      <c r="AT89" s="43">
        <f t="shared" si="89"/>
        <v>280144.8</v>
      </c>
      <c r="AU89" s="43">
        <f t="shared" si="102"/>
        <v>2015859.9708</v>
      </c>
      <c r="AV89" s="43">
        <v>19</v>
      </c>
      <c r="AW89" s="43">
        <f t="shared" si="72"/>
        <v>1556100</v>
      </c>
      <c r="AX89" s="43">
        <f t="shared" si="103"/>
        <v>218863.125</v>
      </c>
      <c r="AY89" s="43">
        <f t="shared" si="104"/>
        <v>42652.0458</v>
      </c>
      <c r="AZ89" s="43">
        <f t="shared" si="90"/>
        <v>280144.8</v>
      </c>
      <c r="BA89" s="43">
        <f t="shared" si="105"/>
        <v>2097759.9707999998</v>
      </c>
    </row>
    <row r="90" spans="1:53" x14ac:dyDescent="0.25">
      <c r="A90" s="21" t="s">
        <v>120</v>
      </c>
      <c r="B90" s="103">
        <f>SUM(B11:B89)</f>
        <v>103</v>
      </c>
      <c r="C90" s="47"/>
      <c r="D90" s="48">
        <f>SUM(D11:D89)</f>
        <v>166</v>
      </c>
      <c r="E90" s="47"/>
      <c r="F90" s="47"/>
      <c r="G90" s="49"/>
      <c r="H90" s="49"/>
      <c r="I90" s="49"/>
      <c r="J90" s="49"/>
      <c r="K90" s="50">
        <f>SUM(K11:K89)</f>
        <v>90420590.030040041</v>
      </c>
      <c r="L90" s="49"/>
      <c r="M90" s="49"/>
      <c r="N90" s="49"/>
      <c r="O90" s="49"/>
      <c r="P90" s="49"/>
      <c r="Q90" s="50">
        <f>SUM(Q11:Q89)</f>
        <v>188279976.99239999</v>
      </c>
      <c r="R90" s="49"/>
      <c r="S90" s="49"/>
      <c r="T90" s="49"/>
      <c r="U90" s="49"/>
      <c r="V90" s="49"/>
      <c r="W90" s="50">
        <f>SUM(W11:W89)</f>
        <v>181655526.99239996</v>
      </c>
      <c r="X90" s="49"/>
      <c r="Y90" s="49"/>
      <c r="Z90" s="49"/>
      <c r="AA90" s="49"/>
      <c r="AB90" s="49"/>
      <c r="AC90" s="50">
        <f>SUM(AC11:AC89)</f>
        <v>181655526.99239996</v>
      </c>
      <c r="AD90" s="49"/>
      <c r="AE90" s="49"/>
      <c r="AF90" s="49"/>
      <c r="AG90" s="49"/>
      <c r="AH90" s="49"/>
      <c r="AI90" s="50">
        <f>SUM(AI11:AI89)</f>
        <v>181655526.99239996</v>
      </c>
      <c r="AJ90" s="6"/>
      <c r="AK90" s="2"/>
      <c r="AL90" s="2"/>
      <c r="AM90" s="2"/>
      <c r="AN90" s="2"/>
      <c r="AO90" s="15">
        <f>SUM(AO11:AO89)</f>
        <v>115411026.99239992</v>
      </c>
      <c r="AP90" s="2"/>
      <c r="AQ90" s="2"/>
      <c r="AR90" s="2"/>
      <c r="AS90" s="2"/>
      <c r="AT90" s="2"/>
      <c r="AU90" s="15">
        <f>SUM(AU11:AU89)</f>
        <v>176108376.99239993</v>
      </c>
      <c r="AV90" s="2"/>
      <c r="AW90" s="2"/>
      <c r="AX90" s="2"/>
      <c r="AY90" s="2"/>
      <c r="AZ90" s="2"/>
      <c r="BA90" s="15">
        <f>SUM(BA11:BA89)</f>
        <v>182792676.99239996</v>
      </c>
    </row>
    <row r="91" spans="1:53" x14ac:dyDescent="0.25">
      <c r="H91" s="238"/>
      <c r="I91" s="238"/>
      <c r="J91" s="238"/>
    </row>
    <row r="92" spans="1:53" x14ac:dyDescent="0.25">
      <c r="H92" s="51"/>
      <c r="I92" s="51"/>
      <c r="J92" s="51"/>
    </row>
    <row r="93" spans="1:53" x14ac:dyDescent="0.25">
      <c r="A93" s="200" t="s">
        <v>140</v>
      </c>
      <c r="B93" s="200"/>
      <c r="C93" s="200"/>
      <c r="D93" s="200"/>
      <c r="E93" s="200"/>
      <c r="F93" s="200"/>
      <c r="G93" s="200"/>
      <c r="H93" s="200"/>
      <c r="I93" s="51"/>
      <c r="J93" s="51"/>
    </row>
    <row r="94" spans="1:53" x14ac:dyDescent="0.25">
      <c r="A94" s="233"/>
      <c r="B94" s="233"/>
      <c r="C94" s="233"/>
      <c r="D94" s="233"/>
      <c r="E94" s="233"/>
      <c r="F94" s="233"/>
      <c r="G94" s="233"/>
      <c r="H94" s="233"/>
    </row>
    <row r="95" spans="1:53" x14ac:dyDescent="0.25">
      <c r="A95" s="188" t="s">
        <v>138</v>
      </c>
      <c r="B95" s="188" t="s">
        <v>139</v>
      </c>
      <c r="C95" s="195" t="s">
        <v>122</v>
      </c>
      <c r="D95" s="232" t="s">
        <v>142</v>
      </c>
      <c r="E95" s="232"/>
      <c r="F95" s="232"/>
      <c r="G95" s="232"/>
      <c r="H95" s="240"/>
      <c r="I95" s="237"/>
      <c r="J95" s="237"/>
      <c r="K95" s="237"/>
      <c r="L95" s="237"/>
      <c r="M95" s="237"/>
    </row>
    <row r="96" spans="1:53" s="1" customFormat="1" ht="30" x14ac:dyDescent="0.25">
      <c r="A96" s="188"/>
      <c r="B96" s="188"/>
      <c r="C96" s="195"/>
      <c r="D96" s="100" t="s">
        <v>127</v>
      </c>
      <c r="E96" s="100" t="s">
        <v>141</v>
      </c>
      <c r="F96" s="100" t="s">
        <v>120</v>
      </c>
      <c r="G96" s="53" t="s">
        <v>143</v>
      </c>
      <c r="H96" s="53" t="s">
        <v>144</v>
      </c>
      <c r="I96" s="111" t="s">
        <v>240</v>
      </c>
      <c r="J96" s="54"/>
      <c r="K96" s="54"/>
      <c r="L96" s="55"/>
      <c r="M96" s="55"/>
      <c r="AJ96"/>
    </row>
    <row r="97" spans="1:36" s="1" customFormat="1" x14ac:dyDescent="0.25">
      <c r="A97" s="25" t="s">
        <v>146</v>
      </c>
      <c r="B97" s="6">
        <v>27</v>
      </c>
      <c r="C97" s="2">
        <f>C4</f>
        <v>40950</v>
      </c>
      <c r="D97" s="2">
        <v>10</v>
      </c>
      <c r="E97" s="2">
        <f>C97*D97</f>
        <v>409500</v>
      </c>
      <c r="F97" s="2">
        <f>E97*B97</f>
        <v>11056500</v>
      </c>
      <c r="G97" s="2">
        <f>H89+I89+J89</f>
        <v>234719.32068</v>
      </c>
      <c r="H97" s="2">
        <f>G97*B97</f>
        <v>6337421.6583599998</v>
      </c>
      <c r="I97" s="229">
        <f>F100+H100</f>
        <v>90420590.030039996</v>
      </c>
      <c r="J97" s="56">
        <f>F97+H97</f>
        <v>17393921.658360001</v>
      </c>
      <c r="K97" s="56"/>
      <c r="L97" s="56"/>
      <c r="M97" s="56"/>
      <c r="N97" s="1">
        <v>17393922</v>
      </c>
      <c r="O97" s="1">
        <v>36737819</v>
      </c>
      <c r="P97" s="1">
        <v>35632169</v>
      </c>
      <c r="Q97" s="1">
        <v>35632169</v>
      </c>
      <c r="R97" s="1">
        <v>35632169</v>
      </c>
      <c r="S97" s="1">
        <v>24575669</v>
      </c>
      <c r="T97" s="1">
        <v>35632169</v>
      </c>
      <c r="U97" s="1">
        <v>35632169</v>
      </c>
      <c r="V97" s="1">
        <f>SUM(N97:U97)</f>
        <v>256868255</v>
      </c>
      <c r="AJ97"/>
    </row>
    <row r="98" spans="1:36" s="1" customFormat="1" x14ac:dyDescent="0.25">
      <c r="A98" s="26" t="s">
        <v>147</v>
      </c>
      <c r="B98" s="6">
        <v>32</v>
      </c>
      <c r="C98" s="2">
        <f>C5</f>
        <v>59850</v>
      </c>
      <c r="D98" s="2">
        <v>10</v>
      </c>
      <c r="E98" s="2">
        <f>C98*D98</f>
        <v>598500</v>
      </c>
      <c r="F98" s="2">
        <f>E98*B98</f>
        <v>19152000</v>
      </c>
      <c r="G98" s="2">
        <f>SUM(H89:J89)</f>
        <v>234719.32068</v>
      </c>
      <c r="H98" s="2">
        <f>G98*B98</f>
        <v>7511018.2617600001</v>
      </c>
      <c r="I98" s="229"/>
      <c r="J98" s="56">
        <f t="shared" ref="J98:J99" si="106">F98+H98</f>
        <v>26663018.26176</v>
      </c>
      <c r="K98" s="56"/>
      <c r="L98" s="56"/>
      <c r="M98" s="56"/>
      <c r="N98" s="1">
        <v>26663018</v>
      </c>
      <c r="O98" s="1">
        <v>55637119</v>
      </c>
      <c r="P98" s="1">
        <v>53721919</v>
      </c>
      <c r="Q98" s="1">
        <v>53721919</v>
      </c>
      <c r="R98" s="1">
        <v>53721919</v>
      </c>
      <c r="S98" s="1">
        <v>34569919</v>
      </c>
      <c r="T98" s="1">
        <v>53721919</v>
      </c>
      <c r="U98" s="1">
        <v>53721919</v>
      </c>
      <c r="V98" s="1">
        <f t="shared" ref="V98:V99" si="107">SUM(N98:U98)</f>
        <v>385479651</v>
      </c>
      <c r="AJ98"/>
    </row>
    <row r="99" spans="1:36" s="1" customFormat="1" x14ac:dyDescent="0.25">
      <c r="A99" s="27" t="s">
        <v>148</v>
      </c>
      <c r="B99" s="6">
        <v>44</v>
      </c>
      <c r="C99" s="2">
        <f>C6</f>
        <v>81900</v>
      </c>
      <c r="D99" s="2">
        <v>10</v>
      </c>
      <c r="E99" s="2">
        <f>C99*D99</f>
        <v>819000</v>
      </c>
      <c r="F99" s="2">
        <f>E99*B99</f>
        <v>36036000</v>
      </c>
      <c r="G99" s="2">
        <f>SUM(H89:J89)</f>
        <v>234719.32068</v>
      </c>
      <c r="H99" s="2">
        <f>G99*B99</f>
        <v>10327650.109920001</v>
      </c>
      <c r="I99" s="229"/>
      <c r="J99" s="56">
        <f t="shared" si="106"/>
        <v>46363650.109920003</v>
      </c>
      <c r="K99" s="56"/>
      <c r="L99" s="56"/>
      <c r="M99" s="56"/>
      <c r="N99" s="1">
        <v>46363650</v>
      </c>
      <c r="O99" s="1">
        <v>95905039</v>
      </c>
      <c r="P99" s="1">
        <v>92301439</v>
      </c>
      <c r="Q99" s="1">
        <v>92301439</v>
      </c>
      <c r="R99" s="1">
        <v>92301439</v>
      </c>
      <c r="S99" s="1">
        <v>56265439</v>
      </c>
      <c r="T99" s="1">
        <v>92301439</v>
      </c>
      <c r="U99" s="1">
        <v>92301439</v>
      </c>
      <c r="V99" s="1">
        <f t="shared" si="107"/>
        <v>660041323</v>
      </c>
      <c r="AJ99"/>
    </row>
    <row r="100" spans="1:36" s="1" customFormat="1" x14ac:dyDescent="0.25">
      <c r="A100" s="8"/>
      <c r="B100" s="110">
        <f>SUM(B97:B99)</f>
        <v>103</v>
      </c>
      <c r="C100"/>
      <c r="D100"/>
      <c r="E100"/>
      <c r="F100" s="15">
        <f>SUM(F97:F99)</f>
        <v>66244500</v>
      </c>
      <c r="H100" s="50">
        <f>SUM(H97:H99)</f>
        <v>24176090.030040003</v>
      </c>
      <c r="I100" s="22"/>
      <c r="J100" s="22"/>
      <c r="K100" s="57"/>
      <c r="L100" s="56"/>
      <c r="M100" s="57"/>
      <c r="V100" s="1">
        <f>SUM(V97:V99)</f>
        <v>1302389229</v>
      </c>
      <c r="AJ100"/>
    </row>
    <row r="101" spans="1:36" s="1" customFormat="1" x14ac:dyDescent="0.25">
      <c r="A101" s="8"/>
      <c r="B101"/>
      <c r="C101"/>
      <c r="D101"/>
      <c r="E101"/>
      <c r="F101"/>
      <c r="I101" s="56"/>
      <c r="J101" s="56"/>
      <c r="K101" s="56"/>
      <c r="L101" s="56"/>
      <c r="M101" s="56"/>
      <c r="AJ101"/>
    </row>
    <row r="103" spans="1:36" s="1" customFormat="1" x14ac:dyDescent="0.25">
      <c r="A103" s="8"/>
      <c r="B103"/>
      <c r="C103" s="243" t="s">
        <v>145</v>
      </c>
      <c r="D103" s="243"/>
      <c r="E103" s="243"/>
      <c r="F103" s="243"/>
      <c r="G103" s="243"/>
      <c r="H103" s="243"/>
      <c r="AJ103"/>
    </row>
    <row r="104" spans="1:36" s="1" customFormat="1" ht="30" x14ac:dyDescent="0.25">
      <c r="A104" s="8"/>
      <c r="B104"/>
      <c r="C104" s="101" t="s">
        <v>138</v>
      </c>
      <c r="D104" s="100" t="s">
        <v>127</v>
      </c>
      <c r="E104" s="100" t="s">
        <v>141</v>
      </c>
      <c r="F104" s="100" t="s">
        <v>120</v>
      </c>
      <c r="G104" s="53" t="s">
        <v>143</v>
      </c>
      <c r="H104" s="53" t="s">
        <v>144</v>
      </c>
      <c r="I104" s="111" t="s">
        <v>240</v>
      </c>
      <c r="AJ104"/>
    </row>
    <row r="105" spans="1:36" s="1" customFormat="1" x14ac:dyDescent="0.25">
      <c r="A105" s="8"/>
      <c r="B105"/>
      <c r="C105" s="25" t="s">
        <v>146</v>
      </c>
      <c r="D105" s="2">
        <v>20</v>
      </c>
      <c r="E105" s="2">
        <f>C97*D105</f>
        <v>819000</v>
      </c>
      <c r="F105" s="2">
        <f>E105*B97</f>
        <v>22113000</v>
      </c>
      <c r="G105" s="2">
        <f>N89+O89+P89</f>
        <v>541659.97080000001</v>
      </c>
      <c r="H105" s="2">
        <f>G105*B97</f>
        <v>14624819.2116</v>
      </c>
      <c r="I105" s="229">
        <f>F108+H108</f>
        <v>188279976.99239999</v>
      </c>
      <c r="AJ105"/>
    </row>
    <row r="106" spans="1:36" s="1" customFormat="1" x14ac:dyDescent="0.25">
      <c r="A106" s="8"/>
      <c r="B106"/>
      <c r="C106" s="26" t="s">
        <v>147</v>
      </c>
      <c r="D106" s="2">
        <v>20</v>
      </c>
      <c r="E106" s="2">
        <f>C98*D106</f>
        <v>1197000</v>
      </c>
      <c r="F106" s="2">
        <f>E106*B98</f>
        <v>38304000</v>
      </c>
      <c r="G106" s="2">
        <f>G105</f>
        <v>541659.97080000001</v>
      </c>
      <c r="H106" s="2">
        <f>G106*B98</f>
        <v>17333119.0656</v>
      </c>
      <c r="I106" s="229"/>
      <c r="AJ106"/>
    </row>
    <row r="107" spans="1:36" s="1" customFormat="1" x14ac:dyDescent="0.25">
      <c r="A107" s="8"/>
      <c r="B107"/>
      <c r="C107" s="27" t="s">
        <v>148</v>
      </c>
      <c r="D107" s="2">
        <v>20</v>
      </c>
      <c r="E107" s="2">
        <f>C99*D107</f>
        <v>1638000</v>
      </c>
      <c r="F107" s="2">
        <f>E107*B99</f>
        <v>72072000</v>
      </c>
      <c r="G107" s="2">
        <f>G105</f>
        <v>541659.97080000001</v>
      </c>
      <c r="H107" s="2">
        <f>G107*B99</f>
        <v>23833038.7152</v>
      </c>
      <c r="I107" s="229"/>
      <c r="AJ107"/>
    </row>
    <row r="108" spans="1:36" s="1" customFormat="1" x14ac:dyDescent="0.25">
      <c r="A108" s="8"/>
      <c r="B108"/>
      <c r="C108"/>
      <c r="D108"/>
      <c r="E108"/>
      <c r="F108" s="15">
        <f>SUM(F105:F107)</f>
        <v>132489000</v>
      </c>
      <c r="H108" s="15">
        <f>SUM(H105:H107)</f>
        <v>55790976.992399998</v>
      </c>
      <c r="AJ108"/>
    </row>
    <row r="111" spans="1:36" s="1" customFormat="1" x14ac:dyDescent="0.25">
      <c r="A111" s="8"/>
      <c r="B111"/>
      <c r="C111" s="244" t="s">
        <v>149</v>
      </c>
      <c r="D111" s="244"/>
      <c r="E111" s="244"/>
      <c r="F111" s="244"/>
      <c r="G111" s="244"/>
      <c r="H111" s="244"/>
      <c r="AJ111"/>
    </row>
    <row r="112" spans="1:36" s="1" customFormat="1" ht="30" x14ac:dyDescent="0.25">
      <c r="A112" s="8"/>
      <c r="B112"/>
      <c r="C112" s="101" t="s">
        <v>138</v>
      </c>
      <c r="D112" s="100" t="s">
        <v>127</v>
      </c>
      <c r="E112" s="100" t="s">
        <v>141</v>
      </c>
      <c r="F112" s="100" t="s">
        <v>120</v>
      </c>
      <c r="G112" s="53" t="s">
        <v>143</v>
      </c>
      <c r="H112" s="53" t="s">
        <v>144</v>
      </c>
      <c r="I112" s="111" t="s">
        <v>240</v>
      </c>
      <c r="AJ112"/>
    </row>
    <row r="113" spans="1:36" s="1" customFormat="1" x14ac:dyDescent="0.25">
      <c r="A113" s="8"/>
      <c r="B113"/>
      <c r="C113" s="25" t="s">
        <v>146</v>
      </c>
      <c r="D113" s="2">
        <v>19</v>
      </c>
      <c r="E113" s="2">
        <f>C97*D113</f>
        <v>778050</v>
      </c>
      <c r="F113" s="2">
        <f>E113*B97</f>
        <v>21007350</v>
      </c>
      <c r="G113" s="2">
        <f>SUM(T89:V89)</f>
        <v>541659.97080000001</v>
      </c>
      <c r="H113" s="2">
        <f>G113*B97</f>
        <v>14624819.2116</v>
      </c>
      <c r="I113" s="229">
        <f>F116+H116</f>
        <v>181655526.99239999</v>
      </c>
      <c r="AJ113"/>
    </row>
    <row r="114" spans="1:36" s="1" customFormat="1" x14ac:dyDescent="0.25">
      <c r="A114" s="8"/>
      <c r="B114"/>
      <c r="C114" s="26" t="s">
        <v>147</v>
      </c>
      <c r="D114" s="2">
        <v>19</v>
      </c>
      <c r="E114" s="2">
        <f t="shared" ref="E114" si="108">C98*D114</f>
        <v>1137150</v>
      </c>
      <c r="F114" s="2">
        <f t="shared" ref="F114:F115" si="109">E114*B98</f>
        <v>36388800</v>
      </c>
      <c r="G114" s="2">
        <f>G113</f>
        <v>541659.97080000001</v>
      </c>
      <c r="H114" s="2">
        <f t="shared" ref="H114:H115" si="110">G114*B98</f>
        <v>17333119.0656</v>
      </c>
      <c r="I114" s="229"/>
      <c r="AJ114"/>
    </row>
    <row r="115" spans="1:36" s="1" customFormat="1" x14ac:dyDescent="0.25">
      <c r="A115" s="8"/>
      <c r="B115"/>
      <c r="C115" s="27" t="s">
        <v>148</v>
      </c>
      <c r="D115" s="2">
        <v>19</v>
      </c>
      <c r="E115" s="2">
        <f>C99*D115</f>
        <v>1556100</v>
      </c>
      <c r="F115" s="2">
        <f t="shared" si="109"/>
        <v>68468400</v>
      </c>
      <c r="G115" s="2">
        <f>G113</f>
        <v>541659.97080000001</v>
      </c>
      <c r="H115" s="2">
        <f t="shared" si="110"/>
        <v>23833038.7152</v>
      </c>
      <c r="I115" s="229"/>
      <c r="AJ115"/>
    </row>
    <row r="116" spans="1:36" s="1" customFormat="1" x14ac:dyDescent="0.25">
      <c r="A116" s="8"/>
      <c r="B116"/>
      <c r="C116"/>
      <c r="D116"/>
      <c r="E116"/>
      <c r="F116" s="15">
        <f>SUM(F113:F115)</f>
        <v>125864550</v>
      </c>
      <c r="H116" s="15">
        <f>SUM(H113:H115)</f>
        <v>55790976.992399998</v>
      </c>
      <c r="AJ116"/>
    </row>
    <row r="119" spans="1:36" s="1" customFormat="1" x14ac:dyDescent="0.25">
      <c r="A119" s="8"/>
      <c r="B119"/>
      <c r="C119" s="245" t="s">
        <v>150</v>
      </c>
      <c r="D119" s="245"/>
      <c r="E119" s="245"/>
      <c r="F119" s="245"/>
      <c r="G119" s="245"/>
      <c r="H119" s="245"/>
      <c r="AJ119"/>
    </row>
    <row r="120" spans="1:36" s="1" customFormat="1" ht="30" x14ac:dyDescent="0.25">
      <c r="A120" s="8"/>
      <c r="B120"/>
      <c r="C120" s="101" t="s">
        <v>138</v>
      </c>
      <c r="D120" s="100" t="s">
        <v>127</v>
      </c>
      <c r="E120" s="100" t="s">
        <v>141</v>
      </c>
      <c r="F120" s="100" t="s">
        <v>120</v>
      </c>
      <c r="G120" s="53" t="s">
        <v>143</v>
      </c>
      <c r="H120" s="53" t="s">
        <v>144</v>
      </c>
      <c r="I120" s="111" t="s">
        <v>240</v>
      </c>
      <c r="AJ120"/>
    </row>
    <row r="121" spans="1:36" s="1" customFormat="1" x14ac:dyDescent="0.25">
      <c r="A121" s="8"/>
      <c r="B121"/>
      <c r="C121" s="25" t="s">
        <v>146</v>
      </c>
      <c r="D121" s="2">
        <v>19</v>
      </c>
      <c r="E121" s="2">
        <f>C97*D121</f>
        <v>778050</v>
      </c>
      <c r="F121" s="2">
        <f>E121*B97</f>
        <v>21007350</v>
      </c>
      <c r="G121" s="2">
        <f>SUM(Z89:AB89)</f>
        <v>541659.97080000001</v>
      </c>
      <c r="H121" s="2">
        <f>G121*B97</f>
        <v>14624819.2116</v>
      </c>
      <c r="I121" s="229">
        <f>F124+H124</f>
        <v>181655526.99239999</v>
      </c>
      <c r="AJ121"/>
    </row>
    <row r="122" spans="1:36" s="1" customFormat="1" x14ac:dyDescent="0.25">
      <c r="A122" s="8"/>
      <c r="B122"/>
      <c r="C122" s="26" t="s">
        <v>147</v>
      </c>
      <c r="D122" s="2">
        <v>19</v>
      </c>
      <c r="E122" s="2">
        <f t="shared" ref="E122:E123" si="111">C98*D122</f>
        <v>1137150</v>
      </c>
      <c r="F122" s="2">
        <f t="shared" ref="F122:F123" si="112">E122*B98</f>
        <v>36388800</v>
      </c>
      <c r="G122" s="2">
        <f>G121</f>
        <v>541659.97080000001</v>
      </c>
      <c r="H122" s="2">
        <f t="shared" ref="H122:H123" si="113">G122*B98</f>
        <v>17333119.0656</v>
      </c>
      <c r="I122" s="229"/>
      <c r="AJ122"/>
    </row>
    <row r="123" spans="1:36" s="1" customFormat="1" x14ac:dyDescent="0.25">
      <c r="A123" s="8"/>
      <c r="B123"/>
      <c r="C123" s="27" t="s">
        <v>148</v>
      </c>
      <c r="D123" s="2">
        <v>19</v>
      </c>
      <c r="E123" s="2">
        <f t="shared" si="111"/>
        <v>1556100</v>
      </c>
      <c r="F123" s="2">
        <f t="shared" si="112"/>
        <v>68468400</v>
      </c>
      <c r="G123" s="2">
        <f>G121</f>
        <v>541659.97080000001</v>
      </c>
      <c r="H123" s="2">
        <f t="shared" si="113"/>
        <v>23833038.7152</v>
      </c>
      <c r="I123" s="229"/>
      <c r="AJ123"/>
    </row>
    <row r="124" spans="1:36" s="1" customFormat="1" x14ac:dyDescent="0.25">
      <c r="A124" s="8"/>
      <c r="B124"/>
      <c r="C124"/>
      <c r="D124"/>
      <c r="E124"/>
      <c r="F124" s="15">
        <f>SUM(F121:F123)</f>
        <v>125864550</v>
      </c>
      <c r="H124" s="15">
        <f>SUM(H121:H123)</f>
        <v>55790976.992399998</v>
      </c>
      <c r="AJ124"/>
    </row>
    <row r="127" spans="1:36" s="1" customFormat="1" x14ac:dyDescent="0.25">
      <c r="A127" s="8"/>
      <c r="B127"/>
      <c r="C127" s="246" t="s">
        <v>151</v>
      </c>
      <c r="D127" s="246"/>
      <c r="E127" s="246"/>
      <c r="F127" s="246"/>
      <c r="G127" s="246"/>
      <c r="H127" s="246"/>
      <c r="AJ127"/>
    </row>
    <row r="128" spans="1:36" s="1" customFormat="1" ht="30" x14ac:dyDescent="0.25">
      <c r="A128" s="8"/>
      <c r="B128"/>
      <c r="C128" s="101" t="s">
        <v>138</v>
      </c>
      <c r="D128" s="100" t="s">
        <v>127</v>
      </c>
      <c r="E128" s="100" t="s">
        <v>141</v>
      </c>
      <c r="F128" s="100" t="s">
        <v>120</v>
      </c>
      <c r="G128" s="53" t="s">
        <v>143</v>
      </c>
      <c r="H128" s="53" t="s">
        <v>144</v>
      </c>
      <c r="I128" s="111" t="s">
        <v>240</v>
      </c>
      <c r="AJ128"/>
    </row>
    <row r="129" spans="1:36" s="1" customFormat="1" x14ac:dyDescent="0.25">
      <c r="A129" s="8"/>
      <c r="B129"/>
      <c r="C129" s="25" t="s">
        <v>146</v>
      </c>
      <c r="D129" s="2">
        <v>19</v>
      </c>
      <c r="E129" s="2">
        <f>C97*D129</f>
        <v>778050</v>
      </c>
      <c r="F129" s="2">
        <f>E129*B97</f>
        <v>21007350</v>
      </c>
      <c r="G129" s="2">
        <f>SUM(AF89:AH89)</f>
        <v>541659.97080000001</v>
      </c>
      <c r="H129" s="2">
        <f>G129*B97</f>
        <v>14624819.2116</v>
      </c>
      <c r="I129" s="229">
        <f>F132+H132</f>
        <v>181655526.99239999</v>
      </c>
      <c r="AJ129"/>
    </row>
    <row r="130" spans="1:36" s="1" customFormat="1" x14ac:dyDescent="0.25">
      <c r="A130" s="8"/>
      <c r="B130"/>
      <c r="C130" s="26" t="s">
        <v>147</v>
      </c>
      <c r="D130" s="2">
        <v>19</v>
      </c>
      <c r="E130" s="2">
        <f t="shared" ref="E130:E131" si="114">C98*D130</f>
        <v>1137150</v>
      </c>
      <c r="F130" s="2">
        <f t="shared" ref="F130:F131" si="115">E130*B98</f>
        <v>36388800</v>
      </c>
      <c r="G130" s="2">
        <f>G129</f>
        <v>541659.97080000001</v>
      </c>
      <c r="H130" s="2">
        <f t="shared" ref="H130:H131" si="116">G130*B98</f>
        <v>17333119.0656</v>
      </c>
      <c r="I130" s="229"/>
      <c r="AJ130"/>
    </row>
    <row r="131" spans="1:36" s="1" customFormat="1" x14ac:dyDescent="0.25">
      <c r="A131" s="8"/>
      <c r="B131"/>
      <c r="C131" s="27" t="s">
        <v>148</v>
      </c>
      <c r="D131" s="2">
        <v>19</v>
      </c>
      <c r="E131" s="2">
        <f t="shared" si="114"/>
        <v>1556100</v>
      </c>
      <c r="F131" s="2">
        <f t="shared" si="115"/>
        <v>68468400</v>
      </c>
      <c r="G131" s="2">
        <f>G129</f>
        <v>541659.97080000001</v>
      </c>
      <c r="H131" s="2">
        <f t="shared" si="116"/>
        <v>23833038.7152</v>
      </c>
      <c r="I131" s="229"/>
      <c r="AJ131"/>
    </row>
    <row r="132" spans="1:36" s="1" customFormat="1" x14ac:dyDescent="0.25">
      <c r="A132" s="8"/>
      <c r="B132"/>
      <c r="C132"/>
      <c r="D132"/>
      <c r="E132"/>
      <c r="F132" s="15">
        <f>SUM(F129:F131)</f>
        <v>125864550</v>
      </c>
      <c r="H132" s="15">
        <f>SUM(H129:H131)</f>
        <v>55790976.992399998</v>
      </c>
      <c r="AJ132"/>
    </row>
    <row r="135" spans="1:36" s="1" customFormat="1" ht="15" customHeight="1" x14ac:dyDescent="0.25">
      <c r="A135" s="8"/>
      <c r="B135"/>
      <c r="C135" s="247" t="s">
        <v>152</v>
      </c>
      <c r="D135" s="247"/>
      <c r="E135" s="247"/>
      <c r="F135" s="247"/>
      <c r="G135" s="247"/>
      <c r="H135" s="247"/>
      <c r="AJ135"/>
    </row>
    <row r="136" spans="1:36" s="1" customFormat="1" ht="30" x14ac:dyDescent="0.25">
      <c r="A136" s="8"/>
      <c r="B136"/>
      <c r="C136" s="101" t="s">
        <v>138</v>
      </c>
      <c r="D136" s="100" t="s">
        <v>127</v>
      </c>
      <c r="E136" s="100" t="s">
        <v>141</v>
      </c>
      <c r="F136" s="100" t="s">
        <v>120</v>
      </c>
      <c r="G136" s="53" t="s">
        <v>143</v>
      </c>
      <c r="H136" s="53" t="s">
        <v>144</v>
      </c>
      <c r="I136" s="111" t="s">
        <v>240</v>
      </c>
      <c r="AJ136"/>
    </row>
    <row r="137" spans="1:36" s="1" customFormat="1" x14ac:dyDescent="0.25">
      <c r="A137" s="8"/>
      <c r="B137"/>
      <c r="C137" s="25" t="s">
        <v>146</v>
      </c>
      <c r="D137" s="2">
        <v>9</v>
      </c>
      <c r="E137" s="2">
        <f>C97*D137</f>
        <v>368550</v>
      </c>
      <c r="F137" s="2">
        <f>E137*B97</f>
        <v>9950850</v>
      </c>
      <c r="G137" s="2">
        <f>SUM(AL89:AN89)</f>
        <v>541659.97080000001</v>
      </c>
      <c r="H137" s="2">
        <f>G137*B97</f>
        <v>14624819.2116</v>
      </c>
      <c r="I137" s="229">
        <f>F140+H140</f>
        <v>115411026.99239999</v>
      </c>
      <c r="AJ137"/>
    </row>
    <row r="138" spans="1:36" s="1" customFormat="1" x14ac:dyDescent="0.25">
      <c r="A138" s="8"/>
      <c r="B138"/>
      <c r="C138" s="26" t="s">
        <v>147</v>
      </c>
      <c r="D138" s="2">
        <v>9</v>
      </c>
      <c r="E138" s="2">
        <f t="shared" ref="E138:E139" si="117">C98*D138</f>
        <v>538650</v>
      </c>
      <c r="F138" s="2">
        <f t="shared" ref="F138:F139" si="118">E138*B98</f>
        <v>17236800</v>
      </c>
      <c r="G138" s="2">
        <f>G137</f>
        <v>541659.97080000001</v>
      </c>
      <c r="H138" s="2">
        <f t="shared" ref="H138:H139" si="119">G138*B98</f>
        <v>17333119.0656</v>
      </c>
      <c r="I138" s="229"/>
      <c r="AJ138"/>
    </row>
    <row r="139" spans="1:36" s="1" customFormat="1" x14ac:dyDescent="0.25">
      <c r="A139" s="8"/>
      <c r="B139"/>
      <c r="C139" s="27" t="s">
        <v>148</v>
      </c>
      <c r="D139" s="2">
        <v>9</v>
      </c>
      <c r="E139" s="2">
        <f t="shared" si="117"/>
        <v>737100</v>
      </c>
      <c r="F139" s="2">
        <f t="shared" si="118"/>
        <v>32432400</v>
      </c>
      <c r="G139" s="2">
        <f>G137</f>
        <v>541659.97080000001</v>
      </c>
      <c r="H139" s="2">
        <f t="shared" si="119"/>
        <v>23833038.7152</v>
      </c>
      <c r="I139" s="229"/>
      <c r="AJ139"/>
    </row>
    <row r="140" spans="1:36" s="1" customFormat="1" x14ac:dyDescent="0.25">
      <c r="A140" s="8"/>
      <c r="B140"/>
      <c r="C140"/>
      <c r="D140"/>
      <c r="E140"/>
      <c r="F140" s="15">
        <f>SUM(F137:F139)</f>
        <v>59620050</v>
      </c>
      <c r="H140" s="15">
        <f>SUM(H137:H139)</f>
        <v>55790976.992399998</v>
      </c>
      <c r="AJ140"/>
    </row>
    <row r="143" spans="1:36" s="1" customFormat="1" x14ac:dyDescent="0.25">
      <c r="A143" s="188" t="s">
        <v>138</v>
      </c>
      <c r="B143" s="188" t="s">
        <v>139</v>
      </c>
      <c r="C143" s="231" t="s">
        <v>241</v>
      </c>
      <c r="D143" s="231"/>
      <c r="E143" s="231"/>
      <c r="F143" s="231"/>
      <c r="G143" s="231"/>
      <c r="H143" s="231"/>
      <c r="AJ143"/>
    </row>
    <row r="144" spans="1:36" s="1" customFormat="1" ht="30" x14ac:dyDescent="0.25">
      <c r="A144" s="188"/>
      <c r="B144" s="188"/>
      <c r="C144" s="101" t="s">
        <v>138</v>
      </c>
      <c r="D144" s="100" t="s">
        <v>127</v>
      </c>
      <c r="E144" s="100" t="s">
        <v>141</v>
      </c>
      <c r="F144" s="100" t="s">
        <v>120</v>
      </c>
      <c r="G144" s="53" t="s">
        <v>143</v>
      </c>
      <c r="H144" s="53" t="s">
        <v>144</v>
      </c>
      <c r="I144" s="111" t="s">
        <v>240</v>
      </c>
      <c r="AJ144"/>
    </row>
    <row r="145" spans="1:36" s="1" customFormat="1" x14ac:dyDescent="0.25">
      <c r="A145" s="25" t="s">
        <v>146</v>
      </c>
      <c r="B145" s="6">
        <f>SUM(B11:B35)</f>
        <v>25</v>
      </c>
      <c r="C145" s="128">
        <f>C4</f>
        <v>40950</v>
      </c>
      <c r="D145" s="2">
        <v>19</v>
      </c>
      <c r="E145" s="2">
        <f>C145*D145</f>
        <v>778050</v>
      </c>
      <c r="F145" s="2">
        <f>E145*B145</f>
        <v>19451250</v>
      </c>
      <c r="G145" s="2">
        <f>AL89+AM89+AN89</f>
        <v>541659.97080000001</v>
      </c>
      <c r="H145" s="2">
        <f>G145*B145</f>
        <v>13541499.27</v>
      </c>
      <c r="I145" s="229">
        <f>F148+H148</f>
        <v>182792676.99239999</v>
      </c>
      <c r="AJ145"/>
    </row>
    <row r="146" spans="1:36" s="1" customFormat="1" x14ac:dyDescent="0.25">
      <c r="A146" s="26" t="s">
        <v>147</v>
      </c>
      <c r="B146" s="6">
        <f>SUM(B36:B68)</f>
        <v>33</v>
      </c>
      <c r="C146" s="128">
        <f t="shared" ref="C146:C147" si="120">C5</f>
        <v>59850</v>
      </c>
      <c r="D146" s="2">
        <v>19</v>
      </c>
      <c r="E146" s="2">
        <f>C146*D146</f>
        <v>1137150</v>
      </c>
      <c r="F146" s="2">
        <f t="shared" ref="F146:F147" si="121">E146*B146</f>
        <v>37525950</v>
      </c>
      <c r="G146" s="2">
        <f>G145</f>
        <v>541659.97080000001</v>
      </c>
      <c r="H146" s="2">
        <f t="shared" ref="H146:H147" si="122">G146*B146</f>
        <v>17874779.036400001</v>
      </c>
      <c r="I146" s="229"/>
      <c r="AJ146"/>
    </row>
    <row r="147" spans="1:36" s="1" customFormat="1" x14ac:dyDescent="0.25">
      <c r="A147" s="27" t="s">
        <v>148</v>
      </c>
      <c r="B147" s="6">
        <f>SUM(B69:B89)</f>
        <v>45</v>
      </c>
      <c r="C147" s="128">
        <f t="shared" si="120"/>
        <v>81900</v>
      </c>
      <c r="D147" s="2">
        <v>19</v>
      </c>
      <c r="E147" s="2">
        <f>C147*D147</f>
        <v>1556100</v>
      </c>
      <c r="F147" s="2">
        <f t="shared" si="121"/>
        <v>70024500</v>
      </c>
      <c r="G147" s="2">
        <f>G145</f>
        <v>541659.97080000001</v>
      </c>
      <c r="H147" s="2">
        <f t="shared" si="122"/>
        <v>24374698.686000001</v>
      </c>
      <c r="I147" s="229"/>
      <c r="AJ147"/>
    </row>
    <row r="148" spans="1:36" s="1" customFormat="1" x14ac:dyDescent="0.25">
      <c r="A148" s="8"/>
      <c r="B148"/>
      <c r="C148"/>
      <c r="D148"/>
      <c r="E148"/>
      <c r="F148" s="15">
        <f>SUM(F145:F147)</f>
        <v>127001700</v>
      </c>
      <c r="H148" s="15">
        <f>SUM(H145:H147)</f>
        <v>55790976.992400005</v>
      </c>
      <c r="AJ148"/>
    </row>
    <row r="151" spans="1:36" x14ac:dyDescent="0.25">
      <c r="C151" s="232" t="s">
        <v>242</v>
      </c>
      <c r="D151" s="232"/>
      <c r="E151" s="232"/>
      <c r="F151" s="232"/>
      <c r="G151" s="232"/>
      <c r="H151" s="232"/>
    </row>
    <row r="152" spans="1:36" ht="30" x14ac:dyDescent="0.25">
      <c r="C152" s="112" t="s">
        <v>138</v>
      </c>
      <c r="D152" s="111" t="s">
        <v>127</v>
      </c>
      <c r="E152" s="111" t="s">
        <v>141</v>
      </c>
      <c r="F152" s="111" t="s">
        <v>120</v>
      </c>
      <c r="G152" s="53" t="s">
        <v>143</v>
      </c>
      <c r="H152" s="53" t="s">
        <v>144</v>
      </c>
      <c r="I152" s="111" t="s">
        <v>240</v>
      </c>
    </row>
    <row r="153" spans="1:36" x14ac:dyDescent="0.25">
      <c r="C153" s="25" t="s">
        <v>146</v>
      </c>
      <c r="D153" s="2">
        <v>19</v>
      </c>
      <c r="E153" s="2">
        <f>C145*D153</f>
        <v>778050</v>
      </c>
      <c r="F153" s="2">
        <f>E153*B145</f>
        <v>19451250</v>
      </c>
      <c r="G153" s="2">
        <f>AX89+AY89+AZ89</f>
        <v>541659.97080000001</v>
      </c>
      <c r="H153" s="2">
        <f>G153*B145</f>
        <v>13541499.27</v>
      </c>
      <c r="I153" s="229">
        <f>F156+H156</f>
        <v>182792676.99239999</v>
      </c>
    </row>
    <row r="154" spans="1:36" x14ac:dyDescent="0.25">
      <c r="C154" s="26" t="s">
        <v>147</v>
      </c>
      <c r="D154" s="2">
        <v>19</v>
      </c>
      <c r="E154" s="2">
        <f>C146*D154</f>
        <v>1137150</v>
      </c>
      <c r="F154" s="2">
        <f t="shared" ref="F154:F155" si="123">E154*B146</f>
        <v>37525950</v>
      </c>
      <c r="G154" s="2">
        <f>G153</f>
        <v>541659.97080000001</v>
      </c>
      <c r="H154" s="2">
        <f>G154*B146</f>
        <v>17874779.036400001</v>
      </c>
      <c r="I154" s="229"/>
    </row>
    <row r="155" spans="1:36" x14ac:dyDescent="0.25">
      <c r="C155" s="27" t="s">
        <v>148</v>
      </c>
      <c r="D155" s="2">
        <v>19</v>
      </c>
      <c r="E155" s="2">
        <f>C147*D155</f>
        <v>1556100</v>
      </c>
      <c r="F155" s="2">
        <f t="shared" si="123"/>
        <v>70024500</v>
      </c>
      <c r="G155" s="2">
        <f>G153</f>
        <v>541659.97080000001</v>
      </c>
      <c r="H155" s="2">
        <f>G155*B147</f>
        <v>24374698.686000001</v>
      </c>
      <c r="I155" s="229"/>
    </row>
    <row r="156" spans="1:36" x14ac:dyDescent="0.25">
      <c r="F156" s="15">
        <f>SUM(F153:F155)</f>
        <v>127001700</v>
      </c>
      <c r="H156" s="15">
        <f>SUM(H153:H155)</f>
        <v>55790976.992400005</v>
      </c>
    </row>
    <row r="163" spans="1:36" s="1" customFormat="1" x14ac:dyDescent="0.25">
      <c r="A163" s="8" t="s">
        <v>153</v>
      </c>
      <c r="B163"/>
      <c r="C163"/>
      <c r="D163"/>
      <c r="E163"/>
      <c r="F163"/>
      <c r="AJ163"/>
    </row>
    <row r="164" spans="1:36" s="1" customFormat="1" x14ac:dyDescent="0.25">
      <c r="A164" s="188" t="s">
        <v>138</v>
      </c>
      <c r="B164" s="224" t="s">
        <v>126</v>
      </c>
      <c r="C164" s="224"/>
      <c r="D164" s="251" t="s">
        <v>133</v>
      </c>
      <c r="E164" s="251"/>
      <c r="F164" s="252" t="s">
        <v>134</v>
      </c>
      <c r="G164" s="252"/>
      <c r="H164" s="241" t="s">
        <v>135</v>
      </c>
      <c r="I164" s="241"/>
      <c r="J164" s="242" t="s">
        <v>136</v>
      </c>
      <c r="K164" s="242"/>
      <c r="L164" s="249" t="s">
        <v>137</v>
      </c>
      <c r="M164" s="249"/>
      <c r="N164" s="250" t="s">
        <v>157</v>
      </c>
      <c r="O164" s="250"/>
      <c r="P164" s="248" t="s">
        <v>236</v>
      </c>
      <c r="Q164" s="248"/>
      <c r="AJ164"/>
    </row>
    <row r="165" spans="1:36" s="1" customFormat="1" x14ac:dyDescent="0.25">
      <c r="A165" s="188"/>
      <c r="B165" s="101" t="s">
        <v>128</v>
      </c>
      <c r="C165" s="101" t="s">
        <v>154</v>
      </c>
      <c r="D165" s="101" t="s">
        <v>128</v>
      </c>
      <c r="E165" s="101" t="s">
        <v>154</v>
      </c>
      <c r="F165" s="101" t="s">
        <v>128</v>
      </c>
      <c r="G165" s="101" t="s">
        <v>154</v>
      </c>
      <c r="H165" s="101" t="s">
        <v>128</v>
      </c>
      <c r="I165" s="101" t="s">
        <v>154</v>
      </c>
      <c r="J165" s="101" t="s">
        <v>128</v>
      </c>
      <c r="K165" s="101" t="s">
        <v>154</v>
      </c>
      <c r="L165" s="101" t="s">
        <v>128</v>
      </c>
      <c r="M165" s="101" t="s">
        <v>154</v>
      </c>
      <c r="N165" s="101" t="s">
        <v>128</v>
      </c>
      <c r="O165" s="101" t="s">
        <v>154</v>
      </c>
      <c r="P165" s="112" t="s">
        <v>128</v>
      </c>
      <c r="Q165" s="112" t="s">
        <v>154</v>
      </c>
      <c r="AJ165"/>
    </row>
    <row r="166" spans="1:36" s="1" customFormat="1" x14ac:dyDescent="0.25">
      <c r="A166" s="25" t="s">
        <v>146</v>
      </c>
      <c r="B166" s="2">
        <f>F97</f>
        <v>11056500</v>
      </c>
      <c r="C166" s="2">
        <f>H97</f>
        <v>6337421.6583599998</v>
      </c>
      <c r="D166" s="2">
        <f>F105</f>
        <v>22113000</v>
      </c>
      <c r="E166" s="2">
        <f>H105</f>
        <v>14624819.2116</v>
      </c>
      <c r="F166" s="2">
        <f>F113</f>
        <v>21007350</v>
      </c>
      <c r="G166" s="2">
        <f>H113</f>
        <v>14624819.2116</v>
      </c>
      <c r="H166" s="2">
        <f>F121</f>
        <v>21007350</v>
      </c>
      <c r="I166" s="2">
        <f>H121</f>
        <v>14624819.2116</v>
      </c>
      <c r="J166" s="2">
        <f>F129</f>
        <v>21007350</v>
      </c>
      <c r="K166" s="2">
        <f>H129</f>
        <v>14624819.2116</v>
      </c>
      <c r="L166" s="2">
        <f>F137</f>
        <v>9950850</v>
      </c>
      <c r="M166" s="2">
        <f>H137</f>
        <v>14624819.2116</v>
      </c>
      <c r="N166" s="2">
        <f>F145</f>
        <v>19451250</v>
      </c>
      <c r="O166" s="2">
        <f>H145</f>
        <v>13541499.27</v>
      </c>
      <c r="P166" s="2">
        <f>F153</f>
        <v>19451250</v>
      </c>
      <c r="Q166" s="2">
        <f>H153</f>
        <v>13541499.27</v>
      </c>
      <c r="AJ166"/>
    </row>
    <row r="167" spans="1:36" s="1" customFormat="1" x14ac:dyDescent="0.25">
      <c r="A167" s="26" t="s">
        <v>147</v>
      </c>
      <c r="B167" s="2">
        <f>F98</f>
        <v>19152000</v>
      </c>
      <c r="C167" s="2">
        <f>H98</f>
        <v>7511018.2617600001</v>
      </c>
      <c r="D167" s="2">
        <f>F106</f>
        <v>38304000</v>
      </c>
      <c r="E167" s="2">
        <f>H106</f>
        <v>17333119.0656</v>
      </c>
      <c r="F167" s="2">
        <f>F114</f>
        <v>36388800</v>
      </c>
      <c r="G167" s="2">
        <f>H114</f>
        <v>17333119.0656</v>
      </c>
      <c r="H167" s="2">
        <f>F122</f>
        <v>36388800</v>
      </c>
      <c r="I167" s="2">
        <f>H122</f>
        <v>17333119.0656</v>
      </c>
      <c r="J167" s="2">
        <f>F130</f>
        <v>36388800</v>
      </c>
      <c r="K167" s="2">
        <f>H130</f>
        <v>17333119.0656</v>
      </c>
      <c r="L167" s="2">
        <f>F138</f>
        <v>17236800</v>
      </c>
      <c r="M167" s="2">
        <f>H138</f>
        <v>17333119.0656</v>
      </c>
      <c r="N167" s="2">
        <f>F146</f>
        <v>37525950</v>
      </c>
      <c r="O167" s="2">
        <f>H146</f>
        <v>17874779.036400001</v>
      </c>
      <c r="P167" s="2">
        <f t="shared" ref="P167:P168" si="124">F154</f>
        <v>37525950</v>
      </c>
      <c r="Q167" s="2">
        <f t="shared" ref="Q167:Q168" si="125">H154</f>
        <v>17874779.036400001</v>
      </c>
      <c r="AJ167"/>
    </row>
    <row r="168" spans="1:36" s="1" customFormat="1" x14ac:dyDescent="0.25">
      <c r="A168" s="27" t="s">
        <v>148</v>
      </c>
      <c r="B168" s="2">
        <f>F99</f>
        <v>36036000</v>
      </c>
      <c r="C168" s="2">
        <f>H99</f>
        <v>10327650.109920001</v>
      </c>
      <c r="D168" s="2">
        <f>F107</f>
        <v>72072000</v>
      </c>
      <c r="E168" s="2">
        <f>H107</f>
        <v>23833038.7152</v>
      </c>
      <c r="F168" s="2">
        <f>F115</f>
        <v>68468400</v>
      </c>
      <c r="G168" s="2">
        <f>H115</f>
        <v>23833038.7152</v>
      </c>
      <c r="H168" s="2">
        <f>F123</f>
        <v>68468400</v>
      </c>
      <c r="I168" s="2">
        <f>H123</f>
        <v>23833038.7152</v>
      </c>
      <c r="J168" s="2">
        <f>F131</f>
        <v>68468400</v>
      </c>
      <c r="K168" s="2">
        <f>H131</f>
        <v>23833038.7152</v>
      </c>
      <c r="L168" s="2">
        <f>F139</f>
        <v>32432400</v>
      </c>
      <c r="M168" s="2">
        <f>H139</f>
        <v>23833038.7152</v>
      </c>
      <c r="N168" s="2">
        <f>F147</f>
        <v>70024500</v>
      </c>
      <c r="O168" s="2">
        <f>H147</f>
        <v>24374698.686000001</v>
      </c>
      <c r="P168" s="2">
        <f t="shared" si="124"/>
        <v>70024500</v>
      </c>
      <c r="Q168" s="2">
        <f t="shared" si="125"/>
        <v>24374698.686000001</v>
      </c>
      <c r="AJ168"/>
    </row>
    <row r="169" spans="1:36" s="1" customFormat="1" x14ac:dyDescent="0.25">
      <c r="A169" s="60" t="s">
        <v>156</v>
      </c>
      <c r="B169" s="15">
        <f t="shared" ref="B169:Q169" si="126">SUM(B166:B168)</f>
        <v>66244500</v>
      </c>
      <c r="C169" s="15">
        <f t="shared" si="126"/>
        <v>24176090.030040003</v>
      </c>
      <c r="D169" s="15">
        <f t="shared" si="126"/>
        <v>132489000</v>
      </c>
      <c r="E169" s="15">
        <f t="shared" si="126"/>
        <v>55790976.992399998</v>
      </c>
      <c r="F169" s="15">
        <f t="shared" si="126"/>
        <v>125864550</v>
      </c>
      <c r="G169" s="15">
        <f t="shared" si="126"/>
        <v>55790976.992399998</v>
      </c>
      <c r="H169" s="15">
        <f t="shared" si="126"/>
        <v>125864550</v>
      </c>
      <c r="I169" s="15">
        <f t="shared" si="126"/>
        <v>55790976.992399998</v>
      </c>
      <c r="J169" s="15">
        <f t="shared" si="126"/>
        <v>125864550</v>
      </c>
      <c r="K169" s="15">
        <f t="shared" si="126"/>
        <v>55790976.992399998</v>
      </c>
      <c r="L169" s="15">
        <f t="shared" si="126"/>
        <v>59620050</v>
      </c>
      <c r="M169" s="15">
        <f t="shared" si="126"/>
        <v>55790976.992399998</v>
      </c>
      <c r="N169" s="15">
        <f t="shared" si="126"/>
        <v>127001700</v>
      </c>
      <c r="O169" s="15">
        <f t="shared" si="126"/>
        <v>55790976.992400005</v>
      </c>
      <c r="P169" s="15">
        <f t="shared" si="126"/>
        <v>127001700</v>
      </c>
      <c r="Q169" s="15">
        <f t="shared" si="126"/>
        <v>55790976.992400005</v>
      </c>
      <c r="AJ169"/>
    </row>
    <row r="170" spans="1:36" s="1" customFormat="1" x14ac:dyDescent="0.25">
      <c r="A170" s="60" t="s">
        <v>155</v>
      </c>
      <c r="B170" s="190">
        <f>SUM(B169:C169)</f>
        <v>90420590.030039996</v>
      </c>
      <c r="C170" s="226"/>
      <c r="D170" s="190">
        <f>D169+E169</f>
        <v>188279976.99239999</v>
      </c>
      <c r="E170" s="226"/>
      <c r="F170" s="190">
        <f>F169+G169</f>
        <v>181655526.99239999</v>
      </c>
      <c r="G170" s="226"/>
      <c r="H170" s="190">
        <f>H169+I169</f>
        <v>181655526.99239999</v>
      </c>
      <c r="I170" s="226"/>
      <c r="J170" s="190">
        <f>J169+K169</f>
        <v>181655526.99239999</v>
      </c>
      <c r="K170" s="226"/>
      <c r="L170" s="190">
        <f>L169+M169</f>
        <v>115411026.99239999</v>
      </c>
      <c r="M170" s="226"/>
      <c r="N170" s="190">
        <f>N169+O169</f>
        <v>182792676.99239999</v>
      </c>
      <c r="O170" s="226"/>
      <c r="P170" s="190">
        <f>P169+Q169</f>
        <v>182792676.99239999</v>
      </c>
      <c r="Q170" s="226"/>
      <c r="AJ170"/>
    </row>
    <row r="172" spans="1:36" s="1" customFormat="1" x14ac:dyDescent="0.25">
      <c r="A172" s="200" t="s">
        <v>158</v>
      </c>
      <c r="B172" s="200"/>
      <c r="C172"/>
      <c r="D172"/>
      <c r="E172"/>
      <c r="F172"/>
      <c r="AJ172"/>
    </row>
    <row r="173" spans="1:36" s="1" customFormat="1" x14ac:dyDescent="0.25">
      <c r="A173" s="62" t="s">
        <v>128</v>
      </c>
      <c r="B173" s="2">
        <f>B169++D169+F169+H169+J169+L169+N169+P169</f>
        <v>889950600</v>
      </c>
      <c r="C173" s="227"/>
      <c r="D173"/>
      <c r="E173"/>
      <c r="F173"/>
      <c r="AJ173"/>
    </row>
    <row r="174" spans="1:36" s="1" customFormat="1" x14ac:dyDescent="0.25">
      <c r="A174" s="62" t="s">
        <v>159</v>
      </c>
      <c r="B174" s="2">
        <f>C169+E169+G169+I169+K169+M169+O169+Q169</f>
        <v>414712928.97683996</v>
      </c>
      <c r="C174" s="228"/>
      <c r="D174"/>
      <c r="E174"/>
      <c r="F174"/>
      <c r="AJ174"/>
    </row>
    <row r="175" spans="1:36" s="1" customFormat="1" x14ac:dyDescent="0.25">
      <c r="A175" s="63" t="s">
        <v>173</v>
      </c>
      <c r="B175" s="15">
        <f>SUM(B173:B174)</f>
        <v>1304663528.97684</v>
      </c>
      <c r="C175"/>
      <c r="D175"/>
      <c r="E175"/>
      <c r="F175"/>
      <c r="AJ175"/>
    </row>
    <row r="178" spans="1:36" s="1" customFormat="1" x14ac:dyDescent="0.25">
      <c r="A178" s="8"/>
      <c r="AJ178"/>
    </row>
    <row r="179" spans="1:36" s="1" customFormat="1" x14ac:dyDescent="0.25">
      <c r="A179" s="200" t="s">
        <v>174</v>
      </c>
      <c r="B179" s="200"/>
      <c r="AJ179"/>
    </row>
    <row r="180" spans="1:36" s="1" customFormat="1" x14ac:dyDescent="0.25">
      <c r="A180" s="62" t="s">
        <v>128</v>
      </c>
      <c r="B180" s="2">
        <f>B173</f>
        <v>889950600</v>
      </c>
      <c r="AJ180"/>
    </row>
    <row r="181" spans="1:36" s="1" customFormat="1" x14ac:dyDescent="0.25">
      <c r="A181" s="62" t="s">
        <v>159</v>
      </c>
      <c r="B181" s="2">
        <f>B174</f>
        <v>414712928.97683996</v>
      </c>
      <c r="AJ181"/>
    </row>
    <row r="182" spans="1:36" s="1" customFormat="1" x14ac:dyDescent="0.25">
      <c r="A182" s="62" t="s">
        <v>206</v>
      </c>
      <c r="B182" s="2">
        <f>'proyección general Inicial'!M30</f>
        <v>13220000</v>
      </c>
      <c r="C182" s="1" t="s">
        <v>244</v>
      </c>
      <c r="AJ182"/>
    </row>
    <row r="183" spans="1:36" s="1" customFormat="1" x14ac:dyDescent="0.25">
      <c r="A183" s="63" t="s">
        <v>120</v>
      </c>
      <c r="B183" s="15">
        <f>SUM(B180:B182)</f>
        <v>1317883528.97684</v>
      </c>
      <c r="C183" s="1">
        <f>B183*5%</f>
        <v>65894176.448842004</v>
      </c>
      <c r="AJ183"/>
    </row>
    <row r="184" spans="1:36" s="1" customFormat="1" x14ac:dyDescent="0.25">
      <c r="A184" s="63" t="s">
        <v>217</v>
      </c>
      <c r="B184" s="15">
        <f>B183*26.1%</f>
        <v>343967601.06295526</v>
      </c>
      <c r="D184" s="1" t="s">
        <v>245</v>
      </c>
      <c r="AJ184"/>
    </row>
    <row r="185" spans="1:36" s="1" customFormat="1" x14ac:dyDescent="0.25">
      <c r="A185" s="63" t="s">
        <v>214</v>
      </c>
      <c r="B185" s="15">
        <f>SUM(B183:B184)</f>
        <v>1661851130.0397954</v>
      </c>
      <c r="C185" s="1">
        <f>B185-E189</f>
        <v>1384831059.1955476</v>
      </c>
      <c r="D185" s="1">
        <f>C185-B183</f>
        <v>66947530.218707561</v>
      </c>
      <c r="E185" s="1">
        <f>D185-C183</f>
        <v>1053353.7698655576</v>
      </c>
      <c r="AJ185"/>
    </row>
    <row r="186" spans="1:36" s="1" customFormat="1" x14ac:dyDescent="0.25">
      <c r="A186" s="8"/>
      <c r="B186"/>
      <c r="AJ186"/>
    </row>
    <row r="187" spans="1:36" s="1" customFormat="1" x14ac:dyDescent="0.25">
      <c r="A187" s="8"/>
      <c r="B187"/>
      <c r="C187" s="190" t="s">
        <v>243</v>
      </c>
      <c r="D187" s="190"/>
      <c r="E187" s="190"/>
      <c r="AJ187"/>
    </row>
    <row r="188" spans="1:36" s="1" customFormat="1" x14ac:dyDescent="0.25">
      <c r="A188" s="200" t="s">
        <v>210</v>
      </c>
      <c r="B188" s="221"/>
      <c r="C188" s="125">
        <v>0.17</v>
      </c>
      <c r="D188" s="125">
        <v>0.157</v>
      </c>
      <c r="E188" s="15" t="s">
        <v>212</v>
      </c>
      <c r="AJ188"/>
    </row>
    <row r="189" spans="1:36" s="1" customFormat="1" x14ac:dyDescent="0.25">
      <c r="A189" s="62" t="s">
        <v>220</v>
      </c>
      <c r="B189" s="123">
        <f>'proyección general Inicial'!D33-'proyección general Inicial'!D25-'proyección general Inicial'!D26</f>
        <v>913336949</v>
      </c>
      <c r="C189" s="222">
        <f>B191*C188</f>
        <v>210661952.52000001</v>
      </c>
      <c r="D189" s="222">
        <v>0</v>
      </c>
      <c r="E189" s="225">
        <f>C189+D192</f>
        <v>277020070.84424788</v>
      </c>
      <c r="AJ189"/>
    </row>
    <row r="190" spans="1:36" s="1" customFormat="1" x14ac:dyDescent="0.25">
      <c r="A190" s="62" t="s">
        <v>221</v>
      </c>
      <c r="B190" s="123">
        <f>'proyección general Ad-1'!C39</f>
        <v>325851007</v>
      </c>
      <c r="C190" s="222"/>
      <c r="D190" s="222"/>
      <c r="E190" s="225"/>
      <c r="AJ190"/>
    </row>
    <row r="191" spans="1:36" s="1" customFormat="1" x14ac:dyDescent="0.25">
      <c r="A191" s="63" t="s">
        <v>160</v>
      </c>
      <c r="B191" s="124">
        <f>SUM(B189:B190)</f>
        <v>1239187956</v>
      </c>
      <c r="C191" s="222"/>
      <c r="D191" s="222"/>
      <c r="E191" s="225"/>
      <c r="AJ191"/>
    </row>
    <row r="192" spans="1:36" s="1" customFormat="1" x14ac:dyDescent="0.25">
      <c r="A192" s="63" t="s">
        <v>211</v>
      </c>
      <c r="B192" s="15">
        <f>B185-B191</f>
        <v>422663174.0397954</v>
      </c>
      <c r="C192" s="116">
        <v>0</v>
      </c>
      <c r="D192" s="116">
        <f>B192*D188</f>
        <v>66358118.324247874</v>
      </c>
      <c r="E192" s="225"/>
      <c r="AJ192"/>
    </row>
    <row r="193" spans="1:36" s="1" customFormat="1" x14ac:dyDescent="0.25">
      <c r="A193" s="8"/>
      <c r="B193" s="86">
        <f>SUM(B191:B192)</f>
        <v>1661851130.0397954</v>
      </c>
      <c r="E193" s="86"/>
      <c r="AJ193"/>
    </row>
    <row r="194" spans="1:36" s="1" customFormat="1" x14ac:dyDescent="0.25">
      <c r="A194" s="8"/>
      <c r="B194"/>
      <c r="AJ194"/>
    </row>
  </sheetData>
  <mergeCells count="59">
    <mergeCell ref="C189:C191"/>
    <mergeCell ref="D189:D191"/>
    <mergeCell ref="C187:E187"/>
    <mergeCell ref="E189:E192"/>
    <mergeCell ref="A172:B172"/>
    <mergeCell ref="C173:C174"/>
    <mergeCell ref="A179:B179"/>
    <mergeCell ref="P170:Q170"/>
    <mergeCell ref="A188:B188"/>
    <mergeCell ref="B170:C170"/>
    <mergeCell ref="D170:E170"/>
    <mergeCell ref="F170:G170"/>
    <mergeCell ref="H170:I170"/>
    <mergeCell ref="J170:K170"/>
    <mergeCell ref="L170:M170"/>
    <mergeCell ref="N170:O170"/>
    <mergeCell ref="A143:A144"/>
    <mergeCell ref="B143:B144"/>
    <mergeCell ref="A95:A96"/>
    <mergeCell ref="B95:B96"/>
    <mergeCell ref="P164:Q164"/>
    <mergeCell ref="L164:M164"/>
    <mergeCell ref="N164:O164"/>
    <mergeCell ref="A164:A165"/>
    <mergeCell ref="B164:C164"/>
    <mergeCell ref="D164:E164"/>
    <mergeCell ref="F164:G164"/>
    <mergeCell ref="I97:I99"/>
    <mergeCell ref="I105:I107"/>
    <mergeCell ref="I113:I115"/>
    <mergeCell ref="I121:I123"/>
    <mergeCell ref="I129:I131"/>
    <mergeCell ref="H164:I164"/>
    <mergeCell ref="J164:K164"/>
    <mergeCell ref="C103:H103"/>
    <mergeCell ref="C111:H111"/>
    <mergeCell ref="C119:H119"/>
    <mergeCell ref="C127:H127"/>
    <mergeCell ref="C135:H135"/>
    <mergeCell ref="C143:H143"/>
    <mergeCell ref="I137:I139"/>
    <mergeCell ref="I145:I147"/>
    <mergeCell ref="I153:I155"/>
    <mergeCell ref="C151:H151"/>
    <mergeCell ref="I95:M95"/>
    <mergeCell ref="H91:J91"/>
    <mergeCell ref="AV9:BA9"/>
    <mergeCell ref="A1:F1"/>
    <mergeCell ref="F9:K9"/>
    <mergeCell ref="L9:Q9"/>
    <mergeCell ref="R9:W9"/>
    <mergeCell ref="X9:AC9"/>
    <mergeCell ref="AJ9:AO9"/>
    <mergeCell ref="AP9:AU9"/>
    <mergeCell ref="AD9:AI9"/>
    <mergeCell ref="C95:C96"/>
    <mergeCell ref="D95:H95"/>
    <mergeCell ref="A93:H93"/>
    <mergeCell ref="A94:H94"/>
  </mergeCells>
  <pageMargins left="0.7" right="0.7" top="0.75" bottom="0.75" header="0.3" footer="0.3"/>
  <pageSetup paperSize="9" orientation="portrait" r:id="rId1"/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"/>
  <sheetViews>
    <sheetView zoomScale="145" zoomScaleNormal="145" workbookViewId="0">
      <selection activeCell="C18" sqref="C18"/>
    </sheetView>
  </sheetViews>
  <sheetFormatPr baseColWidth="10" defaultRowHeight="15" x14ac:dyDescent="0.25"/>
  <cols>
    <col min="1" max="1" width="37.5703125" style="8" customWidth="1"/>
    <col min="2" max="2" width="12.7109375" customWidth="1"/>
  </cols>
  <sheetData>
    <row r="1" spans="1:6" ht="15" customHeight="1" x14ac:dyDescent="0.25">
      <c r="A1" s="10" t="s">
        <v>112</v>
      </c>
      <c r="B1" s="8"/>
      <c r="C1" s="8"/>
      <c r="D1" s="8"/>
      <c r="E1" s="8"/>
      <c r="F1" s="8"/>
    </row>
    <row r="2" spans="1:6" x14ac:dyDescent="0.25">
      <c r="A2" s="11" t="s">
        <v>22</v>
      </c>
    </row>
    <row r="3" spans="1:6" x14ac:dyDescent="0.25">
      <c r="A3" s="11" t="s">
        <v>25</v>
      </c>
    </row>
    <row r="4" spans="1:6" x14ac:dyDescent="0.25">
      <c r="A4" s="11" t="s">
        <v>26</v>
      </c>
    </row>
    <row r="5" spans="1:6" x14ac:dyDescent="0.25">
      <c r="A5" s="11" t="s">
        <v>101</v>
      </c>
    </row>
    <row r="6" spans="1:6" x14ac:dyDescent="0.25">
      <c r="A6" s="11" t="s">
        <v>105</v>
      </c>
    </row>
    <row r="7" spans="1:6" x14ac:dyDescent="0.25">
      <c r="A7" s="11" t="s">
        <v>108</v>
      </c>
    </row>
    <row r="8" spans="1:6" x14ac:dyDescent="0.25">
      <c r="A8" s="11" t="s">
        <v>109</v>
      </c>
    </row>
    <row r="9" spans="1:6" x14ac:dyDescent="0.25">
      <c r="A9" s="11" t="s">
        <v>44</v>
      </c>
    </row>
    <row r="10" spans="1:6" x14ac:dyDescent="0.25">
      <c r="A10" s="11" t="s">
        <v>46</v>
      </c>
    </row>
    <row r="11" spans="1:6" x14ac:dyDescent="0.25">
      <c r="A11" s="11" t="s">
        <v>70</v>
      </c>
    </row>
    <row r="12" spans="1:6" x14ac:dyDescent="0.25">
      <c r="A12" s="11" t="s">
        <v>72</v>
      </c>
    </row>
    <row r="13" spans="1:6" x14ac:dyDescent="0.25">
      <c r="A13" s="11" t="s">
        <v>90</v>
      </c>
    </row>
    <row r="14" spans="1:6" x14ac:dyDescent="0.25">
      <c r="A14" s="62" t="s">
        <v>233</v>
      </c>
    </row>
    <row r="15" spans="1:6" x14ac:dyDescent="0.25">
      <c r="A15" s="62" t="s">
        <v>234</v>
      </c>
    </row>
    <row r="18" spans="1:1" x14ac:dyDescent="0.25">
      <c r="A18" s="12"/>
    </row>
  </sheetData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N64"/>
  <sheetViews>
    <sheetView topLeftCell="A7" zoomScale="130" zoomScaleNormal="130" workbookViewId="0">
      <selection activeCell="B30" sqref="B30:C30"/>
    </sheetView>
  </sheetViews>
  <sheetFormatPr baseColWidth="10" defaultRowHeight="15" x14ac:dyDescent="0.25"/>
  <cols>
    <col min="1" max="1" width="26.85546875" customWidth="1"/>
    <col min="2" max="2" width="18.7109375" customWidth="1"/>
    <col min="3" max="3" width="21.85546875" customWidth="1"/>
    <col min="4" max="4" width="18.28515625" customWidth="1"/>
    <col min="5" max="5" width="23.140625" customWidth="1"/>
    <col min="6" max="6" width="13.7109375" bestFit="1" customWidth="1"/>
    <col min="9" max="9" width="26.5703125" customWidth="1"/>
    <col min="11" max="11" width="13.7109375" customWidth="1"/>
    <col min="12" max="12" width="13.28515625" style="1" bestFit="1" customWidth="1"/>
    <col min="13" max="13" width="11.42578125" style="1"/>
  </cols>
  <sheetData>
    <row r="1" spans="1:13" x14ac:dyDescent="0.25">
      <c r="A1" s="194" t="s">
        <v>0</v>
      </c>
      <c r="B1" s="194"/>
      <c r="C1" s="194"/>
      <c r="D1" s="194"/>
      <c r="E1" s="194"/>
      <c r="F1" s="194"/>
      <c r="G1" s="194"/>
      <c r="H1" s="194"/>
      <c r="I1" s="194"/>
      <c r="J1" s="194"/>
    </row>
    <row r="3" spans="1:13" x14ac:dyDescent="0.25">
      <c r="A3" t="s">
        <v>1</v>
      </c>
    </row>
    <row r="4" spans="1:13" x14ac:dyDescent="0.25">
      <c r="A4" t="s">
        <v>4</v>
      </c>
    </row>
    <row r="5" spans="1:13" x14ac:dyDescent="0.25">
      <c r="A5" t="s">
        <v>2</v>
      </c>
    </row>
    <row r="6" spans="1:13" x14ac:dyDescent="0.25">
      <c r="A6" t="s">
        <v>3</v>
      </c>
    </row>
    <row r="7" spans="1:13" x14ac:dyDescent="0.25">
      <c r="A7" t="s">
        <v>5</v>
      </c>
    </row>
    <row r="8" spans="1:13" x14ac:dyDescent="0.25">
      <c r="A8" t="s">
        <v>9</v>
      </c>
    </row>
    <row r="9" spans="1:13" x14ac:dyDescent="0.25">
      <c r="A9" t="s">
        <v>8</v>
      </c>
    </row>
    <row r="10" spans="1:13" x14ac:dyDescent="0.25">
      <c r="A10" t="s">
        <v>7</v>
      </c>
      <c r="J10">
        <v>21</v>
      </c>
    </row>
    <row r="11" spans="1:13" x14ac:dyDescent="0.25">
      <c r="A11" t="s">
        <v>6</v>
      </c>
    </row>
    <row r="12" spans="1:13" x14ac:dyDescent="0.25">
      <c r="I12" t="s">
        <v>165</v>
      </c>
    </row>
    <row r="13" spans="1:13" x14ac:dyDescent="0.25">
      <c r="A13" s="84"/>
      <c r="B13" s="84"/>
      <c r="C13" s="84"/>
      <c r="D13" s="84"/>
      <c r="E13" s="84"/>
      <c r="F13" s="84"/>
    </row>
    <row r="14" spans="1:13" ht="30" x14ac:dyDescent="0.25">
      <c r="A14" s="195" t="s">
        <v>15</v>
      </c>
      <c r="B14" s="188" t="s">
        <v>202</v>
      </c>
      <c r="C14" s="74" t="s">
        <v>203</v>
      </c>
      <c r="D14" s="75" t="s">
        <v>193</v>
      </c>
      <c r="E14" s="188" t="s">
        <v>194</v>
      </c>
      <c r="F14" s="84"/>
      <c r="I14" s="208" t="s">
        <v>171</v>
      </c>
      <c r="J14" s="209"/>
      <c r="K14" s="209"/>
      <c r="L14" s="209"/>
      <c r="M14" s="210"/>
    </row>
    <row r="15" spans="1:13" x14ac:dyDescent="0.25">
      <c r="A15" s="195"/>
      <c r="B15" s="188"/>
      <c r="C15" s="80">
        <v>1.2999999999999999E-2</v>
      </c>
      <c r="D15" s="69">
        <v>5.5100000000000003E-2</v>
      </c>
      <c r="E15" s="188"/>
      <c r="F15" s="84"/>
      <c r="I15" s="65" t="s">
        <v>15</v>
      </c>
      <c r="J15" s="65" t="s">
        <v>166</v>
      </c>
      <c r="K15" s="65" t="s">
        <v>16</v>
      </c>
      <c r="L15" s="66" t="s">
        <v>17</v>
      </c>
      <c r="M15" s="66" t="s">
        <v>18</v>
      </c>
    </row>
    <row r="16" spans="1:13" x14ac:dyDescent="0.25">
      <c r="A16" s="6" t="s">
        <v>176</v>
      </c>
      <c r="B16" s="2">
        <v>3624</v>
      </c>
      <c r="C16" s="2">
        <f>B16*$C$15</f>
        <v>47.111999999999995</v>
      </c>
      <c r="D16" s="2">
        <f>(B16+C16)*$D$15</f>
        <v>202.27827120000001</v>
      </c>
      <c r="E16" s="2">
        <v>3826</v>
      </c>
      <c r="F16" s="84"/>
      <c r="G16" s="1"/>
      <c r="H16" s="1"/>
      <c r="I16" s="6" t="s">
        <v>167</v>
      </c>
      <c r="J16" s="6" t="s">
        <v>170</v>
      </c>
      <c r="K16" s="6">
        <v>2</v>
      </c>
      <c r="L16" s="2">
        <v>1500000</v>
      </c>
      <c r="M16" s="2">
        <f>L16*K16</f>
        <v>3000000</v>
      </c>
    </row>
    <row r="17" spans="1:14" x14ac:dyDescent="0.25">
      <c r="A17" s="6" t="s">
        <v>177</v>
      </c>
      <c r="B17" s="2">
        <v>4938</v>
      </c>
      <c r="C17" s="2">
        <f>B17*$C$15</f>
        <v>64.194000000000003</v>
      </c>
      <c r="D17" s="2">
        <f>(B17+C17)*$D$15</f>
        <v>275.62088940000007</v>
      </c>
      <c r="E17" s="2">
        <v>5214</v>
      </c>
      <c r="F17" s="84"/>
      <c r="G17" s="1"/>
      <c r="H17" s="1"/>
      <c r="I17" s="6" t="s">
        <v>168</v>
      </c>
      <c r="J17" s="6" t="s">
        <v>166</v>
      </c>
      <c r="K17" s="6">
        <v>90</v>
      </c>
      <c r="L17" s="2">
        <v>35000</v>
      </c>
      <c r="M17" s="2">
        <f t="shared" ref="M17:M18" si="0">L17*K17</f>
        <v>3150000</v>
      </c>
    </row>
    <row r="18" spans="1:14" x14ac:dyDescent="0.25">
      <c r="A18" s="6" t="s">
        <v>178</v>
      </c>
      <c r="B18" s="2">
        <v>3080000</v>
      </c>
      <c r="C18" s="2">
        <v>0</v>
      </c>
      <c r="D18" s="2">
        <f>(B18+C18)*$D$15</f>
        <v>169708</v>
      </c>
      <c r="E18" s="2">
        <v>3249708</v>
      </c>
      <c r="F18" s="84"/>
      <c r="G18" s="1"/>
      <c r="H18" s="1"/>
      <c r="I18" s="6" t="s">
        <v>169</v>
      </c>
      <c r="J18" s="6" t="s">
        <v>166</v>
      </c>
      <c r="K18" s="6">
        <v>90</v>
      </c>
      <c r="L18" s="2">
        <v>10000</v>
      </c>
      <c r="M18" s="2">
        <f t="shared" si="0"/>
        <v>900000</v>
      </c>
    </row>
    <row r="19" spans="1:14" x14ac:dyDescent="0.25">
      <c r="A19" s="6" t="s">
        <v>179</v>
      </c>
      <c r="B19" s="2">
        <v>143000</v>
      </c>
      <c r="C19" s="2">
        <v>0</v>
      </c>
      <c r="D19" s="2">
        <f>(B19+C19)*$D$15</f>
        <v>7879.3</v>
      </c>
      <c r="E19" s="2">
        <v>150879</v>
      </c>
      <c r="F19" s="84"/>
      <c r="G19" s="1"/>
      <c r="H19" s="1"/>
      <c r="I19" s="81" t="s">
        <v>204</v>
      </c>
      <c r="J19" s="211" t="s">
        <v>205</v>
      </c>
      <c r="K19" s="211"/>
      <c r="L19" s="211"/>
      <c r="M19" s="82">
        <v>2500000</v>
      </c>
    </row>
    <row r="20" spans="1:14" x14ac:dyDescent="0.25">
      <c r="A20" s="6" t="s">
        <v>180</v>
      </c>
      <c r="B20" s="2">
        <v>229900</v>
      </c>
      <c r="C20" s="2">
        <v>0</v>
      </c>
      <c r="D20" s="2">
        <f>(B20+C20)*$D$15</f>
        <v>12667.490000000002</v>
      </c>
      <c r="E20" s="2">
        <v>242567</v>
      </c>
      <c r="F20" s="84"/>
      <c r="G20" s="1"/>
      <c r="H20" s="1"/>
      <c r="I20" s="183" t="s">
        <v>116</v>
      </c>
      <c r="J20" s="183"/>
      <c r="K20" s="183"/>
      <c r="L20" s="183"/>
      <c r="M20" s="15">
        <f>SUM(M16:M19)</f>
        <v>9550000</v>
      </c>
    </row>
    <row r="21" spans="1:14" x14ac:dyDescent="0.25">
      <c r="A21" s="84"/>
      <c r="B21" s="84"/>
      <c r="C21" s="84"/>
      <c r="D21" s="84"/>
      <c r="E21" s="84"/>
      <c r="F21" s="84"/>
    </row>
    <row r="22" spans="1:14" x14ac:dyDescent="0.25">
      <c r="A22" s="84"/>
      <c r="B22" s="84"/>
      <c r="C22" s="84"/>
      <c r="D22" s="84"/>
      <c r="E22" s="84"/>
      <c r="F22" s="84"/>
      <c r="I22" s="208" t="s">
        <v>172</v>
      </c>
      <c r="J22" s="209"/>
      <c r="K22" s="209"/>
      <c r="L22" s="209"/>
      <c r="M22" s="210"/>
    </row>
    <row r="23" spans="1:14" x14ac:dyDescent="0.25">
      <c r="A23" s="193" t="s">
        <v>209</v>
      </c>
      <c r="B23" s="193"/>
      <c r="C23" s="193"/>
      <c r="D23" s="193"/>
      <c r="E23" s="84"/>
      <c r="F23" s="94">
        <f>(D25+D26+D30)-E27</f>
        <v>3364200299</v>
      </c>
      <c r="I23" s="65" t="s">
        <v>15</v>
      </c>
      <c r="J23" s="65" t="s">
        <v>166</v>
      </c>
      <c r="K23" s="65" t="s">
        <v>16</v>
      </c>
      <c r="L23" s="66" t="s">
        <v>17</v>
      </c>
      <c r="M23" s="66" t="s">
        <v>18</v>
      </c>
    </row>
    <row r="24" spans="1:14" x14ac:dyDescent="0.25">
      <c r="A24" s="3" t="s">
        <v>15</v>
      </c>
      <c r="B24" s="3" t="s">
        <v>16</v>
      </c>
      <c r="C24" s="4" t="s">
        <v>17</v>
      </c>
      <c r="D24" s="4" t="s">
        <v>18</v>
      </c>
      <c r="E24" s="84"/>
      <c r="F24" s="84"/>
      <c r="I24" s="6" t="s">
        <v>167</v>
      </c>
      <c r="J24" s="6" t="s">
        <v>170</v>
      </c>
      <c r="K24" s="6">
        <v>1</v>
      </c>
      <c r="L24" s="2">
        <v>1500000</v>
      </c>
      <c r="M24" s="2">
        <f>L24*K24</f>
        <v>1500000</v>
      </c>
    </row>
    <row r="25" spans="1:14" x14ac:dyDescent="0.25">
      <c r="A25" s="5" t="s">
        <v>10</v>
      </c>
      <c r="B25" s="2">
        <v>512154</v>
      </c>
      <c r="C25" s="2">
        <f>E16</f>
        <v>3826</v>
      </c>
      <c r="D25" s="2">
        <f>B25*C25</f>
        <v>1959501204</v>
      </c>
      <c r="I25" s="6" t="s">
        <v>168</v>
      </c>
      <c r="J25" s="6" t="s">
        <v>166</v>
      </c>
      <c r="K25" s="6">
        <v>26</v>
      </c>
      <c r="L25" s="2">
        <v>35000</v>
      </c>
      <c r="M25" s="2">
        <f t="shared" ref="M25:M26" si="1">L25*K25</f>
        <v>910000</v>
      </c>
    </row>
    <row r="26" spans="1:14" x14ac:dyDescent="0.25">
      <c r="A26" s="5" t="s">
        <v>11</v>
      </c>
      <c r="B26" s="2">
        <v>94239</v>
      </c>
      <c r="C26" s="2">
        <f>E17</f>
        <v>5214</v>
      </c>
      <c r="D26" s="2">
        <f t="shared" ref="D26:D28" si="2">B26*C26</f>
        <v>491362146</v>
      </c>
      <c r="E26" s="1">
        <f>D25+D26+D30</f>
        <v>3612098868.1399698</v>
      </c>
      <c r="I26" s="6" t="s">
        <v>169</v>
      </c>
      <c r="J26" s="6" t="s">
        <v>166</v>
      </c>
      <c r="K26" s="6">
        <v>26</v>
      </c>
      <c r="L26" s="2">
        <v>10000</v>
      </c>
      <c r="M26" s="2">
        <f t="shared" si="1"/>
        <v>260000</v>
      </c>
    </row>
    <row r="27" spans="1:14" x14ac:dyDescent="0.25">
      <c r="A27" s="6" t="s">
        <v>12</v>
      </c>
      <c r="B27" s="6">
        <v>10</v>
      </c>
      <c r="C27" s="2">
        <f>E18</f>
        <v>3249708</v>
      </c>
      <c r="D27" s="2">
        <f t="shared" si="2"/>
        <v>32497080</v>
      </c>
      <c r="E27" s="1">
        <f>E26-D33</f>
        <v>247898569.13996983</v>
      </c>
      <c r="F27" t="s">
        <v>208</v>
      </c>
      <c r="I27" s="81" t="s">
        <v>204</v>
      </c>
      <c r="J27" s="212" t="s">
        <v>205</v>
      </c>
      <c r="K27" s="213"/>
      <c r="L27" s="214"/>
      <c r="M27" s="82">
        <v>1000000</v>
      </c>
    </row>
    <row r="28" spans="1:14" x14ac:dyDescent="0.25">
      <c r="A28" s="6" t="s">
        <v>13</v>
      </c>
      <c r="B28" s="6">
        <f>80*2</f>
        <v>160</v>
      </c>
      <c r="C28" s="2">
        <f>E19</f>
        <v>150879</v>
      </c>
      <c r="D28" s="2">
        <f t="shared" si="2"/>
        <v>24140640</v>
      </c>
      <c r="I28" s="183" t="s">
        <v>116</v>
      </c>
      <c r="J28" s="183"/>
      <c r="K28" s="183"/>
      <c r="L28" s="183"/>
      <c r="M28" s="15">
        <f>SUM(M24:M27)</f>
        <v>3670000</v>
      </c>
      <c r="N28" s="83"/>
    </row>
    <row r="29" spans="1:14" x14ac:dyDescent="0.25">
      <c r="A29" s="6" t="s">
        <v>14</v>
      </c>
      <c r="B29" s="6">
        <f>104*2</f>
        <v>208</v>
      </c>
      <c r="C29" s="2">
        <f>E20</f>
        <v>242567</v>
      </c>
      <c r="D29" s="2">
        <f>C29*B29</f>
        <v>50453936</v>
      </c>
    </row>
    <row r="30" spans="1:14" x14ac:dyDescent="0.25">
      <c r="A30" s="14" t="s">
        <v>114</v>
      </c>
      <c r="B30" s="183" t="s">
        <v>115</v>
      </c>
      <c r="C30" s="183"/>
      <c r="D30" s="2">
        <f>'proyección inicial procesadoras'!B174</f>
        <v>1161235518.1399701</v>
      </c>
      <c r="E30" s="1"/>
      <c r="M30" s="1">
        <f>SUM(M20+M28)</f>
        <v>13220000</v>
      </c>
    </row>
    <row r="31" spans="1:14" x14ac:dyDescent="0.25">
      <c r="A31" s="184" t="s">
        <v>116</v>
      </c>
      <c r="B31" s="185"/>
      <c r="C31" s="186"/>
      <c r="D31" s="15">
        <f>SUM(D25:D30)</f>
        <v>3719190524.1399698</v>
      </c>
      <c r="E31" s="1"/>
      <c r="F31" s="1"/>
      <c r="M31" s="1">
        <f>M30*5%</f>
        <v>661000</v>
      </c>
    </row>
    <row r="32" spans="1:14" ht="38.25" customHeight="1" x14ac:dyDescent="0.25">
      <c r="C32" s="1"/>
      <c r="D32" s="1"/>
      <c r="M32" s="1">
        <f>SUM(M30:M31)</f>
        <v>13881000</v>
      </c>
    </row>
    <row r="33" spans="1:9" ht="16.5" customHeight="1" x14ac:dyDescent="0.25">
      <c r="C33" s="64" t="s">
        <v>161</v>
      </c>
      <c r="D33" s="2">
        <v>3364200299</v>
      </c>
      <c r="F33" s="1"/>
    </row>
    <row r="34" spans="1:9" x14ac:dyDescent="0.25">
      <c r="C34" s="64" t="s">
        <v>162</v>
      </c>
      <c r="D34" s="2">
        <f>D31-D33</f>
        <v>354990225.13996983</v>
      </c>
      <c r="E34" t="s">
        <v>207</v>
      </c>
    </row>
    <row r="35" spans="1:9" x14ac:dyDescent="0.25">
      <c r="D35" s="86">
        <f>SUM(D33:D34)</f>
        <v>3719190524.1399698</v>
      </c>
    </row>
    <row r="38" spans="1:9" x14ac:dyDescent="0.25">
      <c r="B38" s="1"/>
      <c r="C38" s="1"/>
      <c r="D38" s="1"/>
      <c r="E38" s="1"/>
      <c r="F38" s="1"/>
      <c r="G38" s="1"/>
      <c r="H38" s="1"/>
      <c r="I38" s="1"/>
    </row>
    <row r="39" spans="1:9" x14ac:dyDescent="0.25">
      <c r="B39" s="1"/>
      <c r="C39" s="1"/>
      <c r="D39" s="1"/>
      <c r="E39" s="1"/>
      <c r="F39" s="1"/>
      <c r="G39" s="1"/>
      <c r="H39" s="1"/>
      <c r="I39" s="1"/>
    </row>
    <row r="40" spans="1:9" x14ac:dyDescent="0.25">
      <c r="A40" s="188" t="s">
        <v>181</v>
      </c>
      <c r="B40" s="188"/>
      <c r="C40" s="188"/>
      <c r="D40" s="1"/>
      <c r="E40" s="1" t="s">
        <v>195</v>
      </c>
      <c r="F40" s="1">
        <v>3501102255</v>
      </c>
      <c r="G40" s="1"/>
      <c r="H40" s="1"/>
      <c r="I40" s="1"/>
    </row>
    <row r="41" spans="1:9" x14ac:dyDescent="0.25">
      <c r="A41" s="67" t="s">
        <v>182</v>
      </c>
      <c r="B41" s="53" t="s">
        <v>183</v>
      </c>
      <c r="C41" s="53" t="s">
        <v>184</v>
      </c>
      <c r="D41" s="1"/>
      <c r="E41" s="1" t="s">
        <v>196</v>
      </c>
      <c r="F41" s="1">
        <v>1377970680</v>
      </c>
      <c r="G41" s="1"/>
      <c r="H41" s="1"/>
      <c r="I41" s="1"/>
    </row>
    <row r="42" spans="1:9" x14ac:dyDescent="0.25">
      <c r="A42" s="6" t="s">
        <v>185</v>
      </c>
      <c r="B42" s="70">
        <v>0.01</v>
      </c>
      <c r="C42" s="70">
        <v>0.01</v>
      </c>
      <c r="D42" s="1"/>
      <c r="E42" s="1" t="s">
        <v>197</v>
      </c>
      <c r="F42" s="1">
        <v>524131743</v>
      </c>
      <c r="G42" s="1"/>
      <c r="H42" s="1"/>
      <c r="I42" s="1"/>
    </row>
    <row r="43" spans="1:9" x14ac:dyDescent="0.25">
      <c r="A43" s="6" t="s">
        <v>186</v>
      </c>
      <c r="B43" s="70">
        <v>0.04</v>
      </c>
      <c r="C43" s="70">
        <v>0.04</v>
      </c>
      <c r="D43" s="1"/>
      <c r="E43" s="1"/>
      <c r="F43" s="1">
        <f>SUM(F40:F42)</f>
        <v>5403204678</v>
      </c>
      <c r="G43" s="1">
        <f>F43*1.3%</f>
        <v>70241660.81400001</v>
      </c>
      <c r="H43" s="1"/>
      <c r="I43" s="1"/>
    </row>
    <row r="44" spans="1:9" x14ac:dyDescent="0.25">
      <c r="A44" s="6" t="s">
        <v>187</v>
      </c>
      <c r="B44" s="71">
        <v>1.4999999999999999E-2</v>
      </c>
      <c r="C44" s="71">
        <v>1.4999999999999999E-2</v>
      </c>
      <c r="D44" s="1"/>
      <c r="E44" s="1"/>
      <c r="F44" s="1"/>
      <c r="G44" s="1"/>
      <c r="H44" s="1"/>
      <c r="I44" s="1"/>
    </row>
    <row r="45" spans="1:9" x14ac:dyDescent="0.25">
      <c r="A45" s="6" t="s">
        <v>188</v>
      </c>
      <c r="B45" s="70">
        <v>0.01</v>
      </c>
      <c r="C45" s="70">
        <v>0.01</v>
      </c>
      <c r="D45" s="1"/>
      <c r="E45" s="1"/>
      <c r="F45" s="1"/>
    </row>
    <row r="46" spans="1:9" x14ac:dyDescent="0.25">
      <c r="A46" s="6" t="s">
        <v>189</v>
      </c>
      <c r="B46" s="70">
        <v>0.04</v>
      </c>
      <c r="C46" s="70">
        <v>0.04</v>
      </c>
      <c r="D46" s="1"/>
      <c r="E46" s="1"/>
      <c r="F46" s="1"/>
    </row>
    <row r="47" spans="1:9" x14ac:dyDescent="0.25">
      <c r="A47" s="6" t="s">
        <v>190</v>
      </c>
      <c r="B47" s="70">
        <v>0.01</v>
      </c>
      <c r="C47" s="70">
        <v>0.01</v>
      </c>
      <c r="D47" s="1"/>
      <c r="E47" s="1"/>
      <c r="F47" s="1"/>
    </row>
    <row r="48" spans="1:9" x14ac:dyDescent="0.25">
      <c r="A48" s="6" t="s">
        <v>191</v>
      </c>
      <c r="B48" s="71">
        <v>2.5000000000000001E-2</v>
      </c>
      <c r="C48" s="71">
        <v>1.2E-2</v>
      </c>
      <c r="D48" s="1"/>
      <c r="E48" s="72"/>
      <c r="F48" s="1"/>
    </row>
    <row r="49" spans="1:6" x14ac:dyDescent="0.25">
      <c r="A49" s="6" t="s">
        <v>192</v>
      </c>
      <c r="B49" s="71">
        <v>0.02</v>
      </c>
      <c r="C49" s="71">
        <v>0.02</v>
      </c>
      <c r="D49" s="1"/>
      <c r="E49" s="72"/>
      <c r="F49" s="1"/>
    </row>
    <row r="50" spans="1:6" x14ac:dyDescent="0.25">
      <c r="A50" s="73" t="s">
        <v>160</v>
      </c>
      <c r="B50" s="69">
        <f>SUM(B42:B49)</f>
        <v>0.16999999999999998</v>
      </c>
      <c r="C50" s="69">
        <f>SUM(C42:C49)</f>
        <v>0.15699999999999997</v>
      </c>
      <c r="D50" s="1"/>
      <c r="E50" s="1"/>
      <c r="F50" s="1"/>
    </row>
    <row r="64" spans="1:6" x14ac:dyDescent="0.25">
      <c r="F64" s="1"/>
    </row>
  </sheetData>
  <mergeCells count="14">
    <mergeCell ref="I28:L28"/>
    <mergeCell ref="A1:J1"/>
    <mergeCell ref="I14:M14"/>
    <mergeCell ref="I22:M22"/>
    <mergeCell ref="J19:L19"/>
    <mergeCell ref="J27:L27"/>
    <mergeCell ref="I20:L20"/>
    <mergeCell ref="A40:C40"/>
    <mergeCell ref="A14:A15"/>
    <mergeCell ref="B14:B15"/>
    <mergeCell ref="E14:E15"/>
    <mergeCell ref="A23:D23"/>
    <mergeCell ref="B30:C30"/>
    <mergeCell ref="A31:C31"/>
  </mergeCells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FF00"/>
  </sheetPr>
  <dimension ref="A1:BR180"/>
  <sheetViews>
    <sheetView topLeftCell="E1" zoomScale="115" zoomScaleNormal="115" workbookViewId="0">
      <selection activeCell="K29" sqref="K29"/>
    </sheetView>
  </sheetViews>
  <sheetFormatPr baseColWidth="10" defaultRowHeight="15" x14ac:dyDescent="0.25"/>
  <cols>
    <col min="1" max="1" width="37.5703125" style="8" customWidth="1"/>
    <col min="2" max="2" width="18.85546875" customWidth="1"/>
    <col min="3" max="3" width="20.7109375" customWidth="1"/>
    <col min="4" max="4" width="21.42578125" customWidth="1"/>
    <col min="5" max="5" width="13" customWidth="1"/>
    <col min="6" max="6" width="14.140625" customWidth="1"/>
    <col min="7" max="7" width="16" style="1" customWidth="1"/>
    <col min="8" max="8" width="15.28515625" style="1" customWidth="1"/>
    <col min="9" max="9" width="18.42578125" style="1" bestFit="1" customWidth="1"/>
    <col min="10" max="10" width="14.5703125" style="1" customWidth="1"/>
    <col min="11" max="11" width="18.42578125" style="1" bestFit="1" customWidth="1"/>
    <col min="12" max="12" width="14.5703125" style="1" customWidth="1"/>
    <col min="13" max="13" width="15.42578125" style="1" customWidth="1"/>
    <col min="14" max="14" width="13.140625" style="1" customWidth="1"/>
    <col min="15" max="15" width="18.42578125" style="1" bestFit="1" customWidth="1"/>
    <col min="16" max="16" width="12.140625" style="1" bestFit="1" customWidth="1"/>
    <col min="17" max="17" width="18.42578125" style="1" bestFit="1" customWidth="1"/>
    <col min="18" max="20" width="11.42578125" style="1"/>
    <col min="21" max="21" width="18.42578125" style="1" bestFit="1" customWidth="1"/>
    <col min="22" max="22" width="12.140625" style="1" bestFit="1" customWidth="1"/>
    <col min="23" max="23" width="18.42578125" style="1" bestFit="1" customWidth="1"/>
    <col min="24" max="26" width="11.42578125" style="1"/>
    <col min="27" max="27" width="18.42578125" style="1" bestFit="1" customWidth="1"/>
    <col min="28" max="28" width="12.140625" style="1" bestFit="1" customWidth="1"/>
    <col min="29" max="29" width="18.42578125" style="1" bestFit="1" customWidth="1"/>
    <col min="30" max="32" width="11.42578125" style="1"/>
    <col min="33" max="33" width="18.42578125" style="1" bestFit="1" customWidth="1"/>
    <col min="34" max="34" width="12.140625" style="1" bestFit="1" customWidth="1"/>
    <col min="35" max="35" width="18.42578125" style="1" bestFit="1" customWidth="1"/>
    <col min="37" max="40" width="11.42578125" style="1"/>
    <col min="41" max="41" width="18.42578125" style="1" bestFit="1" customWidth="1"/>
    <col min="42" max="46" width="11.42578125" style="1"/>
    <col min="47" max="47" width="18.42578125" style="1" bestFit="1" customWidth="1"/>
    <col min="48" max="70" width="11.42578125" style="1"/>
  </cols>
  <sheetData>
    <row r="1" spans="1:70" x14ac:dyDescent="0.25">
      <c r="A1" s="220" t="s">
        <v>19</v>
      </c>
      <c r="B1" s="220"/>
      <c r="C1" s="220"/>
      <c r="D1" s="220"/>
      <c r="E1" s="220"/>
      <c r="F1" s="220"/>
    </row>
    <row r="2" spans="1:70" x14ac:dyDescent="0.25">
      <c r="A2" s="9"/>
      <c r="B2" s="9"/>
      <c r="C2" s="9"/>
      <c r="D2" s="9"/>
      <c r="E2" s="9"/>
      <c r="F2" s="9"/>
    </row>
    <row r="3" spans="1:70" x14ac:dyDescent="0.25">
      <c r="A3" s="13" t="s">
        <v>123</v>
      </c>
      <c r="B3" s="13" t="s">
        <v>121</v>
      </c>
      <c r="C3" s="13" t="s">
        <v>122</v>
      </c>
      <c r="D3" s="24" t="s">
        <v>124</v>
      </c>
      <c r="E3" s="9">
        <v>1750905</v>
      </c>
      <c r="F3" s="9"/>
    </row>
    <row r="4" spans="1:70" x14ac:dyDescent="0.25">
      <c r="A4" s="25" t="s">
        <v>164</v>
      </c>
      <c r="B4" s="18">
        <v>1890000</v>
      </c>
      <c r="C4" s="18">
        <f>(B4*65%)/30</f>
        <v>40950</v>
      </c>
      <c r="D4" s="16">
        <v>1580085</v>
      </c>
      <c r="E4" s="93">
        <f>$E$3/30</f>
        <v>58363.5</v>
      </c>
      <c r="F4" s="9"/>
    </row>
    <row r="5" spans="1:70" x14ac:dyDescent="0.25">
      <c r="A5" s="26" t="s">
        <v>163</v>
      </c>
      <c r="B5" s="19">
        <v>1890000</v>
      </c>
      <c r="C5" s="23">
        <f>(B5*95%)/30</f>
        <v>59850</v>
      </c>
      <c r="D5" s="9"/>
      <c r="E5" s="93"/>
      <c r="F5" s="9"/>
    </row>
    <row r="6" spans="1:70" x14ac:dyDescent="0.25">
      <c r="A6" s="27" t="s">
        <v>125</v>
      </c>
      <c r="B6" s="17">
        <v>1890000</v>
      </c>
      <c r="C6" s="17">
        <f>(B6*130%)/30</f>
        <v>81900</v>
      </c>
      <c r="D6" s="93"/>
      <c r="E6" s="93"/>
      <c r="F6" s="9"/>
    </row>
    <row r="7" spans="1:70" x14ac:dyDescent="0.25">
      <c r="A7" s="9"/>
      <c r="B7" s="9"/>
      <c r="C7" s="9"/>
      <c r="D7" s="9"/>
      <c r="E7" s="9"/>
      <c r="F7" s="9"/>
      <c r="G7" s="1">
        <f>G12-G11</f>
        <v>0</v>
      </c>
    </row>
    <row r="8" spans="1:70" x14ac:dyDescent="0.25">
      <c r="A8" s="9"/>
      <c r="B8" s="9"/>
      <c r="C8" s="9"/>
      <c r="D8" s="9"/>
      <c r="E8" s="9"/>
      <c r="F8" s="9"/>
    </row>
    <row r="9" spans="1:70" x14ac:dyDescent="0.25">
      <c r="A9" s="9"/>
      <c r="B9" s="9"/>
      <c r="C9" s="9"/>
      <c r="D9" s="9"/>
      <c r="E9" s="9"/>
      <c r="F9" s="239" t="s">
        <v>126</v>
      </c>
      <c r="G9" s="239"/>
      <c r="H9" s="239"/>
      <c r="I9" s="239"/>
      <c r="J9" s="239"/>
      <c r="K9" s="239"/>
      <c r="L9" s="219" t="s">
        <v>133</v>
      </c>
      <c r="M9" s="219"/>
      <c r="N9" s="219"/>
      <c r="O9" s="219"/>
      <c r="P9" s="219"/>
      <c r="Q9" s="219"/>
      <c r="R9" s="219" t="s">
        <v>134</v>
      </c>
      <c r="S9" s="219"/>
      <c r="T9" s="219"/>
      <c r="U9" s="219"/>
      <c r="V9" s="219"/>
      <c r="W9" s="219"/>
      <c r="X9" s="219" t="s">
        <v>135</v>
      </c>
      <c r="Y9" s="219"/>
      <c r="Z9" s="219"/>
      <c r="AA9" s="219"/>
      <c r="AB9" s="219"/>
      <c r="AC9" s="219"/>
      <c r="AD9" s="219" t="s">
        <v>136</v>
      </c>
      <c r="AE9" s="219"/>
      <c r="AF9" s="219"/>
      <c r="AG9" s="219"/>
      <c r="AH9" s="219"/>
      <c r="AI9" s="219"/>
      <c r="AJ9" s="219" t="s">
        <v>218</v>
      </c>
      <c r="AK9" s="219"/>
      <c r="AL9" s="219"/>
      <c r="AM9" s="219"/>
      <c r="AN9" s="219"/>
      <c r="AO9" s="219"/>
      <c r="AP9" s="219" t="s">
        <v>216</v>
      </c>
      <c r="AQ9" s="219"/>
      <c r="AR9" s="219"/>
      <c r="AS9" s="219"/>
      <c r="AT9" s="219"/>
      <c r="AU9" s="219"/>
    </row>
    <row r="10" spans="1:70" ht="30" x14ac:dyDescent="0.25">
      <c r="A10" s="13" t="s">
        <v>20</v>
      </c>
      <c r="B10" s="13" t="s">
        <v>21</v>
      </c>
      <c r="C10" s="13" t="s">
        <v>117</v>
      </c>
      <c r="D10" s="20" t="s">
        <v>118</v>
      </c>
      <c r="E10" s="20" t="s">
        <v>119</v>
      </c>
      <c r="F10" s="20" t="s">
        <v>127</v>
      </c>
      <c r="G10" s="39" t="s">
        <v>128</v>
      </c>
      <c r="H10" s="40" t="s">
        <v>129</v>
      </c>
      <c r="I10" s="40" t="s">
        <v>130</v>
      </c>
      <c r="J10" s="40" t="s">
        <v>131</v>
      </c>
      <c r="K10" s="40" t="s">
        <v>132</v>
      </c>
      <c r="L10" s="39" t="s">
        <v>127</v>
      </c>
      <c r="M10" s="39" t="s">
        <v>128</v>
      </c>
      <c r="N10" s="40" t="s">
        <v>129</v>
      </c>
      <c r="O10" s="40" t="s">
        <v>130</v>
      </c>
      <c r="P10" s="40" t="s">
        <v>131</v>
      </c>
      <c r="Q10" s="40" t="s">
        <v>132</v>
      </c>
      <c r="R10" s="39" t="s">
        <v>127</v>
      </c>
      <c r="S10" s="39" t="s">
        <v>128</v>
      </c>
      <c r="T10" s="40" t="s">
        <v>129</v>
      </c>
      <c r="U10" s="40" t="s">
        <v>130</v>
      </c>
      <c r="V10" s="40" t="s">
        <v>131</v>
      </c>
      <c r="W10" s="40" t="s">
        <v>132</v>
      </c>
      <c r="X10" s="39" t="s">
        <v>127</v>
      </c>
      <c r="Y10" s="39" t="s">
        <v>128</v>
      </c>
      <c r="Z10" s="40" t="s">
        <v>129</v>
      </c>
      <c r="AA10" s="40" t="s">
        <v>130</v>
      </c>
      <c r="AB10" s="40" t="s">
        <v>131</v>
      </c>
      <c r="AC10" s="40" t="s">
        <v>132</v>
      </c>
      <c r="AD10" s="39" t="s">
        <v>127</v>
      </c>
      <c r="AE10" s="39" t="s">
        <v>128</v>
      </c>
      <c r="AF10" s="40" t="s">
        <v>129</v>
      </c>
      <c r="AG10" s="40" t="s">
        <v>130</v>
      </c>
      <c r="AH10" s="40" t="s">
        <v>131</v>
      </c>
      <c r="AI10" s="40" t="s">
        <v>132</v>
      </c>
      <c r="AJ10" s="39" t="s">
        <v>127</v>
      </c>
      <c r="AK10" s="39" t="s">
        <v>128</v>
      </c>
      <c r="AL10" s="40" t="s">
        <v>129</v>
      </c>
      <c r="AM10" s="40" t="s">
        <v>130</v>
      </c>
      <c r="AN10" s="40" t="s">
        <v>131</v>
      </c>
      <c r="AO10" s="40" t="s">
        <v>132</v>
      </c>
      <c r="AP10" s="39" t="s">
        <v>127</v>
      </c>
      <c r="AQ10" s="39" t="s">
        <v>128</v>
      </c>
      <c r="AR10" s="40" t="s">
        <v>129</v>
      </c>
      <c r="AS10" s="40" t="s">
        <v>130</v>
      </c>
      <c r="AT10" s="40" t="s">
        <v>131</v>
      </c>
      <c r="AU10" s="40" t="s">
        <v>132</v>
      </c>
    </row>
    <row r="11" spans="1:70" s="31" customFormat="1" x14ac:dyDescent="0.25">
      <c r="A11" s="29" t="s">
        <v>23</v>
      </c>
      <c r="B11" s="30">
        <v>1</v>
      </c>
      <c r="C11" s="30">
        <v>4</v>
      </c>
      <c r="D11" s="30">
        <v>0</v>
      </c>
      <c r="E11" s="30">
        <f>C11+D11</f>
        <v>4</v>
      </c>
      <c r="F11" s="30">
        <v>10</v>
      </c>
      <c r="G11" s="41">
        <f>$C$4*F11</f>
        <v>409500</v>
      </c>
      <c r="H11" s="41">
        <f>($D$4*12.5%)/30*13</f>
        <v>85587.9375</v>
      </c>
      <c r="I11" s="41">
        <f>($D$4*2.436%)/30*13</f>
        <v>16679.377260000001</v>
      </c>
      <c r="J11" s="41">
        <f>($D$4*16%)/30*13</f>
        <v>109552.56000000001</v>
      </c>
      <c r="K11" s="41">
        <f>SUM(G11:J11)*B11</f>
        <v>621319.87476000004</v>
      </c>
      <c r="L11" s="41">
        <v>20</v>
      </c>
      <c r="M11" s="41">
        <f t="shared" ref="M11:M27" si="0">$C$4*L11</f>
        <v>819000</v>
      </c>
      <c r="N11" s="41">
        <f>$D$4*12.5%</f>
        <v>197510.625</v>
      </c>
      <c r="O11" s="41">
        <f t="shared" ref="O11:O42" si="1">$D$4*2.436%</f>
        <v>38490.870600000002</v>
      </c>
      <c r="P11" s="41">
        <f t="shared" ref="P11:P42" si="2">$D$4*16%</f>
        <v>252813.6</v>
      </c>
      <c r="Q11" s="41">
        <f>SUM(M11:P11)*B11</f>
        <v>1307815.0956000001</v>
      </c>
      <c r="R11" s="41">
        <v>19</v>
      </c>
      <c r="S11" s="41">
        <f>$C$4*R11</f>
        <v>778050</v>
      </c>
      <c r="T11" s="41">
        <f>$D$4*12.5%</f>
        <v>197510.625</v>
      </c>
      <c r="U11" s="41">
        <f>$D$4*2.436%</f>
        <v>38490.870600000002</v>
      </c>
      <c r="V11" s="41">
        <f>$D$4*16%</f>
        <v>252813.6</v>
      </c>
      <c r="W11" s="41">
        <f>SUM(S11:V11)*B11</f>
        <v>1266865.0956000001</v>
      </c>
      <c r="X11" s="41">
        <v>19</v>
      </c>
      <c r="Y11" s="41">
        <f>$C$4*X11</f>
        <v>778050</v>
      </c>
      <c r="Z11" s="41">
        <f t="shared" ref="Z11:Z42" si="3">$D$4*12.5%</f>
        <v>197510.625</v>
      </c>
      <c r="AA11" s="41">
        <f t="shared" ref="AA11:AA42" si="4">$D$4*2.436%</f>
        <v>38490.870600000002</v>
      </c>
      <c r="AB11" s="41">
        <f t="shared" ref="AB11:AB42" si="5">$D$4*16%</f>
        <v>252813.6</v>
      </c>
      <c r="AC11" s="41">
        <f>SUM(Y11:AB11)*B11</f>
        <v>1266865.0956000001</v>
      </c>
      <c r="AD11" s="41">
        <v>19</v>
      </c>
      <c r="AE11" s="41">
        <f>$C$4*AD11</f>
        <v>778050</v>
      </c>
      <c r="AF11" s="41">
        <f t="shared" ref="AF11:AF42" si="6">$D$4*12.5%</f>
        <v>197510.625</v>
      </c>
      <c r="AG11" s="41">
        <f t="shared" ref="AG11:AG42" si="7">$D$4*2.436%</f>
        <v>38490.870600000002</v>
      </c>
      <c r="AH11" s="41">
        <f t="shared" ref="AH11:AH42" si="8">$D$4*16%</f>
        <v>252813.6</v>
      </c>
      <c r="AI11" s="41">
        <f>SUM(AE11:AH11)*B11</f>
        <v>1266865.0956000001</v>
      </c>
      <c r="AJ11" s="41">
        <v>9</v>
      </c>
      <c r="AK11" s="41">
        <f>$C$4*AJ11</f>
        <v>368550</v>
      </c>
      <c r="AL11" s="41">
        <f>($D$4*12.5%)/30*12</f>
        <v>79004.25</v>
      </c>
      <c r="AM11" s="41">
        <f>($D$4*2.436%)/30*12</f>
        <v>15396.348240000003</v>
      </c>
      <c r="AN11" s="41">
        <f>($D$4*16%)/30*12</f>
        <v>101125.44</v>
      </c>
      <c r="AO11" s="41">
        <f>SUM(AK11:AN11)*B11</f>
        <v>564076.03824000002</v>
      </c>
      <c r="AP11" s="41">
        <v>0</v>
      </c>
      <c r="AQ11" s="41">
        <f>$C$4*AP11</f>
        <v>0</v>
      </c>
      <c r="AR11" s="41">
        <f>($D$4*12.5%)/30*10</f>
        <v>65836.875</v>
      </c>
      <c r="AS11" s="41">
        <f>($D$4*2.436%)/30*10</f>
        <v>12830.290200000001</v>
      </c>
      <c r="AT11" s="41">
        <f>($D$4*16%)/30*10</f>
        <v>84271.200000000012</v>
      </c>
      <c r="AU11" s="41">
        <f>SUM(AQ11:AT11)*B11</f>
        <v>162938.3652</v>
      </c>
      <c r="AV11" s="44"/>
      <c r="AW11" s="44"/>
      <c r="AX11" s="44"/>
      <c r="AY11" s="44"/>
      <c r="AZ11" s="44"/>
      <c r="BA11" s="44"/>
      <c r="BB11" s="44"/>
      <c r="BC11" s="44"/>
      <c r="BD11" s="44"/>
      <c r="BE11" s="44"/>
      <c r="BF11" s="44"/>
      <c r="BG11" s="44"/>
      <c r="BH11" s="44"/>
      <c r="BI11" s="44"/>
      <c r="BJ11" s="44"/>
      <c r="BK11" s="44"/>
      <c r="BL11" s="44"/>
      <c r="BM11" s="44"/>
      <c r="BN11" s="44"/>
      <c r="BO11" s="44"/>
      <c r="BP11" s="44"/>
      <c r="BQ11" s="44"/>
      <c r="BR11" s="44"/>
    </row>
    <row r="12" spans="1:70" s="31" customFormat="1" x14ac:dyDescent="0.25">
      <c r="A12" s="29" t="s">
        <v>31</v>
      </c>
      <c r="B12" s="30">
        <v>1</v>
      </c>
      <c r="C12" s="30">
        <v>4</v>
      </c>
      <c r="D12" s="30">
        <v>0</v>
      </c>
      <c r="E12" s="30">
        <f t="shared" ref="E12:E76" si="9">C12+D12</f>
        <v>4</v>
      </c>
      <c r="F12" s="30">
        <v>10</v>
      </c>
      <c r="G12" s="41">
        <f t="shared" ref="G12:G27" si="10">$C$4*F12</f>
        <v>409500</v>
      </c>
      <c r="H12" s="41">
        <f t="shared" ref="H12:H42" si="11">($D$4*12.5%)/30*13</f>
        <v>85587.9375</v>
      </c>
      <c r="I12" s="41">
        <f t="shared" ref="I12:I42" si="12">($D$4*2.436%)/30*13</f>
        <v>16679.377260000001</v>
      </c>
      <c r="J12" s="41">
        <f t="shared" ref="J12:J42" si="13">($D$4*16%)/30*13</f>
        <v>109552.56000000001</v>
      </c>
      <c r="K12" s="41">
        <f t="shared" ref="K12:K27" si="14">SUM(G12:J12)*B12</f>
        <v>621319.87476000004</v>
      </c>
      <c r="L12" s="41">
        <v>20</v>
      </c>
      <c r="M12" s="41">
        <f t="shared" si="0"/>
        <v>819000</v>
      </c>
      <c r="N12" s="41">
        <f t="shared" ref="N12:N42" si="15">$D$4*12.5%</f>
        <v>197510.625</v>
      </c>
      <c r="O12" s="41">
        <f t="shared" si="1"/>
        <v>38490.870600000002</v>
      </c>
      <c r="P12" s="41">
        <f t="shared" si="2"/>
        <v>252813.6</v>
      </c>
      <c r="Q12" s="41">
        <f t="shared" ref="Q12:Q76" si="16">SUM(M12:P12)*B12</f>
        <v>1307815.0956000001</v>
      </c>
      <c r="R12" s="41">
        <v>19</v>
      </c>
      <c r="S12" s="41">
        <f t="shared" ref="S12:S27" si="17">$C$4*R12</f>
        <v>778050</v>
      </c>
      <c r="T12" s="41">
        <f t="shared" ref="T12:T42" si="18">$D$4*12.5%</f>
        <v>197510.625</v>
      </c>
      <c r="U12" s="41">
        <f t="shared" ref="U12:U42" si="19">$D$4*2.436%</f>
        <v>38490.870600000002</v>
      </c>
      <c r="V12" s="41">
        <f t="shared" ref="V12:V42" si="20">$D$4*16%</f>
        <v>252813.6</v>
      </c>
      <c r="W12" s="41">
        <f t="shared" ref="W12:W76" si="21">SUM(S12:V12)*B12</f>
        <v>1266865.0956000001</v>
      </c>
      <c r="X12" s="41">
        <v>19</v>
      </c>
      <c r="Y12" s="41">
        <f t="shared" ref="Y12:Y27" si="22">$C$4*X12</f>
        <v>778050</v>
      </c>
      <c r="Z12" s="41">
        <f t="shared" si="3"/>
        <v>197510.625</v>
      </c>
      <c r="AA12" s="41">
        <f t="shared" si="4"/>
        <v>38490.870600000002</v>
      </c>
      <c r="AB12" s="41">
        <f t="shared" si="5"/>
        <v>252813.6</v>
      </c>
      <c r="AC12" s="41">
        <f t="shared" ref="AC12:AC76" si="23">SUM(Y12:AB12)*B12</f>
        <v>1266865.0956000001</v>
      </c>
      <c r="AD12" s="41">
        <v>19</v>
      </c>
      <c r="AE12" s="41">
        <f t="shared" ref="AE12:AE27" si="24">$C$4*AD12</f>
        <v>778050</v>
      </c>
      <c r="AF12" s="41">
        <f t="shared" si="6"/>
        <v>197510.625</v>
      </c>
      <c r="AG12" s="41">
        <f t="shared" si="7"/>
        <v>38490.870600000002</v>
      </c>
      <c r="AH12" s="41">
        <f t="shared" si="8"/>
        <v>252813.6</v>
      </c>
      <c r="AI12" s="41">
        <f t="shared" ref="AI12:AI76" si="25">SUM(AE12:AH12)*B12</f>
        <v>1266865.0956000001</v>
      </c>
      <c r="AJ12" s="41">
        <v>9</v>
      </c>
      <c r="AK12" s="41">
        <f t="shared" ref="AK12:AK27" si="26">$C$4*AJ12</f>
        <v>368550</v>
      </c>
      <c r="AL12" s="41">
        <f t="shared" ref="AL12:AL27" si="27">($D$4*12.5%)/30*12</f>
        <v>79004.25</v>
      </c>
      <c r="AM12" s="41">
        <f t="shared" ref="AM12:AM27" si="28">($D$4*2.436%)/30*12</f>
        <v>15396.348240000003</v>
      </c>
      <c r="AN12" s="41">
        <f t="shared" ref="AN12:AN27" si="29">($D$4*16%)/30*12</f>
        <v>101125.44</v>
      </c>
      <c r="AO12" s="41">
        <f t="shared" ref="AO12:AO76" si="30">SUM(AK12:AN12)*B12</f>
        <v>564076.03824000002</v>
      </c>
      <c r="AP12" s="41">
        <v>0</v>
      </c>
      <c r="AQ12" s="41">
        <f t="shared" ref="AQ12:AQ27" si="31">$C$4*AP12</f>
        <v>0</v>
      </c>
      <c r="AR12" s="41">
        <f t="shared" ref="AR12:AR27" si="32">($D$4*12.5%)/30*10</f>
        <v>65836.875</v>
      </c>
      <c r="AS12" s="41">
        <f t="shared" ref="AS12:AS27" si="33">($D$4*2.436%)/30*10</f>
        <v>12830.290200000001</v>
      </c>
      <c r="AT12" s="41">
        <f t="shared" ref="AT12:AT27" si="34">($D$4*16%)/30*10</f>
        <v>84271.200000000012</v>
      </c>
      <c r="AU12" s="41">
        <f t="shared" ref="AU12:AU76" si="35">SUM(AQ12:AT12)*B12</f>
        <v>162938.3652</v>
      </c>
      <c r="AV12" s="44"/>
      <c r="AW12" s="44"/>
      <c r="AX12" s="44"/>
      <c r="AY12" s="44"/>
      <c r="AZ12" s="44"/>
      <c r="BA12" s="44"/>
      <c r="BB12" s="44"/>
      <c r="BC12" s="44"/>
      <c r="BD12" s="44"/>
      <c r="BE12" s="44"/>
      <c r="BF12" s="44"/>
      <c r="BG12" s="44"/>
      <c r="BH12" s="44"/>
      <c r="BI12" s="44"/>
      <c r="BJ12" s="44"/>
      <c r="BK12" s="44"/>
      <c r="BL12" s="44"/>
      <c r="BM12" s="44"/>
      <c r="BN12" s="44"/>
      <c r="BO12" s="44"/>
      <c r="BP12" s="44"/>
      <c r="BQ12" s="44"/>
      <c r="BR12" s="44"/>
    </row>
    <row r="13" spans="1:70" s="31" customFormat="1" x14ac:dyDescent="0.25">
      <c r="A13" s="29" t="s">
        <v>38</v>
      </c>
      <c r="B13" s="30">
        <v>1</v>
      </c>
      <c r="C13" s="30">
        <v>7</v>
      </c>
      <c r="D13" s="30">
        <v>0</v>
      </c>
      <c r="E13" s="30">
        <f t="shared" si="9"/>
        <v>7</v>
      </c>
      <c r="F13" s="30">
        <v>10</v>
      </c>
      <c r="G13" s="41">
        <f t="shared" si="10"/>
        <v>409500</v>
      </c>
      <c r="H13" s="41">
        <f t="shared" si="11"/>
        <v>85587.9375</v>
      </c>
      <c r="I13" s="41">
        <f t="shared" si="12"/>
        <v>16679.377260000001</v>
      </c>
      <c r="J13" s="41">
        <f t="shared" si="13"/>
        <v>109552.56000000001</v>
      </c>
      <c r="K13" s="41">
        <f t="shared" si="14"/>
        <v>621319.87476000004</v>
      </c>
      <c r="L13" s="41">
        <v>20</v>
      </c>
      <c r="M13" s="41">
        <f t="shared" si="0"/>
        <v>819000</v>
      </c>
      <c r="N13" s="41">
        <f t="shared" si="15"/>
        <v>197510.625</v>
      </c>
      <c r="O13" s="41">
        <f t="shared" si="1"/>
        <v>38490.870600000002</v>
      </c>
      <c r="P13" s="41">
        <f t="shared" si="2"/>
        <v>252813.6</v>
      </c>
      <c r="Q13" s="41">
        <f t="shared" si="16"/>
        <v>1307815.0956000001</v>
      </c>
      <c r="R13" s="41">
        <v>19</v>
      </c>
      <c r="S13" s="41">
        <f t="shared" si="17"/>
        <v>778050</v>
      </c>
      <c r="T13" s="41">
        <f t="shared" si="18"/>
        <v>197510.625</v>
      </c>
      <c r="U13" s="41">
        <f t="shared" si="19"/>
        <v>38490.870600000002</v>
      </c>
      <c r="V13" s="41">
        <f t="shared" si="20"/>
        <v>252813.6</v>
      </c>
      <c r="W13" s="41">
        <f t="shared" si="21"/>
        <v>1266865.0956000001</v>
      </c>
      <c r="X13" s="41">
        <v>19</v>
      </c>
      <c r="Y13" s="41">
        <f t="shared" si="22"/>
        <v>778050</v>
      </c>
      <c r="Z13" s="41">
        <f t="shared" si="3"/>
        <v>197510.625</v>
      </c>
      <c r="AA13" s="41">
        <f t="shared" si="4"/>
        <v>38490.870600000002</v>
      </c>
      <c r="AB13" s="41">
        <f t="shared" si="5"/>
        <v>252813.6</v>
      </c>
      <c r="AC13" s="41">
        <f t="shared" si="23"/>
        <v>1266865.0956000001</v>
      </c>
      <c r="AD13" s="41">
        <v>19</v>
      </c>
      <c r="AE13" s="41">
        <f t="shared" si="24"/>
        <v>778050</v>
      </c>
      <c r="AF13" s="41">
        <f t="shared" si="6"/>
        <v>197510.625</v>
      </c>
      <c r="AG13" s="41">
        <f t="shared" si="7"/>
        <v>38490.870600000002</v>
      </c>
      <c r="AH13" s="41">
        <f t="shared" si="8"/>
        <v>252813.6</v>
      </c>
      <c r="AI13" s="41">
        <f t="shared" si="25"/>
        <v>1266865.0956000001</v>
      </c>
      <c r="AJ13" s="41">
        <v>9</v>
      </c>
      <c r="AK13" s="41">
        <f t="shared" si="26"/>
        <v>368550</v>
      </c>
      <c r="AL13" s="41">
        <f t="shared" si="27"/>
        <v>79004.25</v>
      </c>
      <c r="AM13" s="41">
        <f t="shared" si="28"/>
        <v>15396.348240000003</v>
      </c>
      <c r="AN13" s="41">
        <f t="shared" si="29"/>
        <v>101125.44</v>
      </c>
      <c r="AO13" s="41">
        <f t="shared" si="30"/>
        <v>564076.03824000002</v>
      </c>
      <c r="AP13" s="41">
        <v>0</v>
      </c>
      <c r="AQ13" s="41">
        <f t="shared" si="31"/>
        <v>0</v>
      </c>
      <c r="AR13" s="41">
        <f t="shared" si="32"/>
        <v>65836.875</v>
      </c>
      <c r="AS13" s="41">
        <f t="shared" si="33"/>
        <v>12830.290200000001</v>
      </c>
      <c r="AT13" s="41">
        <f t="shared" si="34"/>
        <v>84271.200000000012</v>
      </c>
      <c r="AU13" s="41">
        <f t="shared" si="35"/>
        <v>162938.3652</v>
      </c>
      <c r="AV13" s="44"/>
      <c r="AW13" s="44"/>
      <c r="AX13" s="44"/>
      <c r="AY13" s="44"/>
      <c r="AZ13" s="44"/>
      <c r="BA13" s="44"/>
      <c r="BB13" s="44"/>
      <c r="BC13" s="44"/>
      <c r="BD13" s="44"/>
      <c r="BE13" s="44"/>
      <c r="BF13" s="44"/>
      <c r="BG13" s="44"/>
      <c r="BH13" s="44"/>
      <c r="BI13" s="44"/>
      <c r="BJ13" s="44"/>
      <c r="BK13" s="44"/>
      <c r="BL13" s="44"/>
      <c r="BM13" s="44"/>
      <c r="BN13" s="44"/>
      <c r="BO13" s="44"/>
      <c r="BP13" s="44"/>
      <c r="BQ13" s="44"/>
      <c r="BR13" s="44"/>
    </row>
    <row r="14" spans="1:70" s="31" customFormat="1" x14ac:dyDescent="0.25">
      <c r="A14" s="29" t="s">
        <v>43</v>
      </c>
      <c r="B14" s="30">
        <v>1</v>
      </c>
      <c r="C14" s="30">
        <v>5</v>
      </c>
      <c r="D14" s="30">
        <v>0</v>
      </c>
      <c r="E14" s="30">
        <f t="shared" si="9"/>
        <v>5</v>
      </c>
      <c r="F14" s="30">
        <v>10</v>
      </c>
      <c r="G14" s="41">
        <f t="shared" si="10"/>
        <v>409500</v>
      </c>
      <c r="H14" s="41">
        <f t="shared" si="11"/>
        <v>85587.9375</v>
      </c>
      <c r="I14" s="41">
        <f t="shared" si="12"/>
        <v>16679.377260000001</v>
      </c>
      <c r="J14" s="41">
        <f t="shared" si="13"/>
        <v>109552.56000000001</v>
      </c>
      <c r="K14" s="41">
        <f t="shared" si="14"/>
        <v>621319.87476000004</v>
      </c>
      <c r="L14" s="41">
        <v>20</v>
      </c>
      <c r="M14" s="41">
        <f t="shared" si="0"/>
        <v>819000</v>
      </c>
      <c r="N14" s="41">
        <f t="shared" si="15"/>
        <v>197510.625</v>
      </c>
      <c r="O14" s="41">
        <f t="shared" si="1"/>
        <v>38490.870600000002</v>
      </c>
      <c r="P14" s="41">
        <f t="shared" si="2"/>
        <v>252813.6</v>
      </c>
      <c r="Q14" s="41">
        <f t="shared" si="16"/>
        <v>1307815.0956000001</v>
      </c>
      <c r="R14" s="41">
        <v>19</v>
      </c>
      <c r="S14" s="41">
        <f t="shared" si="17"/>
        <v>778050</v>
      </c>
      <c r="T14" s="41">
        <f t="shared" si="18"/>
        <v>197510.625</v>
      </c>
      <c r="U14" s="41">
        <f t="shared" si="19"/>
        <v>38490.870600000002</v>
      </c>
      <c r="V14" s="41">
        <f t="shared" si="20"/>
        <v>252813.6</v>
      </c>
      <c r="W14" s="41">
        <f t="shared" si="21"/>
        <v>1266865.0956000001</v>
      </c>
      <c r="X14" s="41">
        <v>19</v>
      </c>
      <c r="Y14" s="41">
        <f t="shared" si="22"/>
        <v>778050</v>
      </c>
      <c r="Z14" s="41">
        <f t="shared" si="3"/>
        <v>197510.625</v>
      </c>
      <c r="AA14" s="41">
        <f t="shared" si="4"/>
        <v>38490.870600000002</v>
      </c>
      <c r="AB14" s="41">
        <f t="shared" si="5"/>
        <v>252813.6</v>
      </c>
      <c r="AC14" s="41">
        <f t="shared" si="23"/>
        <v>1266865.0956000001</v>
      </c>
      <c r="AD14" s="41">
        <v>19</v>
      </c>
      <c r="AE14" s="41">
        <f t="shared" si="24"/>
        <v>778050</v>
      </c>
      <c r="AF14" s="41">
        <f t="shared" si="6"/>
        <v>197510.625</v>
      </c>
      <c r="AG14" s="41">
        <f t="shared" si="7"/>
        <v>38490.870600000002</v>
      </c>
      <c r="AH14" s="41">
        <f t="shared" si="8"/>
        <v>252813.6</v>
      </c>
      <c r="AI14" s="41">
        <f t="shared" si="25"/>
        <v>1266865.0956000001</v>
      </c>
      <c r="AJ14" s="41">
        <v>9</v>
      </c>
      <c r="AK14" s="41">
        <f t="shared" si="26"/>
        <v>368550</v>
      </c>
      <c r="AL14" s="41">
        <f t="shared" si="27"/>
        <v>79004.25</v>
      </c>
      <c r="AM14" s="41">
        <f t="shared" si="28"/>
        <v>15396.348240000003</v>
      </c>
      <c r="AN14" s="41">
        <f t="shared" si="29"/>
        <v>101125.44</v>
      </c>
      <c r="AO14" s="41">
        <f t="shared" si="30"/>
        <v>564076.03824000002</v>
      </c>
      <c r="AP14" s="41">
        <v>0</v>
      </c>
      <c r="AQ14" s="41">
        <f t="shared" si="31"/>
        <v>0</v>
      </c>
      <c r="AR14" s="41">
        <f t="shared" si="32"/>
        <v>65836.875</v>
      </c>
      <c r="AS14" s="41">
        <f t="shared" si="33"/>
        <v>12830.290200000001</v>
      </c>
      <c r="AT14" s="41">
        <f t="shared" si="34"/>
        <v>84271.200000000012</v>
      </c>
      <c r="AU14" s="41">
        <f t="shared" si="35"/>
        <v>162938.3652</v>
      </c>
      <c r="AV14" s="44"/>
      <c r="AW14" s="44"/>
      <c r="AX14" s="44"/>
      <c r="AY14" s="44"/>
      <c r="AZ14" s="44"/>
      <c r="BA14" s="44"/>
      <c r="BB14" s="44"/>
      <c r="BC14" s="44"/>
      <c r="BD14" s="44"/>
      <c r="BE14" s="44"/>
      <c r="BF14" s="44"/>
      <c r="BG14" s="44"/>
      <c r="BH14" s="44"/>
      <c r="BI14" s="44"/>
      <c r="BJ14" s="44"/>
      <c r="BK14" s="44"/>
      <c r="BL14" s="44"/>
      <c r="BM14" s="44"/>
      <c r="BN14" s="44"/>
      <c r="BO14" s="44"/>
      <c r="BP14" s="44"/>
      <c r="BQ14" s="44"/>
      <c r="BR14" s="44"/>
    </row>
    <row r="15" spans="1:70" s="31" customFormat="1" x14ac:dyDescent="0.25">
      <c r="A15" s="29" t="s">
        <v>45</v>
      </c>
      <c r="B15" s="30">
        <v>1</v>
      </c>
      <c r="C15" s="30">
        <v>3</v>
      </c>
      <c r="D15" s="30">
        <v>0</v>
      </c>
      <c r="E15" s="30">
        <f t="shared" si="9"/>
        <v>3</v>
      </c>
      <c r="F15" s="30">
        <v>10</v>
      </c>
      <c r="G15" s="41">
        <f t="shared" si="10"/>
        <v>409500</v>
      </c>
      <c r="H15" s="41">
        <f t="shared" si="11"/>
        <v>85587.9375</v>
      </c>
      <c r="I15" s="41">
        <f t="shared" si="12"/>
        <v>16679.377260000001</v>
      </c>
      <c r="J15" s="41">
        <f t="shared" si="13"/>
        <v>109552.56000000001</v>
      </c>
      <c r="K15" s="41">
        <f t="shared" si="14"/>
        <v>621319.87476000004</v>
      </c>
      <c r="L15" s="41">
        <v>20</v>
      </c>
      <c r="M15" s="41">
        <f t="shared" si="0"/>
        <v>819000</v>
      </c>
      <c r="N15" s="41">
        <f t="shared" si="15"/>
        <v>197510.625</v>
      </c>
      <c r="O15" s="41">
        <f t="shared" si="1"/>
        <v>38490.870600000002</v>
      </c>
      <c r="P15" s="41">
        <f t="shared" si="2"/>
        <v>252813.6</v>
      </c>
      <c r="Q15" s="41">
        <f t="shared" si="16"/>
        <v>1307815.0956000001</v>
      </c>
      <c r="R15" s="41">
        <v>19</v>
      </c>
      <c r="S15" s="41">
        <f t="shared" si="17"/>
        <v>778050</v>
      </c>
      <c r="T15" s="41">
        <f t="shared" si="18"/>
        <v>197510.625</v>
      </c>
      <c r="U15" s="41">
        <f t="shared" si="19"/>
        <v>38490.870600000002</v>
      </c>
      <c r="V15" s="41">
        <f t="shared" si="20"/>
        <v>252813.6</v>
      </c>
      <c r="W15" s="41">
        <f t="shared" si="21"/>
        <v>1266865.0956000001</v>
      </c>
      <c r="X15" s="41">
        <v>19</v>
      </c>
      <c r="Y15" s="41">
        <f t="shared" si="22"/>
        <v>778050</v>
      </c>
      <c r="Z15" s="41">
        <f t="shared" si="3"/>
        <v>197510.625</v>
      </c>
      <c r="AA15" s="41">
        <f t="shared" si="4"/>
        <v>38490.870600000002</v>
      </c>
      <c r="AB15" s="41">
        <f t="shared" si="5"/>
        <v>252813.6</v>
      </c>
      <c r="AC15" s="41">
        <f t="shared" si="23"/>
        <v>1266865.0956000001</v>
      </c>
      <c r="AD15" s="41">
        <v>19</v>
      </c>
      <c r="AE15" s="41">
        <f t="shared" si="24"/>
        <v>778050</v>
      </c>
      <c r="AF15" s="41">
        <f t="shared" si="6"/>
        <v>197510.625</v>
      </c>
      <c r="AG15" s="41">
        <f t="shared" si="7"/>
        <v>38490.870600000002</v>
      </c>
      <c r="AH15" s="41">
        <f t="shared" si="8"/>
        <v>252813.6</v>
      </c>
      <c r="AI15" s="41">
        <f t="shared" si="25"/>
        <v>1266865.0956000001</v>
      </c>
      <c r="AJ15" s="41">
        <v>9</v>
      </c>
      <c r="AK15" s="41">
        <f t="shared" si="26"/>
        <v>368550</v>
      </c>
      <c r="AL15" s="41">
        <f t="shared" si="27"/>
        <v>79004.25</v>
      </c>
      <c r="AM15" s="41">
        <f t="shared" si="28"/>
        <v>15396.348240000003</v>
      </c>
      <c r="AN15" s="41">
        <f t="shared" si="29"/>
        <v>101125.44</v>
      </c>
      <c r="AO15" s="41">
        <f t="shared" si="30"/>
        <v>564076.03824000002</v>
      </c>
      <c r="AP15" s="41">
        <v>0</v>
      </c>
      <c r="AQ15" s="41">
        <f t="shared" si="31"/>
        <v>0</v>
      </c>
      <c r="AR15" s="41">
        <f t="shared" si="32"/>
        <v>65836.875</v>
      </c>
      <c r="AS15" s="41">
        <f t="shared" si="33"/>
        <v>12830.290200000001</v>
      </c>
      <c r="AT15" s="41">
        <f t="shared" si="34"/>
        <v>84271.200000000012</v>
      </c>
      <c r="AU15" s="41">
        <f t="shared" si="35"/>
        <v>162938.3652</v>
      </c>
      <c r="AV15" s="44"/>
      <c r="AW15" s="44"/>
      <c r="AX15" s="44"/>
      <c r="AY15" s="44"/>
      <c r="AZ15" s="44"/>
      <c r="BA15" s="44"/>
      <c r="BB15" s="44"/>
      <c r="BC15" s="44"/>
      <c r="BD15" s="44"/>
      <c r="BE15" s="44"/>
      <c r="BF15" s="44"/>
      <c r="BG15" s="44"/>
      <c r="BH15" s="44"/>
      <c r="BI15" s="44"/>
      <c r="BJ15" s="44"/>
      <c r="BK15" s="44"/>
      <c r="BL15" s="44"/>
      <c r="BM15" s="44"/>
      <c r="BN15" s="44"/>
      <c r="BO15" s="44"/>
      <c r="BP15" s="44"/>
      <c r="BQ15" s="44"/>
      <c r="BR15" s="44"/>
    </row>
    <row r="16" spans="1:70" s="31" customFormat="1" x14ac:dyDescent="0.25">
      <c r="A16" s="29" t="s">
        <v>48</v>
      </c>
      <c r="B16" s="30">
        <v>1</v>
      </c>
      <c r="C16" s="30">
        <v>4</v>
      </c>
      <c r="D16" s="30">
        <v>0</v>
      </c>
      <c r="E16" s="30">
        <f t="shared" si="9"/>
        <v>4</v>
      </c>
      <c r="F16" s="30">
        <v>10</v>
      </c>
      <c r="G16" s="41">
        <f t="shared" si="10"/>
        <v>409500</v>
      </c>
      <c r="H16" s="41">
        <f t="shared" si="11"/>
        <v>85587.9375</v>
      </c>
      <c r="I16" s="41">
        <f t="shared" si="12"/>
        <v>16679.377260000001</v>
      </c>
      <c r="J16" s="41">
        <f t="shared" si="13"/>
        <v>109552.56000000001</v>
      </c>
      <c r="K16" s="41">
        <f t="shared" si="14"/>
        <v>621319.87476000004</v>
      </c>
      <c r="L16" s="41">
        <v>20</v>
      </c>
      <c r="M16" s="41">
        <f t="shared" si="0"/>
        <v>819000</v>
      </c>
      <c r="N16" s="41">
        <f t="shared" si="15"/>
        <v>197510.625</v>
      </c>
      <c r="O16" s="41">
        <f t="shared" si="1"/>
        <v>38490.870600000002</v>
      </c>
      <c r="P16" s="41">
        <f t="shared" si="2"/>
        <v>252813.6</v>
      </c>
      <c r="Q16" s="41">
        <f t="shared" si="16"/>
        <v>1307815.0956000001</v>
      </c>
      <c r="R16" s="41">
        <v>19</v>
      </c>
      <c r="S16" s="41">
        <f t="shared" si="17"/>
        <v>778050</v>
      </c>
      <c r="T16" s="41">
        <f t="shared" si="18"/>
        <v>197510.625</v>
      </c>
      <c r="U16" s="41">
        <f t="shared" si="19"/>
        <v>38490.870600000002</v>
      </c>
      <c r="V16" s="41">
        <f t="shared" si="20"/>
        <v>252813.6</v>
      </c>
      <c r="W16" s="41">
        <f t="shared" si="21"/>
        <v>1266865.0956000001</v>
      </c>
      <c r="X16" s="41">
        <v>19</v>
      </c>
      <c r="Y16" s="41">
        <f t="shared" si="22"/>
        <v>778050</v>
      </c>
      <c r="Z16" s="41">
        <f t="shared" si="3"/>
        <v>197510.625</v>
      </c>
      <c r="AA16" s="41">
        <f t="shared" si="4"/>
        <v>38490.870600000002</v>
      </c>
      <c r="AB16" s="41">
        <f t="shared" si="5"/>
        <v>252813.6</v>
      </c>
      <c r="AC16" s="41">
        <f t="shared" si="23"/>
        <v>1266865.0956000001</v>
      </c>
      <c r="AD16" s="41">
        <v>19</v>
      </c>
      <c r="AE16" s="41">
        <f t="shared" si="24"/>
        <v>778050</v>
      </c>
      <c r="AF16" s="41">
        <f t="shared" si="6"/>
        <v>197510.625</v>
      </c>
      <c r="AG16" s="41">
        <f t="shared" si="7"/>
        <v>38490.870600000002</v>
      </c>
      <c r="AH16" s="41">
        <f t="shared" si="8"/>
        <v>252813.6</v>
      </c>
      <c r="AI16" s="41">
        <f t="shared" si="25"/>
        <v>1266865.0956000001</v>
      </c>
      <c r="AJ16" s="41">
        <v>9</v>
      </c>
      <c r="AK16" s="41">
        <f t="shared" si="26"/>
        <v>368550</v>
      </c>
      <c r="AL16" s="41">
        <f t="shared" si="27"/>
        <v>79004.25</v>
      </c>
      <c r="AM16" s="41">
        <f t="shared" si="28"/>
        <v>15396.348240000003</v>
      </c>
      <c r="AN16" s="41">
        <f t="shared" si="29"/>
        <v>101125.44</v>
      </c>
      <c r="AO16" s="41">
        <f t="shared" si="30"/>
        <v>564076.03824000002</v>
      </c>
      <c r="AP16" s="41">
        <v>0</v>
      </c>
      <c r="AQ16" s="41">
        <f t="shared" si="31"/>
        <v>0</v>
      </c>
      <c r="AR16" s="41">
        <f t="shared" si="32"/>
        <v>65836.875</v>
      </c>
      <c r="AS16" s="41">
        <f t="shared" si="33"/>
        <v>12830.290200000001</v>
      </c>
      <c r="AT16" s="41">
        <f t="shared" si="34"/>
        <v>84271.200000000012</v>
      </c>
      <c r="AU16" s="41">
        <f t="shared" si="35"/>
        <v>162938.3652</v>
      </c>
      <c r="AV16" s="44"/>
      <c r="AW16" s="44"/>
      <c r="AX16" s="44"/>
      <c r="AY16" s="44"/>
      <c r="AZ16" s="44"/>
      <c r="BA16" s="44"/>
      <c r="BB16" s="44"/>
      <c r="BC16" s="44"/>
      <c r="BD16" s="44"/>
      <c r="BE16" s="44"/>
      <c r="BF16" s="44"/>
      <c r="BG16" s="44"/>
      <c r="BH16" s="44"/>
      <c r="BI16" s="44"/>
      <c r="BJ16" s="44"/>
      <c r="BK16" s="44"/>
      <c r="BL16" s="44"/>
      <c r="BM16" s="44"/>
      <c r="BN16" s="44"/>
      <c r="BO16" s="44"/>
      <c r="BP16" s="44"/>
      <c r="BQ16" s="44"/>
      <c r="BR16" s="44"/>
    </row>
    <row r="17" spans="1:70" s="31" customFormat="1" x14ac:dyDescent="0.25">
      <c r="A17" s="29" t="s">
        <v>49</v>
      </c>
      <c r="B17" s="30">
        <v>1</v>
      </c>
      <c r="C17" s="30">
        <v>3</v>
      </c>
      <c r="D17" s="30">
        <v>0</v>
      </c>
      <c r="E17" s="30">
        <f t="shared" si="9"/>
        <v>3</v>
      </c>
      <c r="F17" s="30">
        <v>10</v>
      </c>
      <c r="G17" s="41">
        <f t="shared" si="10"/>
        <v>409500</v>
      </c>
      <c r="H17" s="41">
        <f t="shared" si="11"/>
        <v>85587.9375</v>
      </c>
      <c r="I17" s="41">
        <f t="shared" si="12"/>
        <v>16679.377260000001</v>
      </c>
      <c r="J17" s="41">
        <f t="shared" si="13"/>
        <v>109552.56000000001</v>
      </c>
      <c r="K17" s="41">
        <f t="shared" si="14"/>
        <v>621319.87476000004</v>
      </c>
      <c r="L17" s="41">
        <v>20</v>
      </c>
      <c r="M17" s="41">
        <f t="shared" si="0"/>
        <v>819000</v>
      </c>
      <c r="N17" s="41">
        <f t="shared" si="15"/>
        <v>197510.625</v>
      </c>
      <c r="O17" s="41">
        <f t="shared" si="1"/>
        <v>38490.870600000002</v>
      </c>
      <c r="P17" s="41">
        <f t="shared" si="2"/>
        <v>252813.6</v>
      </c>
      <c r="Q17" s="41">
        <f t="shared" si="16"/>
        <v>1307815.0956000001</v>
      </c>
      <c r="R17" s="41">
        <v>19</v>
      </c>
      <c r="S17" s="41">
        <f t="shared" si="17"/>
        <v>778050</v>
      </c>
      <c r="T17" s="41">
        <f t="shared" si="18"/>
        <v>197510.625</v>
      </c>
      <c r="U17" s="41">
        <f t="shared" si="19"/>
        <v>38490.870600000002</v>
      </c>
      <c r="V17" s="41">
        <f t="shared" si="20"/>
        <v>252813.6</v>
      </c>
      <c r="W17" s="41">
        <f t="shared" si="21"/>
        <v>1266865.0956000001</v>
      </c>
      <c r="X17" s="41">
        <v>19</v>
      </c>
      <c r="Y17" s="41">
        <f t="shared" si="22"/>
        <v>778050</v>
      </c>
      <c r="Z17" s="41">
        <f t="shared" si="3"/>
        <v>197510.625</v>
      </c>
      <c r="AA17" s="41">
        <f t="shared" si="4"/>
        <v>38490.870600000002</v>
      </c>
      <c r="AB17" s="41">
        <f t="shared" si="5"/>
        <v>252813.6</v>
      </c>
      <c r="AC17" s="41">
        <f t="shared" si="23"/>
        <v>1266865.0956000001</v>
      </c>
      <c r="AD17" s="41">
        <v>19</v>
      </c>
      <c r="AE17" s="41">
        <f t="shared" si="24"/>
        <v>778050</v>
      </c>
      <c r="AF17" s="41">
        <f t="shared" si="6"/>
        <v>197510.625</v>
      </c>
      <c r="AG17" s="41">
        <f t="shared" si="7"/>
        <v>38490.870600000002</v>
      </c>
      <c r="AH17" s="41">
        <f t="shared" si="8"/>
        <v>252813.6</v>
      </c>
      <c r="AI17" s="41">
        <f t="shared" si="25"/>
        <v>1266865.0956000001</v>
      </c>
      <c r="AJ17" s="41">
        <v>9</v>
      </c>
      <c r="AK17" s="41">
        <f t="shared" si="26"/>
        <v>368550</v>
      </c>
      <c r="AL17" s="41">
        <f t="shared" si="27"/>
        <v>79004.25</v>
      </c>
      <c r="AM17" s="41">
        <f t="shared" si="28"/>
        <v>15396.348240000003</v>
      </c>
      <c r="AN17" s="41">
        <f t="shared" si="29"/>
        <v>101125.44</v>
      </c>
      <c r="AO17" s="41">
        <f t="shared" si="30"/>
        <v>564076.03824000002</v>
      </c>
      <c r="AP17" s="41">
        <v>0</v>
      </c>
      <c r="AQ17" s="41">
        <f t="shared" si="31"/>
        <v>0</v>
      </c>
      <c r="AR17" s="41">
        <f t="shared" si="32"/>
        <v>65836.875</v>
      </c>
      <c r="AS17" s="41">
        <f t="shared" si="33"/>
        <v>12830.290200000001</v>
      </c>
      <c r="AT17" s="41">
        <f t="shared" si="34"/>
        <v>84271.200000000012</v>
      </c>
      <c r="AU17" s="41">
        <f t="shared" si="35"/>
        <v>162938.3652</v>
      </c>
      <c r="AV17" s="44"/>
      <c r="AW17" s="44"/>
      <c r="AX17" s="44"/>
      <c r="AY17" s="44"/>
      <c r="AZ17" s="44"/>
      <c r="BA17" s="44"/>
      <c r="BB17" s="44"/>
      <c r="BC17" s="44"/>
      <c r="BD17" s="44"/>
      <c r="BE17" s="44"/>
      <c r="BF17" s="44"/>
      <c r="BG17" s="44"/>
      <c r="BH17" s="44"/>
      <c r="BI17" s="44"/>
      <c r="BJ17" s="44"/>
      <c r="BK17" s="44"/>
      <c r="BL17" s="44"/>
      <c r="BM17" s="44"/>
      <c r="BN17" s="44"/>
      <c r="BO17" s="44"/>
      <c r="BP17" s="44"/>
      <c r="BQ17" s="44"/>
      <c r="BR17" s="44"/>
    </row>
    <row r="18" spans="1:70" s="31" customFormat="1" x14ac:dyDescent="0.25">
      <c r="A18" s="29" t="s">
        <v>62</v>
      </c>
      <c r="B18" s="30">
        <v>1</v>
      </c>
      <c r="C18" s="30">
        <v>6</v>
      </c>
      <c r="D18" s="30">
        <v>0</v>
      </c>
      <c r="E18" s="30">
        <f t="shared" si="9"/>
        <v>6</v>
      </c>
      <c r="F18" s="30">
        <v>10</v>
      </c>
      <c r="G18" s="41">
        <f t="shared" si="10"/>
        <v>409500</v>
      </c>
      <c r="H18" s="41">
        <f t="shared" si="11"/>
        <v>85587.9375</v>
      </c>
      <c r="I18" s="41">
        <f t="shared" si="12"/>
        <v>16679.377260000001</v>
      </c>
      <c r="J18" s="41">
        <f t="shared" si="13"/>
        <v>109552.56000000001</v>
      </c>
      <c r="K18" s="41">
        <f t="shared" si="14"/>
        <v>621319.87476000004</v>
      </c>
      <c r="L18" s="41">
        <v>20</v>
      </c>
      <c r="M18" s="41">
        <f t="shared" si="0"/>
        <v>819000</v>
      </c>
      <c r="N18" s="41">
        <f t="shared" si="15"/>
        <v>197510.625</v>
      </c>
      <c r="O18" s="41">
        <f t="shared" si="1"/>
        <v>38490.870600000002</v>
      </c>
      <c r="P18" s="41">
        <f t="shared" si="2"/>
        <v>252813.6</v>
      </c>
      <c r="Q18" s="41">
        <f t="shared" si="16"/>
        <v>1307815.0956000001</v>
      </c>
      <c r="R18" s="41">
        <v>19</v>
      </c>
      <c r="S18" s="41">
        <f t="shared" si="17"/>
        <v>778050</v>
      </c>
      <c r="T18" s="41">
        <f t="shared" si="18"/>
        <v>197510.625</v>
      </c>
      <c r="U18" s="41">
        <f t="shared" si="19"/>
        <v>38490.870600000002</v>
      </c>
      <c r="V18" s="41">
        <f t="shared" si="20"/>
        <v>252813.6</v>
      </c>
      <c r="W18" s="41">
        <f t="shared" si="21"/>
        <v>1266865.0956000001</v>
      </c>
      <c r="X18" s="41">
        <v>19</v>
      </c>
      <c r="Y18" s="41">
        <f t="shared" si="22"/>
        <v>778050</v>
      </c>
      <c r="Z18" s="41">
        <f t="shared" si="3"/>
        <v>197510.625</v>
      </c>
      <c r="AA18" s="41">
        <f t="shared" si="4"/>
        <v>38490.870600000002</v>
      </c>
      <c r="AB18" s="41">
        <f t="shared" si="5"/>
        <v>252813.6</v>
      </c>
      <c r="AC18" s="41">
        <f t="shared" si="23"/>
        <v>1266865.0956000001</v>
      </c>
      <c r="AD18" s="41">
        <v>19</v>
      </c>
      <c r="AE18" s="41">
        <f t="shared" si="24"/>
        <v>778050</v>
      </c>
      <c r="AF18" s="41">
        <f t="shared" si="6"/>
        <v>197510.625</v>
      </c>
      <c r="AG18" s="41">
        <f t="shared" si="7"/>
        <v>38490.870600000002</v>
      </c>
      <c r="AH18" s="41">
        <f t="shared" si="8"/>
        <v>252813.6</v>
      </c>
      <c r="AI18" s="41">
        <f t="shared" si="25"/>
        <v>1266865.0956000001</v>
      </c>
      <c r="AJ18" s="41">
        <v>9</v>
      </c>
      <c r="AK18" s="41">
        <f t="shared" si="26"/>
        <v>368550</v>
      </c>
      <c r="AL18" s="41">
        <f t="shared" si="27"/>
        <v>79004.25</v>
      </c>
      <c r="AM18" s="41">
        <f t="shared" si="28"/>
        <v>15396.348240000003</v>
      </c>
      <c r="AN18" s="41">
        <f t="shared" si="29"/>
        <v>101125.44</v>
      </c>
      <c r="AO18" s="41">
        <f t="shared" si="30"/>
        <v>564076.03824000002</v>
      </c>
      <c r="AP18" s="41">
        <v>0</v>
      </c>
      <c r="AQ18" s="41">
        <f t="shared" si="31"/>
        <v>0</v>
      </c>
      <c r="AR18" s="41">
        <f t="shared" si="32"/>
        <v>65836.875</v>
      </c>
      <c r="AS18" s="41">
        <f t="shared" si="33"/>
        <v>12830.290200000001</v>
      </c>
      <c r="AT18" s="41">
        <f t="shared" si="34"/>
        <v>84271.200000000012</v>
      </c>
      <c r="AU18" s="41">
        <f t="shared" si="35"/>
        <v>162938.3652</v>
      </c>
      <c r="AV18" s="44"/>
      <c r="AW18" s="44"/>
      <c r="AX18" s="44"/>
      <c r="AY18" s="44"/>
      <c r="AZ18" s="44"/>
      <c r="BA18" s="44"/>
      <c r="BB18" s="44"/>
      <c r="BC18" s="44"/>
      <c r="BD18" s="44"/>
      <c r="BE18" s="44"/>
      <c r="BF18" s="44"/>
      <c r="BG18" s="44"/>
      <c r="BH18" s="44"/>
      <c r="BI18" s="44"/>
      <c r="BJ18" s="44"/>
      <c r="BK18" s="44"/>
      <c r="BL18" s="44"/>
      <c r="BM18" s="44"/>
      <c r="BN18" s="44"/>
      <c r="BO18" s="44"/>
      <c r="BP18" s="44"/>
      <c r="BQ18" s="44"/>
      <c r="BR18" s="44"/>
    </row>
    <row r="19" spans="1:70" s="31" customFormat="1" x14ac:dyDescent="0.25">
      <c r="A19" s="29" t="s">
        <v>63</v>
      </c>
      <c r="B19" s="30">
        <v>1</v>
      </c>
      <c r="C19" s="30">
        <v>6</v>
      </c>
      <c r="D19" s="30">
        <v>0</v>
      </c>
      <c r="E19" s="30">
        <f t="shared" si="9"/>
        <v>6</v>
      </c>
      <c r="F19" s="30">
        <v>10</v>
      </c>
      <c r="G19" s="41">
        <f t="shared" si="10"/>
        <v>409500</v>
      </c>
      <c r="H19" s="41">
        <f t="shared" si="11"/>
        <v>85587.9375</v>
      </c>
      <c r="I19" s="41">
        <f t="shared" si="12"/>
        <v>16679.377260000001</v>
      </c>
      <c r="J19" s="41">
        <f t="shared" si="13"/>
        <v>109552.56000000001</v>
      </c>
      <c r="K19" s="41">
        <f t="shared" si="14"/>
        <v>621319.87476000004</v>
      </c>
      <c r="L19" s="41">
        <v>20</v>
      </c>
      <c r="M19" s="41">
        <f t="shared" si="0"/>
        <v>819000</v>
      </c>
      <c r="N19" s="41">
        <f t="shared" si="15"/>
        <v>197510.625</v>
      </c>
      <c r="O19" s="41">
        <f t="shared" si="1"/>
        <v>38490.870600000002</v>
      </c>
      <c r="P19" s="41">
        <f t="shared" si="2"/>
        <v>252813.6</v>
      </c>
      <c r="Q19" s="41">
        <f t="shared" si="16"/>
        <v>1307815.0956000001</v>
      </c>
      <c r="R19" s="41">
        <v>19</v>
      </c>
      <c r="S19" s="41">
        <f t="shared" si="17"/>
        <v>778050</v>
      </c>
      <c r="T19" s="41">
        <f t="shared" si="18"/>
        <v>197510.625</v>
      </c>
      <c r="U19" s="41">
        <f t="shared" si="19"/>
        <v>38490.870600000002</v>
      </c>
      <c r="V19" s="41">
        <f t="shared" si="20"/>
        <v>252813.6</v>
      </c>
      <c r="W19" s="41">
        <f t="shared" si="21"/>
        <v>1266865.0956000001</v>
      </c>
      <c r="X19" s="41">
        <v>19</v>
      </c>
      <c r="Y19" s="41">
        <f t="shared" si="22"/>
        <v>778050</v>
      </c>
      <c r="Z19" s="41">
        <f t="shared" si="3"/>
        <v>197510.625</v>
      </c>
      <c r="AA19" s="41">
        <f t="shared" si="4"/>
        <v>38490.870600000002</v>
      </c>
      <c r="AB19" s="41">
        <f t="shared" si="5"/>
        <v>252813.6</v>
      </c>
      <c r="AC19" s="41">
        <f t="shared" si="23"/>
        <v>1266865.0956000001</v>
      </c>
      <c r="AD19" s="41">
        <v>19</v>
      </c>
      <c r="AE19" s="41">
        <f t="shared" si="24"/>
        <v>778050</v>
      </c>
      <c r="AF19" s="41">
        <f t="shared" si="6"/>
        <v>197510.625</v>
      </c>
      <c r="AG19" s="41">
        <f t="shared" si="7"/>
        <v>38490.870600000002</v>
      </c>
      <c r="AH19" s="41">
        <f t="shared" si="8"/>
        <v>252813.6</v>
      </c>
      <c r="AI19" s="41">
        <f t="shared" si="25"/>
        <v>1266865.0956000001</v>
      </c>
      <c r="AJ19" s="41">
        <v>9</v>
      </c>
      <c r="AK19" s="41">
        <f t="shared" si="26"/>
        <v>368550</v>
      </c>
      <c r="AL19" s="41">
        <f t="shared" si="27"/>
        <v>79004.25</v>
      </c>
      <c r="AM19" s="41">
        <f t="shared" si="28"/>
        <v>15396.348240000003</v>
      </c>
      <c r="AN19" s="41">
        <f t="shared" si="29"/>
        <v>101125.44</v>
      </c>
      <c r="AO19" s="41">
        <f t="shared" si="30"/>
        <v>564076.03824000002</v>
      </c>
      <c r="AP19" s="41">
        <v>0</v>
      </c>
      <c r="AQ19" s="41">
        <f t="shared" si="31"/>
        <v>0</v>
      </c>
      <c r="AR19" s="41">
        <f t="shared" si="32"/>
        <v>65836.875</v>
      </c>
      <c r="AS19" s="41">
        <f t="shared" si="33"/>
        <v>12830.290200000001</v>
      </c>
      <c r="AT19" s="41">
        <f t="shared" si="34"/>
        <v>84271.200000000012</v>
      </c>
      <c r="AU19" s="41">
        <f t="shared" si="35"/>
        <v>162938.3652</v>
      </c>
      <c r="AV19" s="44"/>
      <c r="AW19" s="44"/>
      <c r="AX19" s="44"/>
      <c r="AY19" s="44"/>
      <c r="AZ19" s="44"/>
      <c r="BA19" s="44"/>
      <c r="BB19" s="44"/>
      <c r="BC19" s="44"/>
      <c r="BD19" s="44"/>
      <c r="BE19" s="44"/>
      <c r="BF19" s="44"/>
      <c r="BG19" s="44"/>
      <c r="BH19" s="44"/>
      <c r="BI19" s="44"/>
      <c r="BJ19" s="44"/>
      <c r="BK19" s="44"/>
      <c r="BL19" s="44"/>
      <c r="BM19" s="44"/>
      <c r="BN19" s="44"/>
      <c r="BO19" s="44"/>
      <c r="BP19" s="44"/>
      <c r="BQ19" s="44"/>
      <c r="BR19" s="44"/>
    </row>
    <row r="20" spans="1:70" s="31" customFormat="1" x14ac:dyDescent="0.25">
      <c r="A20" s="29" t="s">
        <v>79</v>
      </c>
      <c r="B20" s="30">
        <v>1</v>
      </c>
      <c r="C20" s="30">
        <v>5</v>
      </c>
      <c r="D20" s="30">
        <v>0</v>
      </c>
      <c r="E20" s="30">
        <f t="shared" si="9"/>
        <v>5</v>
      </c>
      <c r="F20" s="30">
        <v>10</v>
      </c>
      <c r="G20" s="41">
        <f t="shared" si="10"/>
        <v>409500</v>
      </c>
      <c r="H20" s="41">
        <f t="shared" si="11"/>
        <v>85587.9375</v>
      </c>
      <c r="I20" s="41">
        <f t="shared" si="12"/>
        <v>16679.377260000001</v>
      </c>
      <c r="J20" s="41">
        <f t="shared" si="13"/>
        <v>109552.56000000001</v>
      </c>
      <c r="K20" s="41">
        <f t="shared" si="14"/>
        <v>621319.87476000004</v>
      </c>
      <c r="L20" s="41">
        <v>20</v>
      </c>
      <c r="M20" s="41">
        <f t="shared" si="0"/>
        <v>819000</v>
      </c>
      <c r="N20" s="41">
        <f t="shared" si="15"/>
        <v>197510.625</v>
      </c>
      <c r="O20" s="41">
        <f t="shared" si="1"/>
        <v>38490.870600000002</v>
      </c>
      <c r="P20" s="41">
        <f t="shared" si="2"/>
        <v>252813.6</v>
      </c>
      <c r="Q20" s="41">
        <f t="shared" si="16"/>
        <v>1307815.0956000001</v>
      </c>
      <c r="R20" s="41">
        <v>19</v>
      </c>
      <c r="S20" s="41">
        <f t="shared" si="17"/>
        <v>778050</v>
      </c>
      <c r="T20" s="41">
        <f t="shared" si="18"/>
        <v>197510.625</v>
      </c>
      <c r="U20" s="41">
        <f t="shared" si="19"/>
        <v>38490.870600000002</v>
      </c>
      <c r="V20" s="41">
        <f t="shared" si="20"/>
        <v>252813.6</v>
      </c>
      <c r="W20" s="41">
        <f t="shared" si="21"/>
        <v>1266865.0956000001</v>
      </c>
      <c r="X20" s="41">
        <v>19</v>
      </c>
      <c r="Y20" s="41">
        <f t="shared" si="22"/>
        <v>778050</v>
      </c>
      <c r="Z20" s="41">
        <f t="shared" si="3"/>
        <v>197510.625</v>
      </c>
      <c r="AA20" s="41">
        <f t="shared" si="4"/>
        <v>38490.870600000002</v>
      </c>
      <c r="AB20" s="41">
        <f t="shared" si="5"/>
        <v>252813.6</v>
      </c>
      <c r="AC20" s="41">
        <f t="shared" si="23"/>
        <v>1266865.0956000001</v>
      </c>
      <c r="AD20" s="41">
        <v>19</v>
      </c>
      <c r="AE20" s="41">
        <f t="shared" si="24"/>
        <v>778050</v>
      </c>
      <c r="AF20" s="41">
        <f t="shared" si="6"/>
        <v>197510.625</v>
      </c>
      <c r="AG20" s="41">
        <f t="shared" si="7"/>
        <v>38490.870600000002</v>
      </c>
      <c r="AH20" s="41">
        <f t="shared" si="8"/>
        <v>252813.6</v>
      </c>
      <c r="AI20" s="41">
        <f t="shared" si="25"/>
        <v>1266865.0956000001</v>
      </c>
      <c r="AJ20" s="41">
        <v>9</v>
      </c>
      <c r="AK20" s="41">
        <f t="shared" si="26"/>
        <v>368550</v>
      </c>
      <c r="AL20" s="41">
        <f t="shared" si="27"/>
        <v>79004.25</v>
      </c>
      <c r="AM20" s="41">
        <f t="shared" si="28"/>
        <v>15396.348240000003</v>
      </c>
      <c r="AN20" s="41">
        <f t="shared" si="29"/>
        <v>101125.44</v>
      </c>
      <c r="AO20" s="41">
        <f t="shared" si="30"/>
        <v>564076.03824000002</v>
      </c>
      <c r="AP20" s="41">
        <v>0</v>
      </c>
      <c r="AQ20" s="41">
        <f t="shared" si="31"/>
        <v>0</v>
      </c>
      <c r="AR20" s="41">
        <f t="shared" si="32"/>
        <v>65836.875</v>
      </c>
      <c r="AS20" s="41">
        <f t="shared" si="33"/>
        <v>12830.290200000001</v>
      </c>
      <c r="AT20" s="41">
        <f t="shared" si="34"/>
        <v>84271.200000000012</v>
      </c>
      <c r="AU20" s="41">
        <f t="shared" si="35"/>
        <v>162938.3652</v>
      </c>
      <c r="AV20" s="44"/>
      <c r="AW20" s="44"/>
      <c r="AX20" s="44"/>
      <c r="AY20" s="44"/>
      <c r="AZ20" s="44"/>
      <c r="BA20" s="44"/>
      <c r="BB20" s="44"/>
      <c r="BC20" s="44"/>
      <c r="BD20" s="44"/>
      <c r="BE20" s="44"/>
      <c r="BF20" s="44"/>
      <c r="BG20" s="44"/>
      <c r="BH20" s="44"/>
      <c r="BI20" s="44"/>
      <c r="BJ20" s="44"/>
      <c r="BK20" s="44"/>
      <c r="BL20" s="44"/>
      <c r="BM20" s="44"/>
      <c r="BN20" s="44"/>
      <c r="BO20" s="44"/>
      <c r="BP20" s="44"/>
      <c r="BQ20" s="44"/>
      <c r="BR20" s="44"/>
    </row>
    <row r="21" spans="1:70" s="31" customFormat="1" x14ac:dyDescent="0.25">
      <c r="A21" s="29" t="s">
        <v>80</v>
      </c>
      <c r="B21" s="30">
        <v>1</v>
      </c>
      <c r="C21" s="30">
        <v>2</v>
      </c>
      <c r="D21" s="30">
        <v>0</v>
      </c>
      <c r="E21" s="30">
        <f t="shared" si="9"/>
        <v>2</v>
      </c>
      <c r="F21" s="30">
        <v>10</v>
      </c>
      <c r="G21" s="41">
        <f t="shared" si="10"/>
        <v>409500</v>
      </c>
      <c r="H21" s="41">
        <f t="shared" si="11"/>
        <v>85587.9375</v>
      </c>
      <c r="I21" s="41">
        <f t="shared" si="12"/>
        <v>16679.377260000001</v>
      </c>
      <c r="J21" s="41">
        <f t="shared" si="13"/>
        <v>109552.56000000001</v>
      </c>
      <c r="K21" s="41">
        <f t="shared" si="14"/>
        <v>621319.87476000004</v>
      </c>
      <c r="L21" s="41">
        <v>20</v>
      </c>
      <c r="M21" s="41">
        <f t="shared" si="0"/>
        <v>819000</v>
      </c>
      <c r="N21" s="41">
        <f t="shared" si="15"/>
        <v>197510.625</v>
      </c>
      <c r="O21" s="41">
        <f t="shared" si="1"/>
        <v>38490.870600000002</v>
      </c>
      <c r="P21" s="41">
        <f t="shared" si="2"/>
        <v>252813.6</v>
      </c>
      <c r="Q21" s="41">
        <f t="shared" si="16"/>
        <v>1307815.0956000001</v>
      </c>
      <c r="R21" s="41">
        <v>19</v>
      </c>
      <c r="S21" s="41">
        <f t="shared" si="17"/>
        <v>778050</v>
      </c>
      <c r="T21" s="41">
        <f t="shared" si="18"/>
        <v>197510.625</v>
      </c>
      <c r="U21" s="41">
        <f t="shared" si="19"/>
        <v>38490.870600000002</v>
      </c>
      <c r="V21" s="41">
        <f t="shared" si="20"/>
        <v>252813.6</v>
      </c>
      <c r="W21" s="41">
        <f t="shared" si="21"/>
        <v>1266865.0956000001</v>
      </c>
      <c r="X21" s="41">
        <v>19</v>
      </c>
      <c r="Y21" s="41">
        <f t="shared" si="22"/>
        <v>778050</v>
      </c>
      <c r="Z21" s="41">
        <f t="shared" si="3"/>
        <v>197510.625</v>
      </c>
      <c r="AA21" s="41">
        <f t="shared" si="4"/>
        <v>38490.870600000002</v>
      </c>
      <c r="AB21" s="41">
        <f t="shared" si="5"/>
        <v>252813.6</v>
      </c>
      <c r="AC21" s="41">
        <f t="shared" si="23"/>
        <v>1266865.0956000001</v>
      </c>
      <c r="AD21" s="41">
        <v>19</v>
      </c>
      <c r="AE21" s="41">
        <f t="shared" si="24"/>
        <v>778050</v>
      </c>
      <c r="AF21" s="41">
        <f t="shared" si="6"/>
        <v>197510.625</v>
      </c>
      <c r="AG21" s="41">
        <f t="shared" si="7"/>
        <v>38490.870600000002</v>
      </c>
      <c r="AH21" s="41">
        <f t="shared" si="8"/>
        <v>252813.6</v>
      </c>
      <c r="AI21" s="41">
        <f t="shared" si="25"/>
        <v>1266865.0956000001</v>
      </c>
      <c r="AJ21" s="41">
        <v>9</v>
      </c>
      <c r="AK21" s="41">
        <f t="shared" si="26"/>
        <v>368550</v>
      </c>
      <c r="AL21" s="41">
        <f t="shared" si="27"/>
        <v>79004.25</v>
      </c>
      <c r="AM21" s="41">
        <f t="shared" si="28"/>
        <v>15396.348240000003</v>
      </c>
      <c r="AN21" s="41">
        <f t="shared" si="29"/>
        <v>101125.44</v>
      </c>
      <c r="AO21" s="41">
        <f t="shared" si="30"/>
        <v>564076.03824000002</v>
      </c>
      <c r="AP21" s="41">
        <v>0</v>
      </c>
      <c r="AQ21" s="41">
        <f t="shared" si="31"/>
        <v>0</v>
      </c>
      <c r="AR21" s="41">
        <f t="shared" si="32"/>
        <v>65836.875</v>
      </c>
      <c r="AS21" s="41">
        <f t="shared" si="33"/>
        <v>12830.290200000001</v>
      </c>
      <c r="AT21" s="41">
        <f t="shared" si="34"/>
        <v>84271.200000000012</v>
      </c>
      <c r="AU21" s="41">
        <f t="shared" si="35"/>
        <v>162938.3652</v>
      </c>
      <c r="AV21" s="44"/>
      <c r="AW21" s="44"/>
      <c r="AX21" s="44"/>
      <c r="AY21" s="44"/>
      <c r="AZ21" s="44"/>
      <c r="BA21" s="44"/>
      <c r="BB21" s="44"/>
      <c r="BC21" s="44"/>
      <c r="BD21" s="44"/>
      <c r="BE21" s="44"/>
      <c r="BF21" s="44"/>
      <c r="BG21" s="44"/>
      <c r="BH21" s="44"/>
      <c r="BI21" s="44"/>
      <c r="BJ21" s="44"/>
      <c r="BK21" s="44"/>
      <c r="BL21" s="44"/>
      <c r="BM21" s="44"/>
      <c r="BN21" s="44"/>
      <c r="BO21" s="44"/>
      <c r="BP21" s="44"/>
      <c r="BQ21" s="44"/>
      <c r="BR21" s="44"/>
    </row>
    <row r="22" spans="1:70" s="31" customFormat="1" x14ac:dyDescent="0.25">
      <c r="A22" s="29" t="s">
        <v>83</v>
      </c>
      <c r="B22" s="30">
        <v>1</v>
      </c>
      <c r="C22" s="30">
        <v>7</v>
      </c>
      <c r="D22" s="30">
        <v>0</v>
      </c>
      <c r="E22" s="30">
        <f t="shared" si="9"/>
        <v>7</v>
      </c>
      <c r="F22" s="30">
        <v>10</v>
      </c>
      <c r="G22" s="41">
        <f t="shared" si="10"/>
        <v>409500</v>
      </c>
      <c r="H22" s="41">
        <f t="shared" si="11"/>
        <v>85587.9375</v>
      </c>
      <c r="I22" s="41">
        <f t="shared" si="12"/>
        <v>16679.377260000001</v>
      </c>
      <c r="J22" s="41">
        <f t="shared" si="13"/>
        <v>109552.56000000001</v>
      </c>
      <c r="K22" s="41">
        <f t="shared" si="14"/>
        <v>621319.87476000004</v>
      </c>
      <c r="L22" s="41">
        <v>20</v>
      </c>
      <c r="M22" s="41">
        <f t="shared" si="0"/>
        <v>819000</v>
      </c>
      <c r="N22" s="41">
        <f t="shared" si="15"/>
        <v>197510.625</v>
      </c>
      <c r="O22" s="41">
        <f t="shared" si="1"/>
        <v>38490.870600000002</v>
      </c>
      <c r="P22" s="41">
        <f t="shared" si="2"/>
        <v>252813.6</v>
      </c>
      <c r="Q22" s="41">
        <f t="shared" si="16"/>
        <v>1307815.0956000001</v>
      </c>
      <c r="R22" s="41">
        <v>19</v>
      </c>
      <c r="S22" s="41">
        <f t="shared" si="17"/>
        <v>778050</v>
      </c>
      <c r="T22" s="41">
        <f t="shared" si="18"/>
        <v>197510.625</v>
      </c>
      <c r="U22" s="41">
        <f t="shared" si="19"/>
        <v>38490.870600000002</v>
      </c>
      <c r="V22" s="41">
        <f t="shared" si="20"/>
        <v>252813.6</v>
      </c>
      <c r="W22" s="41">
        <f t="shared" si="21"/>
        <v>1266865.0956000001</v>
      </c>
      <c r="X22" s="41">
        <v>19</v>
      </c>
      <c r="Y22" s="41">
        <f t="shared" si="22"/>
        <v>778050</v>
      </c>
      <c r="Z22" s="41">
        <f t="shared" si="3"/>
        <v>197510.625</v>
      </c>
      <c r="AA22" s="41">
        <f t="shared" si="4"/>
        <v>38490.870600000002</v>
      </c>
      <c r="AB22" s="41">
        <f t="shared" si="5"/>
        <v>252813.6</v>
      </c>
      <c r="AC22" s="41">
        <f t="shared" si="23"/>
        <v>1266865.0956000001</v>
      </c>
      <c r="AD22" s="41">
        <v>19</v>
      </c>
      <c r="AE22" s="41">
        <f t="shared" si="24"/>
        <v>778050</v>
      </c>
      <c r="AF22" s="41">
        <f t="shared" si="6"/>
        <v>197510.625</v>
      </c>
      <c r="AG22" s="41">
        <f t="shared" si="7"/>
        <v>38490.870600000002</v>
      </c>
      <c r="AH22" s="41">
        <f t="shared" si="8"/>
        <v>252813.6</v>
      </c>
      <c r="AI22" s="41">
        <f t="shared" si="25"/>
        <v>1266865.0956000001</v>
      </c>
      <c r="AJ22" s="41">
        <v>9</v>
      </c>
      <c r="AK22" s="41">
        <f t="shared" si="26"/>
        <v>368550</v>
      </c>
      <c r="AL22" s="41">
        <f t="shared" si="27"/>
        <v>79004.25</v>
      </c>
      <c r="AM22" s="41">
        <f t="shared" si="28"/>
        <v>15396.348240000003</v>
      </c>
      <c r="AN22" s="41">
        <f t="shared" si="29"/>
        <v>101125.44</v>
      </c>
      <c r="AO22" s="41">
        <f t="shared" si="30"/>
        <v>564076.03824000002</v>
      </c>
      <c r="AP22" s="41">
        <v>0</v>
      </c>
      <c r="AQ22" s="41">
        <f t="shared" si="31"/>
        <v>0</v>
      </c>
      <c r="AR22" s="41">
        <f t="shared" si="32"/>
        <v>65836.875</v>
      </c>
      <c r="AS22" s="41">
        <f t="shared" si="33"/>
        <v>12830.290200000001</v>
      </c>
      <c r="AT22" s="41">
        <f t="shared" si="34"/>
        <v>84271.200000000012</v>
      </c>
      <c r="AU22" s="41">
        <f t="shared" si="35"/>
        <v>162938.3652</v>
      </c>
      <c r="AV22" s="44"/>
      <c r="AW22" s="44"/>
      <c r="AX22" s="44"/>
      <c r="AY22" s="44"/>
      <c r="AZ22" s="44"/>
      <c r="BA22" s="44"/>
      <c r="BB22" s="44"/>
      <c r="BC22" s="44"/>
      <c r="BD22" s="44"/>
      <c r="BE22" s="44"/>
      <c r="BF22" s="44"/>
      <c r="BG22" s="44"/>
      <c r="BH22" s="44"/>
      <c r="BI22" s="44"/>
      <c r="BJ22" s="44"/>
      <c r="BK22" s="44"/>
      <c r="BL22" s="44"/>
      <c r="BM22" s="44"/>
      <c r="BN22" s="44"/>
      <c r="BO22" s="44"/>
      <c r="BP22" s="44"/>
      <c r="BQ22" s="44"/>
      <c r="BR22" s="44"/>
    </row>
    <row r="23" spans="1:70" s="31" customFormat="1" x14ac:dyDescent="0.25">
      <c r="A23" s="29" t="s">
        <v>86</v>
      </c>
      <c r="B23" s="30">
        <v>1</v>
      </c>
      <c r="C23" s="30">
        <v>7</v>
      </c>
      <c r="D23" s="30">
        <v>0</v>
      </c>
      <c r="E23" s="30">
        <f t="shared" si="9"/>
        <v>7</v>
      </c>
      <c r="F23" s="30">
        <v>10</v>
      </c>
      <c r="G23" s="41">
        <f t="shared" si="10"/>
        <v>409500</v>
      </c>
      <c r="H23" s="41">
        <f t="shared" si="11"/>
        <v>85587.9375</v>
      </c>
      <c r="I23" s="41">
        <f t="shared" si="12"/>
        <v>16679.377260000001</v>
      </c>
      <c r="J23" s="41">
        <f t="shared" si="13"/>
        <v>109552.56000000001</v>
      </c>
      <c r="K23" s="41">
        <f t="shared" si="14"/>
        <v>621319.87476000004</v>
      </c>
      <c r="L23" s="41">
        <v>20</v>
      </c>
      <c r="M23" s="41">
        <f t="shared" si="0"/>
        <v>819000</v>
      </c>
      <c r="N23" s="41">
        <f t="shared" si="15"/>
        <v>197510.625</v>
      </c>
      <c r="O23" s="41">
        <f t="shared" si="1"/>
        <v>38490.870600000002</v>
      </c>
      <c r="P23" s="41">
        <f t="shared" si="2"/>
        <v>252813.6</v>
      </c>
      <c r="Q23" s="41">
        <f t="shared" si="16"/>
        <v>1307815.0956000001</v>
      </c>
      <c r="R23" s="41">
        <v>19</v>
      </c>
      <c r="S23" s="41">
        <f t="shared" si="17"/>
        <v>778050</v>
      </c>
      <c r="T23" s="41">
        <f t="shared" si="18"/>
        <v>197510.625</v>
      </c>
      <c r="U23" s="41">
        <f t="shared" si="19"/>
        <v>38490.870600000002</v>
      </c>
      <c r="V23" s="41">
        <f t="shared" si="20"/>
        <v>252813.6</v>
      </c>
      <c r="W23" s="41">
        <f t="shared" si="21"/>
        <v>1266865.0956000001</v>
      </c>
      <c r="X23" s="41">
        <v>19</v>
      </c>
      <c r="Y23" s="41">
        <f t="shared" si="22"/>
        <v>778050</v>
      </c>
      <c r="Z23" s="41">
        <f t="shared" si="3"/>
        <v>197510.625</v>
      </c>
      <c r="AA23" s="41">
        <f t="shared" si="4"/>
        <v>38490.870600000002</v>
      </c>
      <c r="AB23" s="41">
        <f t="shared" si="5"/>
        <v>252813.6</v>
      </c>
      <c r="AC23" s="41">
        <f t="shared" si="23"/>
        <v>1266865.0956000001</v>
      </c>
      <c r="AD23" s="41">
        <v>19</v>
      </c>
      <c r="AE23" s="41">
        <f t="shared" si="24"/>
        <v>778050</v>
      </c>
      <c r="AF23" s="41">
        <f t="shared" si="6"/>
        <v>197510.625</v>
      </c>
      <c r="AG23" s="41">
        <f t="shared" si="7"/>
        <v>38490.870600000002</v>
      </c>
      <c r="AH23" s="41">
        <f t="shared" si="8"/>
        <v>252813.6</v>
      </c>
      <c r="AI23" s="41">
        <f t="shared" si="25"/>
        <v>1266865.0956000001</v>
      </c>
      <c r="AJ23" s="41">
        <v>9</v>
      </c>
      <c r="AK23" s="41">
        <f t="shared" si="26"/>
        <v>368550</v>
      </c>
      <c r="AL23" s="41">
        <f t="shared" si="27"/>
        <v>79004.25</v>
      </c>
      <c r="AM23" s="41">
        <f t="shared" si="28"/>
        <v>15396.348240000003</v>
      </c>
      <c r="AN23" s="41">
        <f t="shared" si="29"/>
        <v>101125.44</v>
      </c>
      <c r="AO23" s="41">
        <f t="shared" si="30"/>
        <v>564076.03824000002</v>
      </c>
      <c r="AP23" s="41">
        <v>0</v>
      </c>
      <c r="AQ23" s="41">
        <f t="shared" si="31"/>
        <v>0</v>
      </c>
      <c r="AR23" s="41">
        <f t="shared" si="32"/>
        <v>65836.875</v>
      </c>
      <c r="AS23" s="41">
        <f t="shared" si="33"/>
        <v>12830.290200000001</v>
      </c>
      <c r="AT23" s="41">
        <f t="shared" si="34"/>
        <v>84271.200000000012</v>
      </c>
      <c r="AU23" s="41">
        <f t="shared" si="35"/>
        <v>162938.3652</v>
      </c>
      <c r="AV23" s="44"/>
      <c r="AW23" s="44"/>
      <c r="AX23" s="44"/>
      <c r="AY23" s="44"/>
      <c r="AZ23" s="44"/>
      <c r="BA23" s="44"/>
      <c r="BB23" s="44"/>
      <c r="BC23" s="44"/>
      <c r="BD23" s="44"/>
      <c r="BE23" s="44"/>
      <c r="BF23" s="44"/>
      <c r="BG23" s="44"/>
      <c r="BH23" s="44"/>
      <c r="BI23" s="44"/>
      <c r="BJ23" s="44"/>
      <c r="BK23" s="44"/>
      <c r="BL23" s="44"/>
      <c r="BM23" s="44"/>
      <c r="BN23" s="44"/>
      <c r="BO23" s="44"/>
      <c r="BP23" s="44"/>
      <c r="BQ23" s="44"/>
      <c r="BR23" s="44"/>
    </row>
    <row r="24" spans="1:70" s="31" customFormat="1" x14ac:dyDescent="0.25">
      <c r="A24" s="29" t="s">
        <v>88</v>
      </c>
      <c r="B24" s="30">
        <v>1</v>
      </c>
      <c r="C24" s="30">
        <v>9</v>
      </c>
      <c r="D24" s="30">
        <v>0</v>
      </c>
      <c r="E24" s="30">
        <f t="shared" si="9"/>
        <v>9</v>
      </c>
      <c r="F24" s="30">
        <v>10</v>
      </c>
      <c r="G24" s="41">
        <f t="shared" si="10"/>
        <v>409500</v>
      </c>
      <c r="H24" s="41">
        <f t="shared" si="11"/>
        <v>85587.9375</v>
      </c>
      <c r="I24" s="41">
        <f t="shared" si="12"/>
        <v>16679.377260000001</v>
      </c>
      <c r="J24" s="41">
        <f t="shared" si="13"/>
        <v>109552.56000000001</v>
      </c>
      <c r="K24" s="41">
        <f t="shared" si="14"/>
        <v>621319.87476000004</v>
      </c>
      <c r="L24" s="41">
        <v>20</v>
      </c>
      <c r="M24" s="41">
        <f t="shared" si="0"/>
        <v>819000</v>
      </c>
      <c r="N24" s="41">
        <f t="shared" si="15"/>
        <v>197510.625</v>
      </c>
      <c r="O24" s="41">
        <f t="shared" si="1"/>
        <v>38490.870600000002</v>
      </c>
      <c r="P24" s="41">
        <f t="shared" si="2"/>
        <v>252813.6</v>
      </c>
      <c r="Q24" s="41">
        <f t="shared" si="16"/>
        <v>1307815.0956000001</v>
      </c>
      <c r="R24" s="41">
        <v>19</v>
      </c>
      <c r="S24" s="41">
        <f t="shared" si="17"/>
        <v>778050</v>
      </c>
      <c r="T24" s="41">
        <f t="shared" si="18"/>
        <v>197510.625</v>
      </c>
      <c r="U24" s="41">
        <f t="shared" si="19"/>
        <v>38490.870600000002</v>
      </c>
      <c r="V24" s="41">
        <f t="shared" si="20"/>
        <v>252813.6</v>
      </c>
      <c r="W24" s="41">
        <f t="shared" si="21"/>
        <v>1266865.0956000001</v>
      </c>
      <c r="X24" s="41">
        <v>19</v>
      </c>
      <c r="Y24" s="41">
        <f t="shared" si="22"/>
        <v>778050</v>
      </c>
      <c r="Z24" s="41">
        <f t="shared" si="3"/>
        <v>197510.625</v>
      </c>
      <c r="AA24" s="41">
        <f t="shared" si="4"/>
        <v>38490.870600000002</v>
      </c>
      <c r="AB24" s="41">
        <f t="shared" si="5"/>
        <v>252813.6</v>
      </c>
      <c r="AC24" s="41">
        <f t="shared" si="23"/>
        <v>1266865.0956000001</v>
      </c>
      <c r="AD24" s="41">
        <v>19</v>
      </c>
      <c r="AE24" s="41">
        <f t="shared" si="24"/>
        <v>778050</v>
      </c>
      <c r="AF24" s="41">
        <f t="shared" si="6"/>
        <v>197510.625</v>
      </c>
      <c r="AG24" s="41">
        <f t="shared" si="7"/>
        <v>38490.870600000002</v>
      </c>
      <c r="AH24" s="41">
        <f t="shared" si="8"/>
        <v>252813.6</v>
      </c>
      <c r="AI24" s="41">
        <f t="shared" si="25"/>
        <v>1266865.0956000001</v>
      </c>
      <c r="AJ24" s="41">
        <v>9</v>
      </c>
      <c r="AK24" s="41">
        <f t="shared" si="26"/>
        <v>368550</v>
      </c>
      <c r="AL24" s="41">
        <f t="shared" si="27"/>
        <v>79004.25</v>
      </c>
      <c r="AM24" s="41">
        <f t="shared" si="28"/>
        <v>15396.348240000003</v>
      </c>
      <c r="AN24" s="41">
        <f t="shared" si="29"/>
        <v>101125.44</v>
      </c>
      <c r="AO24" s="41">
        <f t="shared" si="30"/>
        <v>564076.03824000002</v>
      </c>
      <c r="AP24" s="41">
        <v>0</v>
      </c>
      <c r="AQ24" s="41">
        <f t="shared" si="31"/>
        <v>0</v>
      </c>
      <c r="AR24" s="41">
        <f t="shared" si="32"/>
        <v>65836.875</v>
      </c>
      <c r="AS24" s="41">
        <f t="shared" si="33"/>
        <v>12830.290200000001</v>
      </c>
      <c r="AT24" s="41">
        <f t="shared" si="34"/>
        <v>84271.200000000012</v>
      </c>
      <c r="AU24" s="41">
        <f t="shared" si="35"/>
        <v>162938.3652</v>
      </c>
      <c r="AV24" s="44"/>
      <c r="AW24" s="44"/>
      <c r="AX24" s="44"/>
      <c r="AY24" s="44"/>
      <c r="AZ24" s="44"/>
      <c r="BA24" s="44"/>
      <c r="BB24" s="44"/>
      <c r="BC24" s="44"/>
      <c r="BD24" s="44"/>
      <c r="BE24" s="44"/>
      <c r="BF24" s="44"/>
      <c r="BG24" s="44"/>
      <c r="BH24" s="44"/>
      <c r="BI24" s="44"/>
      <c r="BJ24" s="44"/>
      <c r="BK24" s="44"/>
      <c r="BL24" s="44"/>
      <c r="BM24" s="44"/>
      <c r="BN24" s="44"/>
      <c r="BO24" s="44"/>
      <c r="BP24" s="44"/>
      <c r="BQ24" s="44"/>
      <c r="BR24" s="44"/>
    </row>
    <row r="25" spans="1:70" s="99" customFormat="1" x14ac:dyDescent="0.25">
      <c r="A25" s="95" t="s">
        <v>25</v>
      </c>
      <c r="B25" s="96">
        <v>1</v>
      </c>
      <c r="C25" s="96">
        <v>9</v>
      </c>
      <c r="D25" s="96">
        <v>0</v>
      </c>
      <c r="E25" s="96">
        <f t="shared" si="9"/>
        <v>9</v>
      </c>
      <c r="F25" s="96">
        <v>10</v>
      </c>
      <c r="G25" s="97">
        <f t="shared" si="10"/>
        <v>409500</v>
      </c>
      <c r="H25" s="97">
        <f t="shared" si="11"/>
        <v>85587.9375</v>
      </c>
      <c r="I25" s="97">
        <f t="shared" si="12"/>
        <v>16679.377260000001</v>
      </c>
      <c r="J25" s="97">
        <f t="shared" si="13"/>
        <v>109552.56000000001</v>
      </c>
      <c r="K25" s="97">
        <f t="shared" si="14"/>
        <v>621319.87476000004</v>
      </c>
      <c r="L25" s="97">
        <v>20</v>
      </c>
      <c r="M25" s="97">
        <f t="shared" si="0"/>
        <v>819000</v>
      </c>
      <c r="N25" s="97">
        <f t="shared" si="15"/>
        <v>197510.625</v>
      </c>
      <c r="O25" s="97">
        <f t="shared" si="1"/>
        <v>38490.870600000002</v>
      </c>
      <c r="P25" s="97">
        <f t="shared" si="2"/>
        <v>252813.6</v>
      </c>
      <c r="Q25" s="97">
        <f t="shared" si="16"/>
        <v>1307815.0956000001</v>
      </c>
      <c r="R25" s="97">
        <v>19</v>
      </c>
      <c r="S25" s="97">
        <f t="shared" ref="S25" si="36">$C$4*R25</f>
        <v>778050</v>
      </c>
      <c r="T25" s="97">
        <f t="shared" si="18"/>
        <v>197510.625</v>
      </c>
      <c r="U25" s="97">
        <f t="shared" si="19"/>
        <v>38490.870600000002</v>
      </c>
      <c r="V25" s="97">
        <f t="shared" si="20"/>
        <v>252813.6</v>
      </c>
      <c r="W25" s="97">
        <f t="shared" si="21"/>
        <v>1266865.0956000001</v>
      </c>
      <c r="X25" s="97">
        <v>19</v>
      </c>
      <c r="Y25" s="97">
        <f t="shared" ref="Y25" si="37">$C$4*X25</f>
        <v>778050</v>
      </c>
      <c r="Z25" s="97">
        <f t="shared" si="3"/>
        <v>197510.625</v>
      </c>
      <c r="AA25" s="97">
        <f t="shared" si="4"/>
        <v>38490.870600000002</v>
      </c>
      <c r="AB25" s="97">
        <f t="shared" si="5"/>
        <v>252813.6</v>
      </c>
      <c r="AC25" s="97">
        <f t="shared" ref="AC25" si="38">SUM(Y25:AB25)*B25</f>
        <v>1266865.0956000001</v>
      </c>
      <c r="AD25" s="97">
        <v>19</v>
      </c>
      <c r="AE25" s="97">
        <f t="shared" si="24"/>
        <v>778050</v>
      </c>
      <c r="AF25" s="97">
        <f t="shared" si="6"/>
        <v>197510.625</v>
      </c>
      <c r="AG25" s="97">
        <f t="shared" si="7"/>
        <v>38490.870600000002</v>
      </c>
      <c r="AH25" s="97">
        <f t="shared" si="8"/>
        <v>252813.6</v>
      </c>
      <c r="AI25" s="97">
        <f t="shared" ref="AI25" si="39">SUM(AE25:AH25)*B25</f>
        <v>1266865.0956000001</v>
      </c>
      <c r="AJ25" s="97">
        <v>9</v>
      </c>
      <c r="AK25" s="97">
        <f t="shared" si="26"/>
        <v>368550</v>
      </c>
      <c r="AL25" s="97">
        <f t="shared" si="27"/>
        <v>79004.25</v>
      </c>
      <c r="AM25" s="97">
        <f t="shared" si="28"/>
        <v>15396.348240000003</v>
      </c>
      <c r="AN25" s="97">
        <f t="shared" si="29"/>
        <v>101125.44</v>
      </c>
      <c r="AO25" s="97">
        <f t="shared" ref="AO25" si="40">SUM(AK25:AN25)*B25</f>
        <v>564076.03824000002</v>
      </c>
      <c r="AP25" s="97">
        <v>0</v>
      </c>
      <c r="AQ25" s="97">
        <f t="shared" si="31"/>
        <v>0</v>
      </c>
      <c r="AR25" s="97">
        <f t="shared" si="32"/>
        <v>65836.875</v>
      </c>
      <c r="AS25" s="97">
        <f t="shared" si="33"/>
        <v>12830.290200000001</v>
      </c>
      <c r="AT25" s="97">
        <f t="shared" si="34"/>
        <v>84271.200000000012</v>
      </c>
      <c r="AU25" s="97">
        <f t="shared" ref="AU25" si="41">SUM(AQ25:AT25)*B25</f>
        <v>162938.3652</v>
      </c>
      <c r="AV25" s="98"/>
      <c r="AW25" s="98"/>
      <c r="AX25" s="98"/>
      <c r="AY25" s="98"/>
      <c r="AZ25" s="98"/>
      <c r="BA25" s="98"/>
      <c r="BB25" s="98"/>
      <c r="BC25" s="98"/>
      <c r="BD25" s="98"/>
      <c r="BE25" s="98"/>
      <c r="BF25" s="98"/>
      <c r="BG25" s="98"/>
      <c r="BH25" s="98"/>
      <c r="BI25" s="98"/>
      <c r="BJ25" s="98"/>
      <c r="BK25" s="98"/>
      <c r="BL25" s="98"/>
      <c r="BM25" s="98"/>
      <c r="BN25" s="98"/>
      <c r="BO25" s="98"/>
      <c r="BP25" s="98"/>
      <c r="BQ25" s="98"/>
      <c r="BR25" s="98"/>
    </row>
    <row r="26" spans="1:70" s="31" customFormat="1" x14ac:dyDescent="0.25">
      <c r="A26" s="29" t="s">
        <v>91</v>
      </c>
      <c r="B26" s="30">
        <v>1</v>
      </c>
      <c r="C26" s="30">
        <v>4</v>
      </c>
      <c r="D26" s="30">
        <v>6</v>
      </c>
      <c r="E26" s="30">
        <f t="shared" si="9"/>
        <v>10</v>
      </c>
      <c r="F26" s="30">
        <v>10</v>
      </c>
      <c r="G26" s="41">
        <f t="shared" si="10"/>
        <v>409500</v>
      </c>
      <c r="H26" s="41">
        <f t="shared" si="11"/>
        <v>85587.9375</v>
      </c>
      <c r="I26" s="41">
        <f t="shared" si="12"/>
        <v>16679.377260000001</v>
      </c>
      <c r="J26" s="41">
        <f t="shared" si="13"/>
        <v>109552.56000000001</v>
      </c>
      <c r="K26" s="41">
        <f t="shared" si="14"/>
        <v>621319.87476000004</v>
      </c>
      <c r="L26" s="41">
        <v>20</v>
      </c>
      <c r="M26" s="41">
        <f t="shared" si="0"/>
        <v>819000</v>
      </c>
      <c r="N26" s="41">
        <f t="shared" si="15"/>
        <v>197510.625</v>
      </c>
      <c r="O26" s="41">
        <f t="shared" si="1"/>
        <v>38490.870600000002</v>
      </c>
      <c r="P26" s="41">
        <f t="shared" si="2"/>
        <v>252813.6</v>
      </c>
      <c r="Q26" s="41">
        <f t="shared" si="16"/>
        <v>1307815.0956000001</v>
      </c>
      <c r="R26" s="41">
        <v>19</v>
      </c>
      <c r="S26" s="41">
        <f t="shared" si="17"/>
        <v>778050</v>
      </c>
      <c r="T26" s="41">
        <f t="shared" si="18"/>
        <v>197510.625</v>
      </c>
      <c r="U26" s="41">
        <f t="shared" si="19"/>
        <v>38490.870600000002</v>
      </c>
      <c r="V26" s="41">
        <f t="shared" si="20"/>
        <v>252813.6</v>
      </c>
      <c r="W26" s="41">
        <f t="shared" si="21"/>
        <v>1266865.0956000001</v>
      </c>
      <c r="X26" s="41">
        <v>19</v>
      </c>
      <c r="Y26" s="41">
        <f t="shared" si="22"/>
        <v>778050</v>
      </c>
      <c r="Z26" s="41">
        <f t="shared" si="3"/>
        <v>197510.625</v>
      </c>
      <c r="AA26" s="41">
        <f t="shared" si="4"/>
        <v>38490.870600000002</v>
      </c>
      <c r="AB26" s="41">
        <f t="shared" si="5"/>
        <v>252813.6</v>
      </c>
      <c r="AC26" s="41">
        <f t="shared" si="23"/>
        <v>1266865.0956000001</v>
      </c>
      <c r="AD26" s="41">
        <v>19</v>
      </c>
      <c r="AE26" s="41">
        <f t="shared" si="24"/>
        <v>778050</v>
      </c>
      <c r="AF26" s="41">
        <f t="shared" si="6"/>
        <v>197510.625</v>
      </c>
      <c r="AG26" s="41">
        <f t="shared" si="7"/>
        <v>38490.870600000002</v>
      </c>
      <c r="AH26" s="41">
        <f t="shared" si="8"/>
        <v>252813.6</v>
      </c>
      <c r="AI26" s="41">
        <f t="shared" si="25"/>
        <v>1266865.0956000001</v>
      </c>
      <c r="AJ26" s="41">
        <v>9</v>
      </c>
      <c r="AK26" s="41">
        <f t="shared" si="26"/>
        <v>368550</v>
      </c>
      <c r="AL26" s="41">
        <f t="shared" si="27"/>
        <v>79004.25</v>
      </c>
      <c r="AM26" s="41">
        <f t="shared" si="28"/>
        <v>15396.348240000003</v>
      </c>
      <c r="AN26" s="41">
        <f t="shared" si="29"/>
        <v>101125.44</v>
      </c>
      <c r="AO26" s="41">
        <f t="shared" si="30"/>
        <v>564076.03824000002</v>
      </c>
      <c r="AP26" s="41">
        <v>0</v>
      </c>
      <c r="AQ26" s="41">
        <f t="shared" si="31"/>
        <v>0</v>
      </c>
      <c r="AR26" s="41">
        <f t="shared" si="32"/>
        <v>65836.875</v>
      </c>
      <c r="AS26" s="41">
        <f t="shared" si="33"/>
        <v>12830.290200000001</v>
      </c>
      <c r="AT26" s="41">
        <f t="shared" si="34"/>
        <v>84271.200000000012</v>
      </c>
      <c r="AU26" s="41">
        <f t="shared" si="35"/>
        <v>162938.3652</v>
      </c>
      <c r="AV26" s="44"/>
      <c r="AW26" s="44"/>
      <c r="AX26" s="44"/>
      <c r="AY26" s="44"/>
      <c r="AZ26" s="44"/>
      <c r="BA26" s="44"/>
      <c r="BB26" s="44"/>
      <c r="BC26" s="44"/>
      <c r="BD26" s="44"/>
      <c r="BE26" s="44"/>
      <c r="BF26" s="44"/>
      <c r="BG26" s="44"/>
      <c r="BH26" s="44"/>
      <c r="BI26" s="44"/>
      <c r="BJ26" s="44"/>
      <c r="BK26" s="44"/>
      <c r="BL26" s="44"/>
      <c r="BM26" s="44"/>
      <c r="BN26" s="44"/>
      <c r="BO26" s="44"/>
      <c r="BP26" s="44"/>
      <c r="BQ26" s="44"/>
      <c r="BR26" s="44"/>
    </row>
    <row r="27" spans="1:70" s="31" customFormat="1" x14ac:dyDescent="0.25">
      <c r="A27" s="29" t="s">
        <v>102</v>
      </c>
      <c r="B27" s="30">
        <v>1</v>
      </c>
      <c r="C27" s="30">
        <v>9</v>
      </c>
      <c r="D27" s="30">
        <v>0</v>
      </c>
      <c r="E27" s="30">
        <f t="shared" si="9"/>
        <v>9</v>
      </c>
      <c r="F27" s="30">
        <v>10</v>
      </c>
      <c r="G27" s="41">
        <f t="shared" si="10"/>
        <v>409500</v>
      </c>
      <c r="H27" s="41">
        <f t="shared" si="11"/>
        <v>85587.9375</v>
      </c>
      <c r="I27" s="41">
        <f t="shared" si="12"/>
        <v>16679.377260000001</v>
      </c>
      <c r="J27" s="41">
        <f t="shared" si="13"/>
        <v>109552.56000000001</v>
      </c>
      <c r="K27" s="41">
        <f t="shared" si="14"/>
        <v>621319.87476000004</v>
      </c>
      <c r="L27" s="41">
        <v>20</v>
      </c>
      <c r="M27" s="41">
        <f t="shared" si="0"/>
        <v>819000</v>
      </c>
      <c r="N27" s="41">
        <f t="shared" si="15"/>
        <v>197510.625</v>
      </c>
      <c r="O27" s="41">
        <f t="shared" si="1"/>
        <v>38490.870600000002</v>
      </c>
      <c r="P27" s="41">
        <f t="shared" si="2"/>
        <v>252813.6</v>
      </c>
      <c r="Q27" s="41">
        <f t="shared" si="16"/>
        <v>1307815.0956000001</v>
      </c>
      <c r="R27" s="41">
        <v>19</v>
      </c>
      <c r="S27" s="41">
        <f t="shared" si="17"/>
        <v>778050</v>
      </c>
      <c r="T27" s="41">
        <f t="shared" si="18"/>
        <v>197510.625</v>
      </c>
      <c r="U27" s="41">
        <f t="shared" si="19"/>
        <v>38490.870600000002</v>
      </c>
      <c r="V27" s="41">
        <f t="shared" si="20"/>
        <v>252813.6</v>
      </c>
      <c r="W27" s="41">
        <f t="shared" si="21"/>
        <v>1266865.0956000001</v>
      </c>
      <c r="X27" s="41">
        <v>19</v>
      </c>
      <c r="Y27" s="41">
        <f t="shared" si="22"/>
        <v>778050</v>
      </c>
      <c r="Z27" s="41">
        <f t="shared" si="3"/>
        <v>197510.625</v>
      </c>
      <c r="AA27" s="41">
        <f t="shared" si="4"/>
        <v>38490.870600000002</v>
      </c>
      <c r="AB27" s="41">
        <f t="shared" si="5"/>
        <v>252813.6</v>
      </c>
      <c r="AC27" s="41">
        <f t="shared" si="23"/>
        <v>1266865.0956000001</v>
      </c>
      <c r="AD27" s="41">
        <v>19</v>
      </c>
      <c r="AE27" s="41">
        <f t="shared" si="24"/>
        <v>778050</v>
      </c>
      <c r="AF27" s="41">
        <f t="shared" si="6"/>
        <v>197510.625</v>
      </c>
      <c r="AG27" s="41">
        <f t="shared" si="7"/>
        <v>38490.870600000002</v>
      </c>
      <c r="AH27" s="41">
        <f t="shared" si="8"/>
        <v>252813.6</v>
      </c>
      <c r="AI27" s="41">
        <f t="shared" si="25"/>
        <v>1266865.0956000001</v>
      </c>
      <c r="AJ27" s="41">
        <v>9</v>
      </c>
      <c r="AK27" s="41">
        <f t="shared" si="26"/>
        <v>368550</v>
      </c>
      <c r="AL27" s="41">
        <f t="shared" si="27"/>
        <v>79004.25</v>
      </c>
      <c r="AM27" s="41">
        <f t="shared" si="28"/>
        <v>15396.348240000003</v>
      </c>
      <c r="AN27" s="41">
        <f t="shared" si="29"/>
        <v>101125.44</v>
      </c>
      <c r="AO27" s="41">
        <f t="shared" si="30"/>
        <v>564076.03824000002</v>
      </c>
      <c r="AP27" s="41">
        <v>0</v>
      </c>
      <c r="AQ27" s="41">
        <f t="shared" si="31"/>
        <v>0</v>
      </c>
      <c r="AR27" s="41">
        <f t="shared" si="32"/>
        <v>65836.875</v>
      </c>
      <c r="AS27" s="41">
        <f t="shared" si="33"/>
        <v>12830.290200000001</v>
      </c>
      <c r="AT27" s="41">
        <f t="shared" si="34"/>
        <v>84271.200000000012</v>
      </c>
      <c r="AU27" s="41">
        <f>SUM(AQ27:AT27)*B27</f>
        <v>162938.3652</v>
      </c>
      <c r="AV27" s="44"/>
      <c r="AW27" s="44"/>
      <c r="AX27" s="44"/>
      <c r="AY27" s="44"/>
      <c r="AZ27" s="44"/>
      <c r="BA27" s="44"/>
      <c r="BB27" s="44"/>
      <c r="BC27" s="44"/>
      <c r="BD27" s="44"/>
      <c r="BE27" s="44"/>
      <c r="BF27" s="44"/>
      <c r="BG27" s="44"/>
      <c r="BH27" s="44"/>
      <c r="BI27" s="44"/>
      <c r="BJ27" s="44"/>
      <c r="BK27" s="44"/>
      <c r="BL27" s="44"/>
      <c r="BM27" s="44"/>
      <c r="BN27" s="44"/>
      <c r="BO27" s="44"/>
      <c r="BP27" s="44"/>
      <c r="BQ27" s="44"/>
      <c r="BR27" s="44"/>
    </row>
    <row r="28" spans="1:70" s="34" customFormat="1" x14ac:dyDescent="0.25">
      <c r="A28" s="32" t="s">
        <v>107</v>
      </c>
      <c r="B28" s="33">
        <v>1</v>
      </c>
      <c r="C28" s="33">
        <v>10</v>
      </c>
      <c r="D28" s="33">
        <v>7</v>
      </c>
      <c r="E28" s="33">
        <f>C28+D28</f>
        <v>17</v>
      </c>
      <c r="F28" s="33">
        <v>10</v>
      </c>
      <c r="G28" s="42">
        <f>$C$5*F28</f>
        <v>598500</v>
      </c>
      <c r="H28" s="42">
        <f t="shared" si="11"/>
        <v>85587.9375</v>
      </c>
      <c r="I28" s="42">
        <f t="shared" si="12"/>
        <v>16679.377260000001</v>
      </c>
      <c r="J28" s="42">
        <f t="shared" si="13"/>
        <v>109552.56000000001</v>
      </c>
      <c r="K28" s="42">
        <f t="shared" ref="K28:K76" si="42">SUM(G28:J28)*B28</f>
        <v>810319.87476000004</v>
      </c>
      <c r="L28" s="42">
        <v>20</v>
      </c>
      <c r="M28" s="42">
        <f>$C$5*L28</f>
        <v>1197000</v>
      </c>
      <c r="N28" s="42">
        <f t="shared" si="15"/>
        <v>197510.625</v>
      </c>
      <c r="O28" s="42">
        <f t="shared" si="1"/>
        <v>38490.870600000002</v>
      </c>
      <c r="P28" s="42">
        <f t="shared" si="2"/>
        <v>252813.6</v>
      </c>
      <c r="Q28" s="42">
        <f t="shared" si="16"/>
        <v>1685815.0956000001</v>
      </c>
      <c r="R28" s="42">
        <v>19</v>
      </c>
      <c r="S28" s="42">
        <f>$C$5*R28</f>
        <v>1137150</v>
      </c>
      <c r="T28" s="42">
        <f t="shared" si="18"/>
        <v>197510.625</v>
      </c>
      <c r="U28" s="42">
        <f t="shared" si="19"/>
        <v>38490.870600000002</v>
      </c>
      <c r="V28" s="42">
        <f t="shared" si="20"/>
        <v>252813.6</v>
      </c>
      <c r="W28" s="42">
        <f t="shared" si="21"/>
        <v>1625965.0956000001</v>
      </c>
      <c r="X28" s="42">
        <v>19</v>
      </c>
      <c r="Y28" s="42">
        <f>$C$5*X28</f>
        <v>1137150</v>
      </c>
      <c r="Z28" s="42">
        <f t="shared" si="3"/>
        <v>197510.625</v>
      </c>
      <c r="AA28" s="42">
        <f t="shared" si="4"/>
        <v>38490.870600000002</v>
      </c>
      <c r="AB28" s="42">
        <f t="shared" si="5"/>
        <v>252813.6</v>
      </c>
      <c r="AC28" s="42">
        <f t="shared" si="23"/>
        <v>1625965.0956000001</v>
      </c>
      <c r="AD28" s="42">
        <v>19</v>
      </c>
      <c r="AE28" s="42">
        <f>$C$5*AD28</f>
        <v>1137150</v>
      </c>
      <c r="AF28" s="42">
        <f t="shared" si="6"/>
        <v>197510.625</v>
      </c>
      <c r="AG28" s="42">
        <f t="shared" si="7"/>
        <v>38490.870600000002</v>
      </c>
      <c r="AH28" s="42">
        <f t="shared" si="8"/>
        <v>252813.6</v>
      </c>
      <c r="AI28" s="42">
        <f t="shared" si="25"/>
        <v>1625965.0956000001</v>
      </c>
      <c r="AJ28" s="42">
        <v>9</v>
      </c>
      <c r="AK28" s="42">
        <f>$C$5*AJ28</f>
        <v>538650</v>
      </c>
      <c r="AL28" s="42">
        <f>($D$4*12.5%)/30*12</f>
        <v>79004.25</v>
      </c>
      <c r="AM28" s="42">
        <f>($D$4*2.436%)/30*12</f>
        <v>15396.348240000003</v>
      </c>
      <c r="AN28" s="42">
        <f>($D$4*16%)/30*12</f>
        <v>101125.44</v>
      </c>
      <c r="AO28" s="42">
        <f t="shared" si="30"/>
        <v>734176.03823999991</v>
      </c>
      <c r="AP28" s="42">
        <v>0</v>
      </c>
      <c r="AQ28" s="42">
        <f>$C$5*AP28</f>
        <v>0</v>
      </c>
      <c r="AR28" s="42">
        <f>($D$4*12.5%)/30*10</f>
        <v>65836.875</v>
      </c>
      <c r="AS28" s="42">
        <f>($D$4*2.436%)/30*10</f>
        <v>12830.290200000001</v>
      </c>
      <c r="AT28" s="42">
        <f>($D$4*16%)/30*10</f>
        <v>84271.200000000012</v>
      </c>
      <c r="AU28" s="42">
        <f t="shared" si="35"/>
        <v>162938.3652</v>
      </c>
      <c r="AV28" s="45"/>
      <c r="AW28" s="45"/>
      <c r="AX28" s="45"/>
      <c r="AY28" s="45"/>
      <c r="AZ28" s="45"/>
      <c r="BA28" s="45"/>
      <c r="BB28" s="45"/>
      <c r="BC28" s="45"/>
      <c r="BD28" s="45"/>
      <c r="BE28" s="45"/>
      <c r="BF28" s="45"/>
      <c r="BG28" s="45"/>
      <c r="BH28" s="45"/>
      <c r="BI28" s="45"/>
      <c r="BJ28" s="45"/>
      <c r="BK28" s="45"/>
      <c r="BL28" s="45"/>
      <c r="BM28" s="45"/>
      <c r="BN28" s="45"/>
      <c r="BO28" s="45"/>
      <c r="BP28" s="45"/>
      <c r="BQ28" s="45"/>
      <c r="BR28" s="45"/>
    </row>
    <row r="29" spans="1:70" s="34" customFormat="1" x14ac:dyDescent="0.25">
      <c r="A29" s="32" t="s">
        <v>27</v>
      </c>
      <c r="B29" s="33">
        <v>1</v>
      </c>
      <c r="C29" s="33">
        <v>10</v>
      </c>
      <c r="D29" s="33">
        <v>7</v>
      </c>
      <c r="E29" s="33">
        <f>C29+D29</f>
        <v>17</v>
      </c>
      <c r="F29" s="33">
        <v>10</v>
      </c>
      <c r="G29" s="42">
        <f t="shared" ref="G29:G69" si="43">$C$5*F29</f>
        <v>598500</v>
      </c>
      <c r="H29" s="42">
        <f t="shared" si="11"/>
        <v>85587.9375</v>
      </c>
      <c r="I29" s="42">
        <f t="shared" si="12"/>
        <v>16679.377260000001</v>
      </c>
      <c r="J29" s="42">
        <f t="shared" si="13"/>
        <v>109552.56000000001</v>
      </c>
      <c r="K29" s="42">
        <f t="shared" si="42"/>
        <v>810319.87476000004</v>
      </c>
      <c r="L29" s="42">
        <v>20</v>
      </c>
      <c r="M29" s="42">
        <f t="shared" ref="M29:M69" si="44">$C$5*L29</f>
        <v>1197000</v>
      </c>
      <c r="N29" s="42">
        <f t="shared" si="15"/>
        <v>197510.625</v>
      </c>
      <c r="O29" s="42">
        <f t="shared" si="1"/>
        <v>38490.870600000002</v>
      </c>
      <c r="P29" s="42">
        <f t="shared" si="2"/>
        <v>252813.6</v>
      </c>
      <c r="Q29" s="42">
        <f t="shared" si="16"/>
        <v>1685815.0956000001</v>
      </c>
      <c r="R29" s="42">
        <v>19</v>
      </c>
      <c r="S29" s="42">
        <f t="shared" ref="S29:S69" si="45">$C$5*R29</f>
        <v>1137150</v>
      </c>
      <c r="T29" s="42">
        <f t="shared" si="18"/>
        <v>197510.625</v>
      </c>
      <c r="U29" s="42">
        <f t="shared" si="19"/>
        <v>38490.870600000002</v>
      </c>
      <c r="V29" s="42">
        <f t="shared" si="20"/>
        <v>252813.6</v>
      </c>
      <c r="W29" s="42">
        <f t="shared" si="21"/>
        <v>1625965.0956000001</v>
      </c>
      <c r="X29" s="42">
        <v>19</v>
      </c>
      <c r="Y29" s="42">
        <f t="shared" ref="Y29:Y69" si="46">$C$5*X29</f>
        <v>1137150</v>
      </c>
      <c r="Z29" s="42">
        <f t="shared" si="3"/>
        <v>197510.625</v>
      </c>
      <c r="AA29" s="42">
        <f t="shared" si="4"/>
        <v>38490.870600000002</v>
      </c>
      <c r="AB29" s="42">
        <f t="shared" si="5"/>
        <v>252813.6</v>
      </c>
      <c r="AC29" s="42">
        <f t="shared" si="23"/>
        <v>1625965.0956000001</v>
      </c>
      <c r="AD29" s="42">
        <v>19</v>
      </c>
      <c r="AE29" s="42">
        <f t="shared" ref="AE29:AE69" si="47">$C$5*AD29</f>
        <v>1137150</v>
      </c>
      <c r="AF29" s="42">
        <f t="shared" si="6"/>
        <v>197510.625</v>
      </c>
      <c r="AG29" s="42">
        <f t="shared" si="7"/>
        <v>38490.870600000002</v>
      </c>
      <c r="AH29" s="42">
        <f t="shared" si="8"/>
        <v>252813.6</v>
      </c>
      <c r="AI29" s="42">
        <f t="shared" si="25"/>
        <v>1625965.0956000001</v>
      </c>
      <c r="AJ29" s="42">
        <v>9</v>
      </c>
      <c r="AK29" s="42">
        <f t="shared" ref="AK29:AK69" si="48">$C$5*AJ29</f>
        <v>538650</v>
      </c>
      <c r="AL29" s="42">
        <f t="shared" ref="AL29:AL68" si="49">($D$4*12.5%)/30*12</f>
        <v>79004.25</v>
      </c>
      <c r="AM29" s="42">
        <f t="shared" ref="AM29:AM68" si="50">($D$4*2.436%)/30*12</f>
        <v>15396.348240000003</v>
      </c>
      <c r="AN29" s="42">
        <f t="shared" ref="AN29:AN68" si="51">($D$4*16%)/30*12</f>
        <v>101125.44</v>
      </c>
      <c r="AO29" s="42">
        <f t="shared" si="30"/>
        <v>734176.03823999991</v>
      </c>
      <c r="AP29" s="42">
        <v>0</v>
      </c>
      <c r="AQ29" s="42">
        <f t="shared" ref="AQ29:AQ38" si="52">$C$5*AP29</f>
        <v>0</v>
      </c>
      <c r="AR29" s="42">
        <f t="shared" ref="AR29:AR69" si="53">($D$4*12.5%)/30*10</f>
        <v>65836.875</v>
      </c>
      <c r="AS29" s="42">
        <f t="shared" ref="AS29:AS69" si="54">($D$4*2.436%)/30*10</f>
        <v>12830.290200000001</v>
      </c>
      <c r="AT29" s="42">
        <f t="shared" ref="AT29:AT69" si="55">($D$4*16%)/30*10</f>
        <v>84271.200000000012</v>
      </c>
      <c r="AU29" s="42">
        <f t="shared" si="35"/>
        <v>162938.3652</v>
      </c>
      <c r="AV29" s="45"/>
      <c r="AW29" s="45"/>
      <c r="AX29" s="45"/>
      <c r="AY29" s="45"/>
      <c r="AZ29" s="45"/>
      <c r="BA29" s="45"/>
      <c r="BB29" s="45"/>
      <c r="BC29" s="45"/>
      <c r="BD29" s="45"/>
      <c r="BE29" s="45"/>
      <c r="BF29" s="45"/>
      <c r="BG29" s="45"/>
      <c r="BH29" s="45"/>
      <c r="BI29" s="45"/>
      <c r="BJ29" s="45"/>
      <c r="BK29" s="45"/>
      <c r="BL29" s="45"/>
      <c r="BM29" s="45"/>
      <c r="BN29" s="45"/>
      <c r="BO29" s="45"/>
      <c r="BP29" s="45"/>
      <c r="BQ29" s="45"/>
      <c r="BR29" s="45"/>
    </row>
    <row r="30" spans="1:70" s="92" customFormat="1" x14ac:dyDescent="0.25">
      <c r="A30" s="88" t="s">
        <v>81</v>
      </c>
      <c r="B30" s="89">
        <v>1</v>
      </c>
      <c r="C30" s="89">
        <v>7</v>
      </c>
      <c r="D30" s="89">
        <v>8</v>
      </c>
      <c r="E30" s="89">
        <f>C30+D30</f>
        <v>15</v>
      </c>
      <c r="F30" s="89">
        <v>10</v>
      </c>
      <c r="G30" s="90">
        <f t="shared" si="43"/>
        <v>598500</v>
      </c>
      <c r="H30" s="90">
        <f t="shared" si="11"/>
        <v>85587.9375</v>
      </c>
      <c r="I30" s="90">
        <f t="shared" si="12"/>
        <v>16679.377260000001</v>
      </c>
      <c r="J30" s="90">
        <f t="shared" si="13"/>
        <v>109552.56000000001</v>
      </c>
      <c r="K30" s="90">
        <f t="shared" si="42"/>
        <v>810319.87476000004</v>
      </c>
      <c r="L30" s="90">
        <v>20</v>
      </c>
      <c r="M30" s="90">
        <f t="shared" si="44"/>
        <v>1197000</v>
      </c>
      <c r="N30" s="90">
        <f t="shared" si="15"/>
        <v>197510.625</v>
      </c>
      <c r="O30" s="90">
        <f t="shared" si="1"/>
        <v>38490.870600000002</v>
      </c>
      <c r="P30" s="90">
        <f t="shared" si="2"/>
        <v>252813.6</v>
      </c>
      <c r="Q30" s="90">
        <f t="shared" si="16"/>
        <v>1685815.0956000001</v>
      </c>
      <c r="R30" s="90">
        <v>19</v>
      </c>
      <c r="S30" s="90">
        <f t="shared" si="45"/>
        <v>1137150</v>
      </c>
      <c r="T30" s="90">
        <f t="shared" si="18"/>
        <v>197510.625</v>
      </c>
      <c r="U30" s="90">
        <f t="shared" si="19"/>
        <v>38490.870600000002</v>
      </c>
      <c r="V30" s="90">
        <f t="shared" si="20"/>
        <v>252813.6</v>
      </c>
      <c r="W30" s="90">
        <f t="shared" si="21"/>
        <v>1625965.0956000001</v>
      </c>
      <c r="X30" s="90">
        <v>19</v>
      </c>
      <c r="Y30" s="90">
        <f t="shared" si="46"/>
        <v>1137150</v>
      </c>
      <c r="Z30" s="90">
        <f t="shared" si="3"/>
        <v>197510.625</v>
      </c>
      <c r="AA30" s="90">
        <f t="shared" si="4"/>
        <v>38490.870600000002</v>
      </c>
      <c r="AB30" s="90">
        <f t="shared" si="5"/>
        <v>252813.6</v>
      </c>
      <c r="AC30" s="90">
        <f t="shared" si="23"/>
        <v>1625965.0956000001</v>
      </c>
      <c r="AD30" s="90">
        <v>19</v>
      </c>
      <c r="AE30" s="90">
        <f t="shared" si="47"/>
        <v>1137150</v>
      </c>
      <c r="AF30" s="90">
        <f t="shared" si="6"/>
        <v>197510.625</v>
      </c>
      <c r="AG30" s="90">
        <f t="shared" si="7"/>
        <v>38490.870600000002</v>
      </c>
      <c r="AH30" s="90">
        <f t="shared" si="8"/>
        <v>252813.6</v>
      </c>
      <c r="AI30" s="90">
        <f t="shared" si="25"/>
        <v>1625965.0956000001</v>
      </c>
      <c r="AJ30" s="90">
        <v>9</v>
      </c>
      <c r="AK30" s="90">
        <f t="shared" si="48"/>
        <v>538650</v>
      </c>
      <c r="AL30" s="90">
        <f t="shared" si="49"/>
        <v>79004.25</v>
      </c>
      <c r="AM30" s="90">
        <f t="shared" si="50"/>
        <v>15396.348240000003</v>
      </c>
      <c r="AN30" s="90">
        <f t="shared" si="51"/>
        <v>101125.44</v>
      </c>
      <c r="AO30" s="90">
        <f t="shared" si="30"/>
        <v>734176.03823999991</v>
      </c>
      <c r="AP30" s="90">
        <v>0</v>
      </c>
      <c r="AQ30" s="90">
        <f t="shared" si="52"/>
        <v>0</v>
      </c>
      <c r="AR30" s="90">
        <f t="shared" si="53"/>
        <v>65836.875</v>
      </c>
      <c r="AS30" s="90">
        <f t="shared" si="54"/>
        <v>12830.290200000001</v>
      </c>
      <c r="AT30" s="90">
        <f t="shared" si="55"/>
        <v>84271.200000000012</v>
      </c>
      <c r="AU30" s="90">
        <f t="shared" si="35"/>
        <v>162938.3652</v>
      </c>
      <c r="AV30" s="91"/>
      <c r="AW30" s="91"/>
      <c r="AX30" s="91"/>
      <c r="AY30" s="91"/>
      <c r="AZ30" s="91"/>
      <c r="BA30" s="91"/>
      <c r="BB30" s="91"/>
      <c r="BC30" s="91"/>
      <c r="BD30" s="91"/>
      <c r="BE30" s="91"/>
      <c r="BF30" s="91"/>
      <c r="BG30" s="91"/>
      <c r="BH30" s="91"/>
      <c r="BI30" s="91"/>
      <c r="BJ30" s="91"/>
      <c r="BK30" s="91"/>
      <c r="BL30" s="91"/>
      <c r="BM30" s="91"/>
      <c r="BN30" s="91"/>
      <c r="BO30" s="91"/>
      <c r="BP30" s="91"/>
      <c r="BQ30" s="91"/>
      <c r="BR30" s="91"/>
    </row>
    <row r="31" spans="1:70" s="92" customFormat="1" x14ac:dyDescent="0.25">
      <c r="A31" s="88" t="s">
        <v>87</v>
      </c>
      <c r="B31" s="89">
        <v>1</v>
      </c>
      <c r="C31" s="89">
        <v>6</v>
      </c>
      <c r="D31" s="89">
        <v>6</v>
      </c>
      <c r="E31" s="89">
        <f>C31+D31</f>
        <v>12</v>
      </c>
      <c r="F31" s="89">
        <v>10</v>
      </c>
      <c r="G31" s="90">
        <f t="shared" si="43"/>
        <v>598500</v>
      </c>
      <c r="H31" s="90">
        <f t="shared" si="11"/>
        <v>85587.9375</v>
      </c>
      <c r="I31" s="90">
        <f t="shared" si="12"/>
        <v>16679.377260000001</v>
      </c>
      <c r="J31" s="90">
        <f t="shared" si="13"/>
        <v>109552.56000000001</v>
      </c>
      <c r="K31" s="90">
        <f t="shared" si="42"/>
        <v>810319.87476000004</v>
      </c>
      <c r="L31" s="90">
        <v>20</v>
      </c>
      <c r="M31" s="90">
        <f t="shared" si="44"/>
        <v>1197000</v>
      </c>
      <c r="N31" s="90">
        <f t="shared" si="15"/>
        <v>197510.625</v>
      </c>
      <c r="O31" s="90">
        <f t="shared" si="1"/>
        <v>38490.870600000002</v>
      </c>
      <c r="P31" s="90">
        <f t="shared" si="2"/>
        <v>252813.6</v>
      </c>
      <c r="Q31" s="90">
        <f t="shared" si="16"/>
        <v>1685815.0956000001</v>
      </c>
      <c r="R31" s="90">
        <v>19</v>
      </c>
      <c r="S31" s="90">
        <f t="shared" si="45"/>
        <v>1137150</v>
      </c>
      <c r="T31" s="90">
        <f t="shared" si="18"/>
        <v>197510.625</v>
      </c>
      <c r="U31" s="90">
        <f t="shared" si="19"/>
        <v>38490.870600000002</v>
      </c>
      <c r="V31" s="90">
        <f t="shared" si="20"/>
        <v>252813.6</v>
      </c>
      <c r="W31" s="90">
        <f t="shared" si="21"/>
        <v>1625965.0956000001</v>
      </c>
      <c r="X31" s="90">
        <v>19</v>
      </c>
      <c r="Y31" s="90">
        <f t="shared" si="46"/>
        <v>1137150</v>
      </c>
      <c r="Z31" s="90">
        <f t="shared" si="3"/>
        <v>197510.625</v>
      </c>
      <c r="AA31" s="90">
        <f t="shared" si="4"/>
        <v>38490.870600000002</v>
      </c>
      <c r="AB31" s="90">
        <f t="shared" si="5"/>
        <v>252813.6</v>
      </c>
      <c r="AC31" s="90">
        <f t="shared" si="23"/>
        <v>1625965.0956000001</v>
      </c>
      <c r="AD31" s="90">
        <v>19</v>
      </c>
      <c r="AE31" s="90">
        <f t="shared" si="47"/>
        <v>1137150</v>
      </c>
      <c r="AF31" s="90">
        <f t="shared" si="6"/>
        <v>197510.625</v>
      </c>
      <c r="AG31" s="90">
        <f t="shared" si="7"/>
        <v>38490.870600000002</v>
      </c>
      <c r="AH31" s="90">
        <f t="shared" si="8"/>
        <v>252813.6</v>
      </c>
      <c r="AI31" s="90">
        <f t="shared" si="25"/>
        <v>1625965.0956000001</v>
      </c>
      <c r="AJ31" s="90">
        <v>9</v>
      </c>
      <c r="AK31" s="90">
        <f t="shared" si="48"/>
        <v>538650</v>
      </c>
      <c r="AL31" s="90">
        <f t="shared" si="49"/>
        <v>79004.25</v>
      </c>
      <c r="AM31" s="90">
        <f t="shared" si="50"/>
        <v>15396.348240000003</v>
      </c>
      <c r="AN31" s="90">
        <f t="shared" si="51"/>
        <v>101125.44</v>
      </c>
      <c r="AO31" s="90">
        <f t="shared" si="30"/>
        <v>734176.03823999991</v>
      </c>
      <c r="AP31" s="90">
        <v>0</v>
      </c>
      <c r="AQ31" s="90">
        <f t="shared" si="52"/>
        <v>0</v>
      </c>
      <c r="AR31" s="90">
        <f t="shared" si="53"/>
        <v>65836.875</v>
      </c>
      <c r="AS31" s="90">
        <f t="shared" si="54"/>
        <v>12830.290200000001</v>
      </c>
      <c r="AT31" s="90">
        <f t="shared" si="55"/>
        <v>84271.200000000012</v>
      </c>
      <c r="AU31" s="90">
        <f t="shared" si="35"/>
        <v>162938.3652</v>
      </c>
      <c r="AV31" s="91"/>
      <c r="AW31" s="91"/>
      <c r="AX31" s="91"/>
      <c r="AY31" s="91"/>
      <c r="AZ31" s="91"/>
      <c r="BA31" s="91"/>
      <c r="BB31" s="91"/>
      <c r="BC31" s="91"/>
      <c r="BD31" s="91"/>
      <c r="BE31" s="91"/>
      <c r="BF31" s="91"/>
      <c r="BG31" s="91"/>
      <c r="BH31" s="91"/>
      <c r="BI31" s="91"/>
      <c r="BJ31" s="91"/>
      <c r="BK31" s="91"/>
      <c r="BL31" s="91"/>
      <c r="BM31" s="91"/>
      <c r="BN31" s="91"/>
      <c r="BO31" s="91"/>
      <c r="BP31" s="91"/>
      <c r="BQ31" s="91"/>
      <c r="BR31" s="91"/>
    </row>
    <row r="32" spans="1:70" s="34" customFormat="1" x14ac:dyDescent="0.25">
      <c r="A32" s="32" t="s">
        <v>104</v>
      </c>
      <c r="B32" s="33">
        <v>1</v>
      </c>
      <c r="C32" s="33">
        <v>8</v>
      </c>
      <c r="D32" s="33">
        <v>15</v>
      </c>
      <c r="E32" s="33">
        <f t="shared" si="9"/>
        <v>23</v>
      </c>
      <c r="F32" s="33">
        <v>10</v>
      </c>
      <c r="G32" s="42">
        <f t="shared" si="43"/>
        <v>598500</v>
      </c>
      <c r="H32" s="42">
        <f t="shared" si="11"/>
        <v>85587.9375</v>
      </c>
      <c r="I32" s="42">
        <f t="shared" si="12"/>
        <v>16679.377260000001</v>
      </c>
      <c r="J32" s="42">
        <f t="shared" si="13"/>
        <v>109552.56000000001</v>
      </c>
      <c r="K32" s="42">
        <f t="shared" si="42"/>
        <v>810319.87476000004</v>
      </c>
      <c r="L32" s="42">
        <v>20</v>
      </c>
      <c r="M32" s="42">
        <f t="shared" si="44"/>
        <v>1197000</v>
      </c>
      <c r="N32" s="42">
        <f t="shared" si="15"/>
        <v>197510.625</v>
      </c>
      <c r="O32" s="42">
        <f t="shared" si="1"/>
        <v>38490.870600000002</v>
      </c>
      <c r="P32" s="42">
        <f t="shared" si="2"/>
        <v>252813.6</v>
      </c>
      <c r="Q32" s="42">
        <f t="shared" si="16"/>
        <v>1685815.0956000001</v>
      </c>
      <c r="R32" s="42">
        <v>19</v>
      </c>
      <c r="S32" s="42">
        <f t="shared" si="45"/>
        <v>1137150</v>
      </c>
      <c r="T32" s="42">
        <f t="shared" si="18"/>
        <v>197510.625</v>
      </c>
      <c r="U32" s="42">
        <f t="shared" si="19"/>
        <v>38490.870600000002</v>
      </c>
      <c r="V32" s="42">
        <f t="shared" si="20"/>
        <v>252813.6</v>
      </c>
      <c r="W32" s="42">
        <f t="shared" si="21"/>
        <v>1625965.0956000001</v>
      </c>
      <c r="X32" s="42">
        <v>19</v>
      </c>
      <c r="Y32" s="42">
        <f t="shared" si="46"/>
        <v>1137150</v>
      </c>
      <c r="Z32" s="42">
        <f t="shared" si="3"/>
        <v>197510.625</v>
      </c>
      <c r="AA32" s="42">
        <f t="shared" si="4"/>
        <v>38490.870600000002</v>
      </c>
      <c r="AB32" s="42">
        <f t="shared" si="5"/>
        <v>252813.6</v>
      </c>
      <c r="AC32" s="42">
        <f t="shared" si="23"/>
        <v>1625965.0956000001</v>
      </c>
      <c r="AD32" s="42">
        <v>19</v>
      </c>
      <c r="AE32" s="42">
        <f t="shared" si="47"/>
        <v>1137150</v>
      </c>
      <c r="AF32" s="42">
        <f t="shared" si="6"/>
        <v>197510.625</v>
      </c>
      <c r="AG32" s="42">
        <f t="shared" si="7"/>
        <v>38490.870600000002</v>
      </c>
      <c r="AH32" s="42">
        <f t="shared" si="8"/>
        <v>252813.6</v>
      </c>
      <c r="AI32" s="42">
        <f t="shared" si="25"/>
        <v>1625965.0956000001</v>
      </c>
      <c r="AJ32" s="42">
        <v>9</v>
      </c>
      <c r="AK32" s="42">
        <f t="shared" si="48"/>
        <v>538650</v>
      </c>
      <c r="AL32" s="42">
        <f t="shared" si="49"/>
        <v>79004.25</v>
      </c>
      <c r="AM32" s="42">
        <f t="shared" si="50"/>
        <v>15396.348240000003</v>
      </c>
      <c r="AN32" s="42">
        <f t="shared" si="51"/>
        <v>101125.44</v>
      </c>
      <c r="AO32" s="42">
        <f t="shared" si="30"/>
        <v>734176.03823999991</v>
      </c>
      <c r="AP32" s="42">
        <v>0</v>
      </c>
      <c r="AQ32" s="42">
        <f t="shared" si="52"/>
        <v>0</v>
      </c>
      <c r="AR32" s="42">
        <f t="shared" si="53"/>
        <v>65836.875</v>
      </c>
      <c r="AS32" s="42">
        <f t="shared" si="54"/>
        <v>12830.290200000001</v>
      </c>
      <c r="AT32" s="42">
        <f t="shared" si="55"/>
        <v>84271.200000000012</v>
      </c>
      <c r="AU32" s="42">
        <f t="shared" si="35"/>
        <v>162938.3652</v>
      </c>
      <c r="AV32" s="45"/>
      <c r="AW32" s="45"/>
      <c r="AX32" s="45"/>
      <c r="AY32" s="45"/>
      <c r="AZ32" s="45"/>
      <c r="BA32" s="45"/>
      <c r="BB32" s="45"/>
      <c r="BC32" s="45"/>
      <c r="BD32" s="45"/>
      <c r="BE32" s="45"/>
      <c r="BF32" s="45"/>
      <c r="BG32" s="45"/>
      <c r="BH32" s="45"/>
      <c r="BI32" s="45"/>
      <c r="BJ32" s="45"/>
      <c r="BK32" s="45"/>
      <c r="BL32" s="45"/>
      <c r="BM32" s="45"/>
      <c r="BN32" s="45"/>
      <c r="BO32" s="45"/>
      <c r="BP32" s="45"/>
      <c r="BQ32" s="45"/>
      <c r="BR32" s="45"/>
    </row>
    <row r="33" spans="1:70" s="34" customFormat="1" x14ac:dyDescent="0.25">
      <c r="A33" s="32" t="s">
        <v>28</v>
      </c>
      <c r="B33" s="33">
        <v>1</v>
      </c>
      <c r="C33" s="33">
        <v>32</v>
      </c>
      <c r="D33" s="33">
        <v>0</v>
      </c>
      <c r="E33" s="33">
        <f t="shared" si="9"/>
        <v>32</v>
      </c>
      <c r="F33" s="33">
        <v>10</v>
      </c>
      <c r="G33" s="42">
        <f t="shared" si="43"/>
        <v>598500</v>
      </c>
      <c r="H33" s="42">
        <f t="shared" si="11"/>
        <v>85587.9375</v>
      </c>
      <c r="I33" s="42">
        <f t="shared" si="12"/>
        <v>16679.377260000001</v>
      </c>
      <c r="J33" s="42">
        <f t="shared" si="13"/>
        <v>109552.56000000001</v>
      </c>
      <c r="K33" s="42">
        <f t="shared" si="42"/>
        <v>810319.87476000004</v>
      </c>
      <c r="L33" s="42">
        <v>20</v>
      </c>
      <c r="M33" s="42">
        <f t="shared" si="44"/>
        <v>1197000</v>
      </c>
      <c r="N33" s="42">
        <f t="shared" si="15"/>
        <v>197510.625</v>
      </c>
      <c r="O33" s="42">
        <f t="shared" si="1"/>
        <v>38490.870600000002</v>
      </c>
      <c r="P33" s="42">
        <f t="shared" si="2"/>
        <v>252813.6</v>
      </c>
      <c r="Q33" s="42">
        <f t="shared" si="16"/>
        <v>1685815.0956000001</v>
      </c>
      <c r="R33" s="42">
        <v>19</v>
      </c>
      <c r="S33" s="42">
        <f t="shared" si="45"/>
        <v>1137150</v>
      </c>
      <c r="T33" s="42">
        <f t="shared" si="18"/>
        <v>197510.625</v>
      </c>
      <c r="U33" s="42">
        <f t="shared" si="19"/>
        <v>38490.870600000002</v>
      </c>
      <c r="V33" s="42">
        <f t="shared" si="20"/>
        <v>252813.6</v>
      </c>
      <c r="W33" s="42">
        <f t="shared" si="21"/>
        <v>1625965.0956000001</v>
      </c>
      <c r="X33" s="42">
        <v>19</v>
      </c>
      <c r="Y33" s="42">
        <f t="shared" si="46"/>
        <v>1137150</v>
      </c>
      <c r="Z33" s="42">
        <f t="shared" si="3"/>
        <v>197510.625</v>
      </c>
      <c r="AA33" s="42">
        <f t="shared" si="4"/>
        <v>38490.870600000002</v>
      </c>
      <c r="AB33" s="42">
        <f t="shared" si="5"/>
        <v>252813.6</v>
      </c>
      <c r="AC33" s="42">
        <f t="shared" si="23"/>
        <v>1625965.0956000001</v>
      </c>
      <c r="AD33" s="42">
        <v>19</v>
      </c>
      <c r="AE33" s="42">
        <f t="shared" si="47"/>
        <v>1137150</v>
      </c>
      <c r="AF33" s="42">
        <f t="shared" si="6"/>
        <v>197510.625</v>
      </c>
      <c r="AG33" s="42">
        <f t="shared" si="7"/>
        <v>38490.870600000002</v>
      </c>
      <c r="AH33" s="42">
        <f t="shared" si="8"/>
        <v>252813.6</v>
      </c>
      <c r="AI33" s="42">
        <f t="shared" si="25"/>
        <v>1625965.0956000001</v>
      </c>
      <c r="AJ33" s="42">
        <v>9</v>
      </c>
      <c r="AK33" s="42">
        <f t="shared" si="48"/>
        <v>538650</v>
      </c>
      <c r="AL33" s="42">
        <f t="shared" si="49"/>
        <v>79004.25</v>
      </c>
      <c r="AM33" s="42">
        <f t="shared" si="50"/>
        <v>15396.348240000003</v>
      </c>
      <c r="AN33" s="42">
        <f t="shared" si="51"/>
        <v>101125.44</v>
      </c>
      <c r="AO33" s="42">
        <f t="shared" si="30"/>
        <v>734176.03823999991</v>
      </c>
      <c r="AP33" s="42">
        <v>0</v>
      </c>
      <c r="AQ33" s="42">
        <f t="shared" si="52"/>
        <v>0</v>
      </c>
      <c r="AR33" s="42">
        <f t="shared" si="53"/>
        <v>65836.875</v>
      </c>
      <c r="AS33" s="42">
        <f t="shared" si="54"/>
        <v>12830.290200000001</v>
      </c>
      <c r="AT33" s="42">
        <f t="shared" si="55"/>
        <v>84271.200000000012</v>
      </c>
      <c r="AU33" s="42">
        <f t="shared" si="35"/>
        <v>162938.3652</v>
      </c>
      <c r="AV33" s="45"/>
      <c r="AW33" s="45"/>
      <c r="AX33" s="45"/>
      <c r="AY33" s="45"/>
      <c r="AZ33" s="45"/>
      <c r="BA33" s="45"/>
      <c r="BB33" s="45"/>
      <c r="BC33" s="45"/>
      <c r="BD33" s="45"/>
      <c r="BE33" s="45"/>
      <c r="BF33" s="45"/>
      <c r="BG33" s="45"/>
      <c r="BH33" s="45"/>
      <c r="BI33" s="45"/>
      <c r="BJ33" s="45"/>
      <c r="BK33" s="45"/>
      <c r="BL33" s="45"/>
      <c r="BM33" s="45"/>
      <c r="BN33" s="45"/>
      <c r="BO33" s="45"/>
      <c r="BP33" s="45"/>
      <c r="BQ33" s="45"/>
      <c r="BR33" s="45"/>
    </row>
    <row r="34" spans="1:70" s="34" customFormat="1" x14ac:dyDescent="0.25">
      <c r="A34" s="32" t="s">
        <v>29</v>
      </c>
      <c r="B34" s="33">
        <v>1</v>
      </c>
      <c r="C34" s="33">
        <v>21</v>
      </c>
      <c r="D34" s="33">
        <v>0</v>
      </c>
      <c r="E34" s="33">
        <f t="shared" si="9"/>
        <v>21</v>
      </c>
      <c r="F34" s="33">
        <v>10</v>
      </c>
      <c r="G34" s="42">
        <f t="shared" si="43"/>
        <v>598500</v>
      </c>
      <c r="H34" s="42">
        <f t="shared" si="11"/>
        <v>85587.9375</v>
      </c>
      <c r="I34" s="42">
        <f t="shared" si="12"/>
        <v>16679.377260000001</v>
      </c>
      <c r="J34" s="42">
        <f t="shared" si="13"/>
        <v>109552.56000000001</v>
      </c>
      <c r="K34" s="42">
        <f t="shared" si="42"/>
        <v>810319.87476000004</v>
      </c>
      <c r="L34" s="42">
        <v>20</v>
      </c>
      <c r="M34" s="42">
        <f t="shared" si="44"/>
        <v>1197000</v>
      </c>
      <c r="N34" s="42">
        <f t="shared" si="15"/>
        <v>197510.625</v>
      </c>
      <c r="O34" s="42">
        <f t="shared" si="1"/>
        <v>38490.870600000002</v>
      </c>
      <c r="P34" s="42">
        <f t="shared" si="2"/>
        <v>252813.6</v>
      </c>
      <c r="Q34" s="42">
        <f t="shared" si="16"/>
        <v>1685815.0956000001</v>
      </c>
      <c r="R34" s="42">
        <v>19</v>
      </c>
      <c r="S34" s="42">
        <f t="shared" si="45"/>
        <v>1137150</v>
      </c>
      <c r="T34" s="42">
        <f t="shared" si="18"/>
        <v>197510.625</v>
      </c>
      <c r="U34" s="42">
        <f t="shared" si="19"/>
        <v>38490.870600000002</v>
      </c>
      <c r="V34" s="42">
        <f t="shared" si="20"/>
        <v>252813.6</v>
      </c>
      <c r="W34" s="42">
        <f t="shared" si="21"/>
        <v>1625965.0956000001</v>
      </c>
      <c r="X34" s="42">
        <v>19</v>
      </c>
      <c r="Y34" s="42">
        <f t="shared" si="46"/>
        <v>1137150</v>
      </c>
      <c r="Z34" s="42">
        <f t="shared" si="3"/>
        <v>197510.625</v>
      </c>
      <c r="AA34" s="42">
        <f t="shared" si="4"/>
        <v>38490.870600000002</v>
      </c>
      <c r="AB34" s="42">
        <f t="shared" si="5"/>
        <v>252813.6</v>
      </c>
      <c r="AC34" s="42">
        <f t="shared" si="23"/>
        <v>1625965.0956000001</v>
      </c>
      <c r="AD34" s="42">
        <v>19</v>
      </c>
      <c r="AE34" s="42">
        <f t="shared" si="47"/>
        <v>1137150</v>
      </c>
      <c r="AF34" s="42">
        <f t="shared" si="6"/>
        <v>197510.625</v>
      </c>
      <c r="AG34" s="42">
        <f t="shared" si="7"/>
        <v>38490.870600000002</v>
      </c>
      <c r="AH34" s="42">
        <f t="shared" si="8"/>
        <v>252813.6</v>
      </c>
      <c r="AI34" s="42">
        <f t="shared" si="25"/>
        <v>1625965.0956000001</v>
      </c>
      <c r="AJ34" s="42">
        <v>9</v>
      </c>
      <c r="AK34" s="42">
        <f t="shared" si="48"/>
        <v>538650</v>
      </c>
      <c r="AL34" s="42">
        <f t="shared" si="49"/>
        <v>79004.25</v>
      </c>
      <c r="AM34" s="42">
        <f t="shared" si="50"/>
        <v>15396.348240000003</v>
      </c>
      <c r="AN34" s="42">
        <f t="shared" si="51"/>
        <v>101125.44</v>
      </c>
      <c r="AO34" s="42">
        <f t="shared" si="30"/>
        <v>734176.03823999991</v>
      </c>
      <c r="AP34" s="42">
        <v>0</v>
      </c>
      <c r="AQ34" s="42">
        <f t="shared" si="52"/>
        <v>0</v>
      </c>
      <c r="AR34" s="42">
        <f t="shared" si="53"/>
        <v>65836.875</v>
      </c>
      <c r="AS34" s="42">
        <f t="shared" si="54"/>
        <v>12830.290200000001</v>
      </c>
      <c r="AT34" s="42">
        <f t="shared" si="55"/>
        <v>84271.200000000012</v>
      </c>
      <c r="AU34" s="42">
        <f t="shared" si="35"/>
        <v>162938.3652</v>
      </c>
      <c r="AV34" s="45"/>
      <c r="AW34" s="45"/>
      <c r="AX34" s="45"/>
      <c r="AY34" s="45"/>
      <c r="AZ34" s="45"/>
      <c r="BA34" s="45"/>
      <c r="BB34" s="45"/>
      <c r="BC34" s="45"/>
      <c r="BD34" s="45"/>
      <c r="BE34" s="45"/>
      <c r="BF34" s="45"/>
      <c r="BG34" s="45"/>
      <c r="BH34" s="45"/>
      <c r="BI34" s="45"/>
      <c r="BJ34" s="45"/>
      <c r="BK34" s="45"/>
      <c r="BL34" s="45"/>
      <c r="BM34" s="45"/>
      <c r="BN34" s="45"/>
      <c r="BO34" s="45"/>
      <c r="BP34" s="45"/>
      <c r="BQ34" s="45"/>
      <c r="BR34" s="45"/>
    </row>
    <row r="35" spans="1:70" s="34" customFormat="1" x14ac:dyDescent="0.25">
      <c r="A35" s="32" t="s">
        <v>30</v>
      </c>
      <c r="B35" s="33">
        <v>1</v>
      </c>
      <c r="C35" s="33">
        <v>15</v>
      </c>
      <c r="D35" s="33">
        <v>21</v>
      </c>
      <c r="E35" s="33">
        <f t="shared" si="9"/>
        <v>36</v>
      </c>
      <c r="F35" s="33">
        <v>10</v>
      </c>
      <c r="G35" s="42">
        <f t="shared" si="43"/>
        <v>598500</v>
      </c>
      <c r="H35" s="42">
        <f t="shared" si="11"/>
        <v>85587.9375</v>
      </c>
      <c r="I35" s="42">
        <f t="shared" si="12"/>
        <v>16679.377260000001</v>
      </c>
      <c r="J35" s="42">
        <f t="shared" si="13"/>
        <v>109552.56000000001</v>
      </c>
      <c r="K35" s="42">
        <f t="shared" si="42"/>
        <v>810319.87476000004</v>
      </c>
      <c r="L35" s="42">
        <v>20</v>
      </c>
      <c r="M35" s="42">
        <f t="shared" si="44"/>
        <v>1197000</v>
      </c>
      <c r="N35" s="42">
        <f t="shared" si="15"/>
        <v>197510.625</v>
      </c>
      <c r="O35" s="42">
        <f t="shared" si="1"/>
        <v>38490.870600000002</v>
      </c>
      <c r="P35" s="42">
        <f t="shared" si="2"/>
        <v>252813.6</v>
      </c>
      <c r="Q35" s="42">
        <f t="shared" si="16"/>
        <v>1685815.0956000001</v>
      </c>
      <c r="R35" s="42">
        <v>19</v>
      </c>
      <c r="S35" s="42">
        <f t="shared" si="45"/>
        <v>1137150</v>
      </c>
      <c r="T35" s="42">
        <f t="shared" si="18"/>
        <v>197510.625</v>
      </c>
      <c r="U35" s="42">
        <f t="shared" si="19"/>
        <v>38490.870600000002</v>
      </c>
      <c r="V35" s="42">
        <f t="shared" si="20"/>
        <v>252813.6</v>
      </c>
      <c r="W35" s="42">
        <f t="shared" si="21"/>
        <v>1625965.0956000001</v>
      </c>
      <c r="X35" s="42">
        <v>19</v>
      </c>
      <c r="Y35" s="42">
        <f t="shared" si="46"/>
        <v>1137150</v>
      </c>
      <c r="Z35" s="42">
        <f t="shared" si="3"/>
        <v>197510.625</v>
      </c>
      <c r="AA35" s="42">
        <f t="shared" si="4"/>
        <v>38490.870600000002</v>
      </c>
      <c r="AB35" s="42">
        <f t="shared" si="5"/>
        <v>252813.6</v>
      </c>
      <c r="AC35" s="42">
        <f t="shared" si="23"/>
        <v>1625965.0956000001</v>
      </c>
      <c r="AD35" s="42">
        <v>19</v>
      </c>
      <c r="AE35" s="42">
        <f t="shared" si="47"/>
        <v>1137150</v>
      </c>
      <c r="AF35" s="42">
        <f t="shared" si="6"/>
        <v>197510.625</v>
      </c>
      <c r="AG35" s="42">
        <f t="shared" si="7"/>
        <v>38490.870600000002</v>
      </c>
      <c r="AH35" s="42">
        <f t="shared" si="8"/>
        <v>252813.6</v>
      </c>
      <c r="AI35" s="42">
        <f t="shared" si="25"/>
        <v>1625965.0956000001</v>
      </c>
      <c r="AJ35" s="42">
        <v>9</v>
      </c>
      <c r="AK35" s="42">
        <f t="shared" si="48"/>
        <v>538650</v>
      </c>
      <c r="AL35" s="42">
        <f t="shared" si="49"/>
        <v>79004.25</v>
      </c>
      <c r="AM35" s="42">
        <f t="shared" si="50"/>
        <v>15396.348240000003</v>
      </c>
      <c r="AN35" s="42">
        <f t="shared" si="51"/>
        <v>101125.44</v>
      </c>
      <c r="AO35" s="42">
        <f t="shared" si="30"/>
        <v>734176.03823999991</v>
      </c>
      <c r="AP35" s="42">
        <v>0</v>
      </c>
      <c r="AQ35" s="42">
        <f t="shared" si="52"/>
        <v>0</v>
      </c>
      <c r="AR35" s="42">
        <f t="shared" si="53"/>
        <v>65836.875</v>
      </c>
      <c r="AS35" s="42">
        <f t="shared" si="54"/>
        <v>12830.290200000001</v>
      </c>
      <c r="AT35" s="42">
        <f t="shared" si="55"/>
        <v>84271.200000000012</v>
      </c>
      <c r="AU35" s="42">
        <f t="shared" si="35"/>
        <v>162938.3652</v>
      </c>
      <c r="AV35" s="45"/>
      <c r="AW35" s="45"/>
      <c r="AX35" s="45"/>
      <c r="AY35" s="45"/>
      <c r="AZ35" s="45"/>
      <c r="BA35" s="45"/>
      <c r="BB35" s="45"/>
      <c r="BC35" s="45"/>
      <c r="BD35" s="45"/>
      <c r="BE35" s="45"/>
      <c r="BF35" s="45"/>
      <c r="BG35" s="45"/>
      <c r="BH35" s="45"/>
      <c r="BI35" s="45"/>
      <c r="BJ35" s="45"/>
      <c r="BK35" s="45"/>
      <c r="BL35" s="45"/>
      <c r="BM35" s="45"/>
      <c r="BN35" s="45"/>
      <c r="BO35" s="45"/>
      <c r="BP35" s="45"/>
      <c r="BQ35" s="45"/>
      <c r="BR35" s="45"/>
    </row>
    <row r="36" spans="1:70" s="92" customFormat="1" x14ac:dyDescent="0.25">
      <c r="A36" s="88" t="s">
        <v>32</v>
      </c>
      <c r="B36" s="89">
        <v>1</v>
      </c>
      <c r="C36" s="89">
        <v>15</v>
      </c>
      <c r="D36" s="89">
        <v>0</v>
      </c>
      <c r="E36" s="89">
        <f t="shared" si="9"/>
        <v>15</v>
      </c>
      <c r="F36" s="89">
        <v>10</v>
      </c>
      <c r="G36" s="90">
        <f t="shared" si="43"/>
        <v>598500</v>
      </c>
      <c r="H36" s="90">
        <f t="shared" si="11"/>
        <v>85587.9375</v>
      </c>
      <c r="I36" s="90">
        <f t="shared" si="12"/>
        <v>16679.377260000001</v>
      </c>
      <c r="J36" s="90">
        <f t="shared" si="13"/>
        <v>109552.56000000001</v>
      </c>
      <c r="K36" s="90">
        <f t="shared" si="42"/>
        <v>810319.87476000004</v>
      </c>
      <c r="L36" s="90">
        <v>20</v>
      </c>
      <c r="M36" s="90">
        <f t="shared" si="44"/>
        <v>1197000</v>
      </c>
      <c r="N36" s="90">
        <f t="shared" si="15"/>
        <v>197510.625</v>
      </c>
      <c r="O36" s="90">
        <f t="shared" si="1"/>
        <v>38490.870600000002</v>
      </c>
      <c r="P36" s="90">
        <f t="shared" si="2"/>
        <v>252813.6</v>
      </c>
      <c r="Q36" s="90">
        <f t="shared" si="16"/>
        <v>1685815.0956000001</v>
      </c>
      <c r="R36" s="90">
        <v>19</v>
      </c>
      <c r="S36" s="90">
        <f t="shared" si="45"/>
        <v>1137150</v>
      </c>
      <c r="T36" s="90">
        <f t="shared" si="18"/>
        <v>197510.625</v>
      </c>
      <c r="U36" s="90">
        <f t="shared" si="19"/>
        <v>38490.870600000002</v>
      </c>
      <c r="V36" s="90">
        <f t="shared" si="20"/>
        <v>252813.6</v>
      </c>
      <c r="W36" s="90">
        <f t="shared" si="21"/>
        <v>1625965.0956000001</v>
      </c>
      <c r="X36" s="90">
        <v>19</v>
      </c>
      <c r="Y36" s="90">
        <f t="shared" si="46"/>
        <v>1137150</v>
      </c>
      <c r="Z36" s="90">
        <f t="shared" si="3"/>
        <v>197510.625</v>
      </c>
      <c r="AA36" s="90">
        <f t="shared" si="4"/>
        <v>38490.870600000002</v>
      </c>
      <c r="AB36" s="90">
        <f t="shared" si="5"/>
        <v>252813.6</v>
      </c>
      <c r="AC36" s="90">
        <f t="shared" si="23"/>
        <v>1625965.0956000001</v>
      </c>
      <c r="AD36" s="90">
        <v>19</v>
      </c>
      <c r="AE36" s="90">
        <f t="shared" si="47"/>
        <v>1137150</v>
      </c>
      <c r="AF36" s="90">
        <f t="shared" si="6"/>
        <v>197510.625</v>
      </c>
      <c r="AG36" s="90">
        <f t="shared" si="7"/>
        <v>38490.870600000002</v>
      </c>
      <c r="AH36" s="90">
        <f t="shared" si="8"/>
        <v>252813.6</v>
      </c>
      <c r="AI36" s="90">
        <f t="shared" si="25"/>
        <v>1625965.0956000001</v>
      </c>
      <c r="AJ36" s="90">
        <v>9</v>
      </c>
      <c r="AK36" s="90">
        <f t="shared" si="48"/>
        <v>538650</v>
      </c>
      <c r="AL36" s="90">
        <f t="shared" si="49"/>
        <v>79004.25</v>
      </c>
      <c r="AM36" s="90">
        <f t="shared" si="50"/>
        <v>15396.348240000003</v>
      </c>
      <c r="AN36" s="90">
        <f t="shared" si="51"/>
        <v>101125.44</v>
      </c>
      <c r="AO36" s="90">
        <f t="shared" si="30"/>
        <v>734176.03823999991</v>
      </c>
      <c r="AP36" s="90">
        <v>0</v>
      </c>
      <c r="AQ36" s="90">
        <f t="shared" si="52"/>
        <v>0</v>
      </c>
      <c r="AR36" s="90">
        <f t="shared" si="53"/>
        <v>65836.875</v>
      </c>
      <c r="AS36" s="90">
        <f t="shared" si="54"/>
        <v>12830.290200000001</v>
      </c>
      <c r="AT36" s="90">
        <f t="shared" si="55"/>
        <v>84271.200000000012</v>
      </c>
      <c r="AU36" s="90">
        <f t="shared" si="35"/>
        <v>162938.3652</v>
      </c>
      <c r="AV36" s="91"/>
      <c r="AW36" s="91"/>
      <c r="AX36" s="91"/>
      <c r="AY36" s="91"/>
      <c r="AZ36" s="91"/>
      <c r="BA36" s="91"/>
      <c r="BB36" s="91"/>
      <c r="BC36" s="91"/>
      <c r="BD36" s="91"/>
      <c r="BE36" s="91"/>
      <c r="BF36" s="91"/>
      <c r="BG36" s="91"/>
      <c r="BH36" s="91"/>
      <c r="BI36" s="91"/>
      <c r="BJ36" s="91"/>
      <c r="BK36" s="91"/>
      <c r="BL36" s="91"/>
      <c r="BM36" s="91"/>
      <c r="BN36" s="91"/>
      <c r="BO36" s="91"/>
      <c r="BP36" s="91"/>
      <c r="BQ36" s="91"/>
      <c r="BR36" s="91"/>
    </row>
    <row r="37" spans="1:70" s="34" customFormat="1" x14ac:dyDescent="0.25">
      <c r="A37" s="32" t="s">
        <v>33</v>
      </c>
      <c r="B37" s="33">
        <v>1</v>
      </c>
      <c r="C37" s="33">
        <v>28</v>
      </c>
      <c r="D37" s="33">
        <v>0</v>
      </c>
      <c r="E37" s="33">
        <f t="shared" si="9"/>
        <v>28</v>
      </c>
      <c r="F37" s="33">
        <v>10</v>
      </c>
      <c r="G37" s="42">
        <f t="shared" si="43"/>
        <v>598500</v>
      </c>
      <c r="H37" s="42">
        <f t="shared" si="11"/>
        <v>85587.9375</v>
      </c>
      <c r="I37" s="42">
        <f t="shared" si="12"/>
        <v>16679.377260000001</v>
      </c>
      <c r="J37" s="42">
        <f t="shared" si="13"/>
        <v>109552.56000000001</v>
      </c>
      <c r="K37" s="42">
        <f t="shared" si="42"/>
        <v>810319.87476000004</v>
      </c>
      <c r="L37" s="42">
        <v>20</v>
      </c>
      <c r="M37" s="42">
        <f t="shared" si="44"/>
        <v>1197000</v>
      </c>
      <c r="N37" s="42">
        <f t="shared" si="15"/>
        <v>197510.625</v>
      </c>
      <c r="O37" s="42">
        <f t="shared" si="1"/>
        <v>38490.870600000002</v>
      </c>
      <c r="P37" s="42">
        <f t="shared" si="2"/>
        <v>252813.6</v>
      </c>
      <c r="Q37" s="42">
        <f t="shared" si="16"/>
        <v>1685815.0956000001</v>
      </c>
      <c r="R37" s="42">
        <v>19</v>
      </c>
      <c r="S37" s="42">
        <f t="shared" si="45"/>
        <v>1137150</v>
      </c>
      <c r="T37" s="42">
        <f t="shared" si="18"/>
        <v>197510.625</v>
      </c>
      <c r="U37" s="42">
        <f t="shared" si="19"/>
        <v>38490.870600000002</v>
      </c>
      <c r="V37" s="42">
        <f t="shared" si="20"/>
        <v>252813.6</v>
      </c>
      <c r="W37" s="42">
        <f t="shared" si="21"/>
        <v>1625965.0956000001</v>
      </c>
      <c r="X37" s="42">
        <v>19</v>
      </c>
      <c r="Y37" s="42">
        <f t="shared" si="46"/>
        <v>1137150</v>
      </c>
      <c r="Z37" s="42">
        <f t="shared" si="3"/>
        <v>197510.625</v>
      </c>
      <c r="AA37" s="42">
        <f t="shared" si="4"/>
        <v>38490.870600000002</v>
      </c>
      <c r="AB37" s="42">
        <f t="shared" si="5"/>
        <v>252813.6</v>
      </c>
      <c r="AC37" s="42">
        <f t="shared" si="23"/>
        <v>1625965.0956000001</v>
      </c>
      <c r="AD37" s="42">
        <v>19</v>
      </c>
      <c r="AE37" s="42">
        <f t="shared" si="47"/>
        <v>1137150</v>
      </c>
      <c r="AF37" s="42">
        <f t="shared" si="6"/>
        <v>197510.625</v>
      </c>
      <c r="AG37" s="42">
        <f t="shared" si="7"/>
        <v>38490.870600000002</v>
      </c>
      <c r="AH37" s="42">
        <f t="shared" si="8"/>
        <v>252813.6</v>
      </c>
      <c r="AI37" s="42">
        <f t="shared" si="25"/>
        <v>1625965.0956000001</v>
      </c>
      <c r="AJ37" s="42">
        <v>9</v>
      </c>
      <c r="AK37" s="42">
        <f t="shared" si="48"/>
        <v>538650</v>
      </c>
      <c r="AL37" s="42">
        <f t="shared" si="49"/>
        <v>79004.25</v>
      </c>
      <c r="AM37" s="42">
        <f t="shared" si="50"/>
        <v>15396.348240000003</v>
      </c>
      <c r="AN37" s="42">
        <f t="shared" si="51"/>
        <v>101125.44</v>
      </c>
      <c r="AO37" s="42">
        <f t="shared" si="30"/>
        <v>734176.03823999991</v>
      </c>
      <c r="AP37" s="42">
        <v>0</v>
      </c>
      <c r="AQ37" s="42">
        <f t="shared" si="52"/>
        <v>0</v>
      </c>
      <c r="AR37" s="42">
        <f t="shared" si="53"/>
        <v>65836.875</v>
      </c>
      <c r="AS37" s="42">
        <f t="shared" si="54"/>
        <v>12830.290200000001</v>
      </c>
      <c r="AT37" s="42">
        <f t="shared" si="55"/>
        <v>84271.200000000012</v>
      </c>
      <c r="AU37" s="42">
        <f t="shared" si="35"/>
        <v>162938.3652</v>
      </c>
      <c r="AV37" s="45"/>
      <c r="AW37" s="45"/>
      <c r="AX37" s="45"/>
      <c r="AY37" s="45"/>
      <c r="AZ37" s="45"/>
      <c r="BA37" s="45"/>
      <c r="BB37" s="45"/>
      <c r="BC37" s="45"/>
      <c r="BD37" s="45"/>
      <c r="BE37" s="45"/>
      <c r="BF37" s="45"/>
      <c r="BG37" s="45"/>
      <c r="BH37" s="45"/>
      <c r="BI37" s="45"/>
      <c r="BJ37" s="45"/>
      <c r="BK37" s="45"/>
      <c r="BL37" s="45"/>
      <c r="BM37" s="45"/>
      <c r="BN37" s="45"/>
      <c r="BO37" s="45"/>
      <c r="BP37" s="45"/>
      <c r="BQ37" s="45"/>
      <c r="BR37" s="45"/>
    </row>
    <row r="38" spans="1:70" s="92" customFormat="1" x14ac:dyDescent="0.25">
      <c r="A38" s="88" t="s">
        <v>34</v>
      </c>
      <c r="B38" s="89">
        <v>1</v>
      </c>
      <c r="C38" s="89">
        <v>13</v>
      </c>
      <c r="D38" s="89">
        <v>0</v>
      </c>
      <c r="E38" s="89">
        <f t="shared" si="9"/>
        <v>13</v>
      </c>
      <c r="F38" s="89">
        <v>10</v>
      </c>
      <c r="G38" s="90">
        <f t="shared" si="43"/>
        <v>598500</v>
      </c>
      <c r="H38" s="90">
        <f t="shared" si="11"/>
        <v>85587.9375</v>
      </c>
      <c r="I38" s="90">
        <f t="shared" si="12"/>
        <v>16679.377260000001</v>
      </c>
      <c r="J38" s="90">
        <f t="shared" si="13"/>
        <v>109552.56000000001</v>
      </c>
      <c r="K38" s="90">
        <f t="shared" si="42"/>
        <v>810319.87476000004</v>
      </c>
      <c r="L38" s="90">
        <v>20</v>
      </c>
      <c r="M38" s="90">
        <f t="shared" si="44"/>
        <v>1197000</v>
      </c>
      <c r="N38" s="90">
        <f t="shared" si="15"/>
        <v>197510.625</v>
      </c>
      <c r="O38" s="90">
        <f t="shared" si="1"/>
        <v>38490.870600000002</v>
      </c>
      <c r="P38" s="90">
        <f t="shared" si="2"/>
        <v>252813.6</v>
      </c>
      <c r="Q38" s="90">
        <f t="shared" si="16"/>
        <v>1685815.0956000001</v>
      </c>
      <c r="R38" s="90">
        <v>19</v>
      </c>
      <c r="S38" s="90">
        <f t="shared" si="45"/>
        <v>1137150</v>
      </c>
      <c r="T38" s="90">
        <f t="shared" si="18"/>
        <v>197510.625</v>
      </c>
      <c r="U38" s="90">
        <f t="shared" si="19"/>
        <v>38490.870600000002</v>
      </c>
      <c r="V38" s="90">
        <f t="shared" si="20"/>
        <v>252813.6</v>
      </c>
      <c r="W38" s="90">
        <f t="shared" si="21"/>
        <v>1625965.0956000001</v>
      </c>
      <c r="X38" s="90">
        <v>19</v>
      </c>
      <c r="Y38" s="90">
        <f t="shared" si="46"/>
        <v>1137150</v>
      </c>
      <c r="Z38" s="90">
        <f t="shared" si="3"/>
        <v>197510.625</v>
      </c>
      <c r="AA38" s="90">
        <f t="shared" si="4"/>
        <v>38490.870600000002</v>
      </c>
      <c r="AB38" s="90">
        <f t="shared" si="5"/>
        <v>252813.6</v>
      </c>
      <c r="AC38" s="90">
        <f t="shared" si="23"/>
        <v>1625965.0956000001</v>
      </c>
      <c r="AD38" s="90">
        <v>19</v>
      </c>
      <c r="AE38" s="90">
        <f t="shared" si="47"/>
        <v>1137150</v>
      </c>
      <c r="AF38" s="90">
        <f t="shared" si="6"/>
        <v>197510.625</v>
      </c>
      <c r="AG38" s="90">
        <f t="shared" si="7"/>
        <v>38490.870600000002</v>
      </c>
      <c r="AH38" s="90">
        <f t="shared" si="8"/>
        <v>252813.6</v>
      </c>
      <c r="AI38" s="90">
        <f t="shared" si="25"/>
        <v>1625965.0956000001</v>
      </c>
      <c r="AJ38" s="90">
        <v>9</v>
      </c>
      <c r="AK38" s="90">
        <f t="shared" si="48"/>
        <v>538650</v>
      </c>
      <c r="AL38" s="90">
        <f t="shared" si="49"/>
        <v>79004.25</v>
      </c>
      <c r="AM38" s="90">
        <f t="shared" si="50"/>
        <v>15396.348240000003</v>
      </c>
      <c r="AN38" s="90">
        <f t="shared" si="51"/>
        <v>101125.44</v>
      </c>
      <c r="AO38" s="90">
        <f t="shared" si="30"/>
        <v>734176.03823999991</v>
      </c>
      <c r="AP38" s="90">
        <v>0</v>
      </c>
      <c r="AQ38" s="90">
        <f t="shared" si="52"/>
        <v>0</v>
      </c>
      <c r="AR38" s="90">
        <f t="shared" si="53"/>
        <v>65836.875</v>
      </c>
      <c r="AS38" s="90">
        <f t="shared" si="54"/>
        <v>12830.290200000001</v>
      </c>
      <c r="AT38" s="90">
        <f t="shared" si="55"/>
        <v>84271.200000000012</v>
      </c>
      <c r="AU38" s="90">
        <f t="shared" si="35"/>
        <v>162938.3652</v>
      </c>
      <c r="AV38" s="91"/>
      <c r="AW38" s="91"/>
      <c r="AX38" s="91"/>
      <c r="AY38" s="91"/>
      <c r="AZ38" s="91"/>
      <c r="BA38" s="91"/>
      <c r="BB38" s="91"/>
      <c r="BC38" s="91"/>
      <c r="BD38" s="91"/>
      <c r="BE38" s="91"/>
      <c r="BF38" s="91"/>
      <c r="BG38" s="91"/>
      <c r="BH38" s="91"/>
      <c r="BI38" s="91"/>
      <c r="BJ38" s="91"/>
      <c r="BK38" s="91"/>
      <c r="BL38" s="91"/>
      <c r="BM38" s="91"/>
      <c r="BN38" s="91"/>
      <c r="BO38" s="91"/>
      <c r="BP38" s="91"/>
      <c r="BQ38" s="91"/>
      <c r="BR38" s="91"/>
    </row>
    <row r="39" spans="1:70" s="34" customFormat="1" x14ac:dyDescent="0.25">
      <c r="A39" s="32" t="s">
        <v>35</v>
      </c>
      <c r="B39" s="33">
        <v>1</v>
      </c>
      <c r="C39" s="33">
        <v>40</v>
      </c>
      <c r="D39" s="33">
        <v>0</v>
      </c>
      <c r="E39" s="33">
        <f t="shared" si="9"/>
        <v>40</v>
      </c>
      <c r="F39" s="33">
        <v>10</v>
      </c>
      <c r="G39" s="42">
        <f t="shared" si="43"/>
        <v>598500</v>
      </c>
      <c r="H39" s="42">
        <f t="shared" si="11"/>
        <v>85587.9375</v>
      </c>
      <c r="I39" s="42">
        <f t="shared" si="12"/>
        <v>16679.377260000001</v>
      </c>
      <c r="J39" s="42">
        <f t="shared" si="13"/>
        <v>109552.56000000001</v>
      </c>
      <c r="K39" s="42">
        <f t="shared" si="42"/>
        <v>810319.87476000004</v>
      </c>
      <c r="L39" s="42">
        <v>20</v>
      </c>
      <c r="M39" s="42">
        <f t="shared" si="44"/>
        <v>1197000</v>
      </c>
      <c r="N39" s="42">
        <f t="shared" si="15"/>
        <v>197510.625</v>
      </c>
      <c r="O39" s="42">
        <f t="shared" si="1"/>
        <v>38490.870600000002</v>
      </c>
      <c r="P39" s="42">
        <f t="shared" si="2"/>
        <v>252813.6</v>
      </c>
      <c r="Q39" s="42">
        <f t="shared" si="16"/>
        <v>1685815.0956000001</v>
      </c>
      <c r="R39" s="42">
        <v>19</v>
      </c>
      <c r="S39" s="42">
        <f t="shared" si="45"/>
        <v>1137150</v>
      </c>
      <c r="T39" s="42">
        <f t="shared" si="18"/>
        <v>197510.625</v>
      </c>
      <c r="U39" s="42">
        <f t="shared" si="19"/>
        <v>38490.870600000002</v>
      </c>
      <c r="V39" s="42">
        <f t="shared" si="20"/>
        <v>252813.6</v>
      </c>
      <c r="W39" s="42">
        <f t="shared" si="21"/>
        <v>1625965.0956000001</v>
      </c>
      <c r="X39" s="42">
        <v>19</v>
      </c>
      <c r="Y39" s="42">
        <f t="shared" si="46"/>
        <v>1137150</v>
      </c>
      <c r="Z39" s="42">
        <f t="shared" si="3"/>
        <v>197510.625</v>
      </c>
      <c r="AA39" s="42">
        <f t="shared" si="4"/>
        <v>38490.870600000002</v>
      </c>
      <c r="AB39" s="42">
        <f t="shared" si="5"/>
        <v>252813.6</v>
      </c>
      <c r="AC39" s="42">
        <f t="shared" si="23"/>
        <v>1625965.0956000001</v>
      </c>
      <c r="AD39" s="42">
        <v>19</v>
      </c>
      <c r="AE39" s="42">
        <f t="shared" si="47"/>
        <v>1137150</v>
      </c>
      <c r="AF39" s="42">
        <f t="shared" si="6"/>
        <v>197510.625</v>
      </c>
      <c r="AG39" s="42">
        <f t="shared" si="7"/>
        <v>38490.870600000002</v>
      </c>
      <c r="AH39" s="42">
        <f t="shared" si="8"/>
        <v>252813.6</v>
      </c>
      <c r="AI39" s="42">
        <f t="shared" si="25"/>
        <v>1625965.0956000001</v>
      </c>
      <c r="AJ39" s="42">
        <v>9</v>
      </c>
      <c r="AK39" s="42">
        <f t="shared" si="48"/>
        <v>538650</v>
      </c>
      <c r="AL39" s="42">
        <f t="shared" si="49"/>
        <v>79004.25</v>
      </c>
      <c r="AM39" s="42">
        <f t="shared" si="50"/>
        <v>15396.348240000003</v>
      </c>
      <c r="AN39" s="42">
        <f t="shared" si="51"/>
        <v>101125.44</v>
      </c>
      <c r="AO39" s="42">
        <f t="shared" si="30"/>
        <v>734176.03823999991</v>
      </c>
      <c r="AP39" s="42">
        <v>0</v>
      </c>
      <c r="AQ39" s="42">
        <f t="shared" ref="AQ39:AQ69" si="56">$C$5*AP39</f>
        <v>0</v>
      </c>
      <c r="AR39" s="42">
        <f t="shared" si="53"/>
        <v>65836.875</v>
      </c>
      <c r="AS39" s="42">
        <f t="shared" si="54"/>
        <v>12830.290200000001</v>
      </c>
      <c r="AT39" s="42">
        <f t="shared" si="55"/>
        <v>84271.200000000012</v>
      </c>
      <c r="AU39" s="42">
        <f t="shared" si="35"/>
        <v>162938.3652</v>
      </c>
      <c r="AV39" s="45"/>
      <c r="AW39" s="45"/>
      <c r="AX39" s="45"/>
      <c r="AY39" s="45"/>
      <c r="AZ39" s="45"/>
      <c r="BA39" s="45"/>
      <c r="BB39" s="45"/>
      <c r="BC39" s="45"/>
      <c r="BD39" s="45"/>
      <c r="BE39" s="45"/>
      <c r="BF39" s="45"/>
      <c r="BG39" s="45"/>
      <c r="BH39" s="45"/>
      <c r="BI39" s="45"/>
      <c r="BJ39" s="45"/>
      <c r="BK39" s="45"/>
      <c r="BL39" s="45"/>
      <c r="BM39" s="45"/>
      <c r="BN39" s="45"/>
      <c r="BO39" s="45"/>
      <c r="BP39" s="45"/>
      <c r="BQ39" s="45"/>
      <c r="BR39" s="45"/>
    </row>
    <row r="40" spans="1:70" s="34" customFormat="1" x14ac:dyDescent="0.25">
      <c r="A40" s="32" t="s">
        <v>36</v>
      </c>
      <c r="B40" s="33">
        <v>1</v>
      </c>
      <c r="C40" s="33">
        <v>21</v>
      </c>
      <c r="D40" s="33">
        <v>0</v>
      </c>
      <c r="E40" s="33">
        <f t="shared" si="9"/>
        <v>21</v>
      </c>
      <c r="F40" s="33">
        <v>10</v>
      </c>
      <c r="G40" s="42">
        <f t="shared" si="43"/>
        <v>598500</v>
      </c>
      <c r="H40" s="42">
        <f t="shared" si="11"/>
        <v>85587.9375</v>
      </c>
      <c r="I40" s="42">
        <f t="shared" si="12"/>
        <v>16679.377260000001</v>
      </c>
      <c r="J40" s="42">
        <f t="shared" si="13"/>
        <v>109552.56000000001</v>
      </c>
      <c r="K40" s="42">
        <f t="shared" si="42"/>
        <v>810319.87476000004</v>
      </c>
      <c r="L40" s="42">
        <v>20</v>
      </c>
      <c r="M40" s="42">
        <f t="shared" si="44"/>
        <v>1197000</v>
      </c>
      <c r="N40" s="42">
        <f t="shared" si="15"/>
        <v>197510.625</v>
      </c>
      <c r="O40" s="42">
        <f t="shared" si="1"/>
        <v>38490.870600000002</v>
      </c>
      <c r="P40" s="42">
        <f t="shared" si="2"/>
        <v>252813.6</v>
      </c>
      <c r="Q40" s="42">
        <f t="shared" si="16"/>
        <v>1685815.0956000001</v>
      </c>
      <c r="R40" s="42">
        <v>19</v>
      </c>
      <c r="S40" s="42">
        <f t="shared" si="45"/>
        <v>1137150</v>
      </c>
      <c r="T40" s="42">
        <f t="shared" si="18"/>
        <v>197510.625</v>
      </c>
      <c r="U40" s="42">
        <f t="shared" si="19"/>
        <v>38490.870600000002</v>
      </c>
      <c r="V40" s="42">
        <f t="shared" si="20"/>
        <v>252813.6</v>
      </c>
      <c r="W40" s="42">
        <f t="shared" si="21"/>
        <v>1625965.0956000001</v>
      </c>
      <c r="X40" s="42">
        <v>19</v>
      </c>
      <c r="Y40" s="42">
        <f t="shared" si="46"/>
        <v>1137150</v>
      </c>
      <c r="Z40" s="42">
        <f t="shared" si="3"/>
        <v>197510.625</v>
      </c>
      <c r="AA40" s="42">
        <f t="shared" si="4"/>
        <v>38490.870600000002</v>
      </c>
      <c r="AB40" s="42">
        <f t="shared" si="5"/>
        <v>252813.6</v>
      </c>
      <c r="AC40" s="42">
        <f t="shared" si="23"/>
        <v>1625965.0956000001</v>
      </c>
      <c r="AD40" s="42">
        <v>19</v>
      </c>
      <c r="AE40" s="42">
        <f t="shared" si="47"/>
        <v>1137150</v>
      </c>
      <c r="AF40" s="42">
        <f t="shared" si="6"/>
        <v>197510.625</v>
      </c>
      <c r="AG40" s="42">
        <f t="shared" si="7"/>
        <v>38490.870600000002</v>
      </c>
      <c r="AH40" s="42">
        <f t="shared" si="8"/>
        <v>252813.6</v>
      </c>
      <c r="AI40" s="42">
        <f t="shared" si="25"/>
        <v>1625965.0956000001</v>
      </c>
      <c r="AJ40" s="42">
        <v>9</v>
      </c>
      <c r="AK40" s="42">
        <f t="shared" si="48"/>
        <v>538650</v>
      </c>
      <c r="AL40" s="42">
        <f t="shared" si="49"/>
        <v>79004.25</v>
      </c>
      <c r="AM40" s="42">
        <f t="shared" si="50"/>
        <v>15396.348240000003</v>
      </c>
      <c r="AN40" s="42">
        <f t="shared" si="51"/>
        <v>101125.44</v>
      </c>
      <c r="AO40" s="42">
        <f t="shared" si="30"/>
        <v>734176.03823999991</v>
      </c>
      <c r="AP40" s="42">
        <v>0</v>
      </c>
      <c r="AQ40" s="42">
        <f t="shared" si="56"/>
        <v>0</v>
      </c>
      <c r="AR40" s="42">
        <f t="shared" si="53"/>
        <v>65836.875</v>
      </c>
      <c r="AS40" s="42">
        <f t="shared" si="54"/>
        <v>12830.290200000001</v>
      </c>
      <c r="AT40" s="42">
        <f t="shared" si="55"/>
        <v>84271.200000000012</v>
      </c>
      <c r="AU40" s="42">
        <f t="shared" si="35"/>
        <v>162938.3652</v>
      </c>
      <c r="AV40" s="45"/>
      <c r="AW40" s="45"/>
      <c r="AX40" s="45"/>
      <c r="AY40" s="45"/>
      <c r="AZ40" s="45"/>
      <c r="BA40" s="45"/>
      <c r="BB40" s="45"/>
      <c r="BC40" s="45"/>
      <c r="BD40" s="45"/>
      <c r="BE40" s="45"/>
      <c r="BF40" s="45"/>
      <c r="BG40" s="45"/>
      <c r="BH40" s="45"/>
      <c r="BI40" s="45"/>
      <c r="BJ40" s="45"/>
      <c r="BK40" s="45"/>
      <c r="BL40" s="45"/>
      <c r="BM40" s="45"/>
      <c r="BN40" s="45"/>
      <c r="BO40" s="45"/>
      <c r="BP40" s="45"/>
      <c r="BQ40" s="45"/>
      <c r="BR40" s="45"/>
    </row>
    <row r="41" spans="1:70" s="34" customFormat="1" x14ac:dyDescent="0.25">
      <c r="A41" s="32" t="s">
        <v>37</v>
      </c>
      <c r="B41" s="33">
        <v>1</v>
      </c>
      <c r="C41" s="33">
        <v>16</v>
      </c>
      <c r="D41" s="33">
        <v>0</v>
      </c>
      <c r="E41" s="33">
        <f t="shared" si="9"/>
        <v>16</v>
      </c>
      <c r="F41" s="33">
        <v>10</v>
      </c>
      <c r="G41" s="42">
        <f t="shared" si="43"/>
        <v>598500</v>
      </c>
      <c r="H41" s="42">
        <f t="shared" si="11"/>
        <v>85587.9375</v>
      </c>
      <c r="I41" s="42">
        <f t="shared" si="12"/>
        <v>16679.377260000001</v>
      </c>
      <c r="J41" s="42">
        <f t="shared" si="13"/>
        <v>109552.56000000001</v>
      </c>
      <c r="K41" s="42">
        <f t="shared" si="42"/>
        <v>810319.87476000004</v>
      </c>
      <c r="L41" s="42">
        <v>20</v>
      </c>
      <c r="M41" s="42">
        <f t="shared" si="44"/>
        <v>1197000</v>
      </c>
      <c r="N41" s="42">
        <f t="shared" si="15"/>
        <v>197510.625</v>
      </c>
      <c r="O41" s="42">
        <f t="shared" si="1"/>
        <v>38490.870600000002</v>
      </c>
      <c r="P41" s="42">
        <f t="shared" si="2"/>
        <v>252813.6</v>
      </c>
      <c r="Q41" s="42">
        <f t="shared" si="16"/>
        <v>1685815.0956000001</v>
      </c>
      <c r="R41" s="42">
        <v>19</v>
      </c>
      <c r="S41" s="42">
        <f t="shared" si="45"/>
        <v>1137150</v>
      </c>
      <c r="T41" s="42">
        <f t="shared" si="18"/>
        <v>197510.625</v>
      </c>
      <c r="U41" s="42">
        <f t="shared" si="19"/>
        <v>38490.870600000002</v>
      </c>
      <c r="V41" s="42">
        <f t="shared" si="20"/>
        <v>252813.6</v>
      </c>
      <c r="W41" s="42">
        <f t="shared" si="21"/>
        <v>1625965.0956000001</v>
      </c>
      <c r="X41" s="42">
        <v>19</v>
      </c>
      <c r="Y41" s="42">
        <f t="shared" si="46"/>
        <v>1137150</v>
      </c>
      <c r="Z41" s="42">
        <f t="shared" si="3"/>
        <v>197510.625</v>
      </c>
      <c r="AA41" s="42">
        <f t="shared" si="4"/>
        <v>38490.870600000002</v>
      </c>
      <c r="AB41" s="42">
        <f t="shared" si="5"/>
        <v>252813.6</v>
      </c>
      <c r="AC41" s="42">
        <f t="shared" si="23"/>
        <v>1625965.0956000001</v>
      </c>
      <c r="AD41" s="42">
        <v>19</v>
      </c>
      <c r="AE41" s="42">
        <f t="shared" si="47"/>
        <v>1137150</v>
      </c>
      <c r="AF41" s="42">
        <f t="shared" si="6"/>
        <v>197510.625</v>
      </c>
      <c r="AG41" s="42">
        <f t="shared" si="7"/>
        <v>38490.870600000002</v>
      </c>
      <c r="AH41" s="42">
        <f t="shared" si="8"/>
        <v>252813.6</v>
      </c>
      <c r="AI41" s="42">
        <f t="shared" si="25"/>
        <v>1625965.0956000001</v>
      </c>
      <c r="AJ41" s="42">
        <v>9</v>
      </c>
      <c r="AK41" s="42">
        <f t="shared" si="48"/>
        <v>538650</v>
      </c>
      <c r="AL41" s="42">
        <f t="shared" si="49"/>
        <v>79004.25</v>
      </c>
      <c r="AM41" s="42">
        <f t="shared" si="50"/>
        <v>15396.348240000003</v>
      </c>
      <c r="AN41" s="42">
        <f t="shared" si="51"/>
        <v>101125.44</v>
      </c>
      <c r="AO41" s="42">
        <f t="shared" si="30"/>
        <v>734176.03823999991</v>
      </c>
      <c r="AP41" s="42">
        <v>0</v>
      </c>
      <c r="AQ41" s="42">
        <f t="shared" si="56"/>
        <v>0</v>
      </c>
      <c r="AR41" s="42">
        <f t="shared" si="53"/>
        <v>65836.875</v>
      </c>
      <c r="AS41" s="42">
        <f t="shared" si="54"/>
        <v>12830.290200000001</v>
      </c>
      <c r="AT41" s="42">
        <f t="shared" si="55"/>
        <v>84271.200000000012</v>
      </c>
      <c r="AU41" s="42">
        <f t="shared" si="35"/>
        <v>162938.3652</v>
      </c>
      <c r="AV41" s="45"/>
      <c r="AW41" s="45"/>
      <c r="AX41" s="45"/>
      <c r="AY41" s="45"/>
      <c r="AZ41" s="45"/>
      <c r="BA41" s="45"/>
      <c r="BB41" s="45"/>
      <c r="BC41" s="45"/>
      <c r="BD41" s="45"/>
      <c r="BE41" s="45"/>
      <c r="BF41" s="45"/>
      <c r="BG41" s="45"/>
      <c r="BH41" s="45"/>
      <c r="BI41" s="45"/>
      <c r="BJ41" s="45"/>
      <c r="BK41" s="45"/>
      <c r="BL41" s="45"/>
      <c r="BM41" s="45"/>
      <c r="BN41" s="45"/>
      <c r="BO41" s="45"/>
      <c r="BP41" s="45"/>
      <c r="BQ41" s="45"/>
      <c r="BR41" s="45"/>
    </row>
    <row r="42" spans="1:70" s="34" customFormat="1" x14ac:dyDescent="0.25">
      <c r="A42" s="32" t="s">
        <v>40</v>
      </c>
      <c r="B42" s="33">
        <v>1</v>
      </c>
      <c r="C42" s="33">
        <v>18</v>
      </c>
      <c r="D42" s="33">
        <v>0</v>
      </c>
      <c r="E42" s="33">
        <f t="shared" si="9"/>
        <v>18</v>
      </c>
      <c r="F42" s="33">
        <v>10</v>
      </c>
      <c r="G42" s="42">
        <f t="shared" si="43"/>
        <v>598500</v>
      </c>
      <c r="H42" s="42">
        <f t="shared" si="11"/>
        <v>85587.9375</v>
      </c>
      <c r="I42" s="42">
        <f t="shared" si="12"/>
        <v>16679.377260000001</v>
      </c>
      <c r="J42" s="42">
        <f t="shared" si="13"/>
        <v>109552.56000000001</v>
      </c>
      <c r="K42" s="42">
        <f t="shared" si="42"/>
        <v>810319.87476000004</v>
      </c>
      <c r="L42" s="42">
        <v>20</v>
      </c>
      <c r="M42" s="42">
        <f t="shared" si="44"/>
        <v>1197000</v>
      </c>
      <c r="N42" s="42">
        <f t="shared" si="15"/>
        <v>197510.625</v>
      </c>
      <c r="O42" s="42">
        <f t="shared" si="1"/>
        <v>38490.870600000002</v>
      </c>
      <c r="P42" s="42">
        <f t="shared" si="2"/>
        <v>252813.6</v>
      </c>
      <c r="Q42" s="42">
        <f t="shared" si="16"/>
        <v>1685815.0956000001</v>
      </c>
      <c r="R42" s="42">
        <v>19</v>
      </c>
      <c r="S42" s="42">
        <f t="shared" si="45"/>
        <v>1137150</v>
      </c>
      <c r="T42" s="42">
        <f t="shared" si="18"/>
        <v>197510.625</v>
      </c>
      <c r="U42" s="42">
        <f t="shared" si="19"/>
        <v>38490.870600000002</v>
      </c>
      <c r="V42" s="42">
        <f t="shared" si="20"/>
        <v>252813.6</v>
      </c>
      <c r="W42" s="42">
        <f t="shared" si="21"/>
        <v>1625965.0956000001</v>
      </c>
      <c r="X42" s="42">
        <v>19</v>
      </c>
      <c r="Y42" s="42">
        <f t="shared" si="46"/>
        <v>1137150</v>
      </c>
      <c r="Z42" s="42">
        <f t="shared" si="3"/>
        <v>197510.625</v>
      </c>
      <c r="AA42" s="42">
        <f t="shared" si="4"/>
        <v>38490.870600000002</v>
      </c>
      <c r="AB42" s="42">
        <f t="shared" si="5"/>
        <v>252813.6</v>
      </c>
      <c r="AC42" s="42">
        <f t="shared" si="23"/>
        <v>1625965.0956000001</v>
      </c>
      <c r="AD42" s="42">
        <v>19</v>
      </c>
      <c r="AE42" s="42">
        <f t="shared" si="47"/>
        <v>1137150</v>
      </c>
      <c r="AF42" s="42">
        <f t="shared" si="6"/>
        <v>197510.625</v>
      </c>
      <c r="AG42" s="42">
        <f t="shared" si="7"/>
        <v>38490.870600000002</v>
      </c>
      <c r="AH42" s="42">
        <f t="shared" si="8"/>
        <v>252813.6</v>
      </c>
      <c r="AI42" s="42">
        <f t="shared" si="25"/>
        <v>1625965.0956000001</v>
      </c>
      <c r="AJ42" s="42">
        <v>9</v>
      </c>
      <c r="AK42" s="42">
        <f t="shared" si="48"/>
        <v>538650</v>
      </c>
      <c r="AL42" s="42">
        <f t="shared" si="49"/>
        <v>79004.25</v>
      </c>
      <c r="AM42" s="42">
        <f t="shared" si="50"/>
        <v>15396.348240000003</v>
      </c>
      <c r="AN42" s="42">
        <f t="shared" si="51"/>
        <v>101125.44</v>
      </c>
      <c r="AO42" s="42">
        <f t="shared" si="30"/>
        <v>734176.03823999991</v>
      </c>
      <c r="AP42" s="42">
        <v>0</v>
      </c>
      <c r="AQ42" s="42">
        <f t="shared" si="56"/>
        <v>0</v>
      </c>
      <c r="AR42" s="42">
        <f t="shared" si="53"/>
        <v>65836.875</v>
      </c>
      <c r="AS42" s="42">
        <f t="shared" si="54"/>
        <v>12830.290200000001</v>
      </c>
      <c r="AT42" s="42">
        <f t="shared" si="55"/>
        <v>84271.200000000012</v>
      </c>
      <c r="AU42" s="42">
        <f t="shared" si="35"/>
        <v>162938.3652</v>
      </c>
      <c r="AV42" s="45"/>
      <c r="AW42" s="45"/>
      <c r="AX42" s="45"/>
      <c r="AY42" s="45"/>
      <c r="AZ42" s="45"/>
      <c r="BA42" s="45"/>
      <c r="BB42" s="45"/>
      <c r="BC42" s="45"/>
      <c r="BD42" s="45"/>
      <c r="BE42" s="45"/>
      <c r="BF42" s="45"/>
      <c r="BG42" s="45"/>
      <c r="BH42" s="45"/>
      <c r="BI42" s="45"/>
      <c r="BJ42" s="45"/>
      <c r="BK42" s="45"/>
      <c r="BL42" s="45"/>
      <c r="BM42" s="45"/>
      <c r="BN42" s="45"/>
      <c r="BO42" s="45"/>
      <c r="BP42" s="45"/>
      <c r="BQ42" s="45"/>
      <c r="BR42" s="45"/>
    </row>
    <row r="43" spans="1:70" s="34" customFormat="1" x14ac:dyDescent="0.25">
      <c r="A43" s="32" t="s">
        <v>41</v>
      </c>
      <c r="B43" s="33">
        <v>1</v>
      </c>
      <c r="C43" s="33">
        <v>34</v>
      </c>
      <c r="D43" s="33">
        <v>0</v>
      </c>
      <c r="E43" s="33">
        <f t="shared" si="9"/>
        <v>34</v>
      </c>
      <c r="F43" s="33">
        <v>10</v>
      </c>
      <c r="G43" s="42">
        <f t="shared" si="43"/>
        <v>598500</v>
      </c>
      <c r="H43" s="42">
        <f t="shared" ref="H43:H74" si="57">($D$4*12.5%)/30*13</f>
        <v>85587.9375</v>
      </c>
      <c r="I43" s="42">
        <f t="shared" ref="I43:I74" si="58">($D$4*2.436%)/30*13</f>
        <v>16679.377260000001</v>
      </c>
      <c r="J43" s="42">
        <f t="shared" ref="J43:J74" si="59">($D$4*16%)/30*13</f>
        <v>109552.56000000001</v>
      </c>
      <c r="K43" s="42">
        <f t="shared" si="42"/>
        <v>810319.87476000004</v>
      </c>
      <c r="L43" s="42">
        <v>20</v>
      </c>
      <c r="M43" s="42">
        <f t="shared" si="44"/>
        <v>1197000</v>
      </c>
      <c r="N43" s="42">
        <f t="shared" ref="N43:N74" si="60">$D$4*12.5%</f>
        <v>197510.625</v>
      </c>
      <c r="O43" s="42">
        <f t="shared" ref="O43:O74" si="61">$D$4*2.436%</f>
        <v>38490.870600000002</v>
      </c>
      <c r="P43" s="42">
        <f t="shared" ref="P43:P74" si="62">$D$4*16%</f>
        <v>252813.6</v>
      </c>
      <c r="Q43" s="42">
        <f t="shared" si="16"/>
        <v>1685815.0956000001</v>
      </c>
      <c r="R43" s="42">
        <v>19</v>
      </c>
      <c r="S43" s="42">
        <f t="shared" si="45"/>
        <v>1137150</v>
      </c>
      <c r="T43" s="42">
        <f t="shared" ref="T43:T74" si="63">$D$4*12.5%</f>
        <v>197510.625</v>
      </c>
      <c r="U43" s="42">
        <f t="shared" ref="U43:U74" si="64">$D$4*2.436%</f>
        <v>38490.870600000002</v>
      </c>
      <c r="V43" s="42">
        <f t="shared" ref="V43:V74" si="65">$D$4*16%</f>
        <v>252813.6</v>
      </c>
      <c r="W43" s="42">
        <f t="shared" si="21"/>
        <v>1625965.0956000001</v>
      </c>
      <c r="X43" s="42">
        <v>19</v>
      </c>
      <c r="Y43" s="42">
        <f t="shared" si="46"/>
        <v>1137150</v>
      </c>
      <c r="Z43" s="42">
        <f t="shared" ref="Z43:Z74" si="66">$D$4*12.5%</f>
        <v>197510.625</v>
      </c>
      <c r="AA43" s="42">
        <f t="shared" ref="AA43:AA74" si="67">$D$4*2.436%</f>
        <v>38490.870600000002</v>
      </c>
      <c r="AB43" s="42">
        <f t="shared" ref="AB43:AB74" si="68">$D$4*16%</f>
        <v>252813.6</v>
      </c>
      <c r="AC43" s="42">
        <f t="shared" si="23"/>
        <v>1625965.0956000001</v>
      </c>
      <c r="AD43" s="42">
        <v>19</v>
      </c>
      <c r="AE43" s="42">
        <f t="shared" si="47"/>
        <v>1137150</v>
      </c>
      <c r="AF43" s="42">
        <f t="shared" ref="AF43:AF74" si="69">$D$4*12.5%</f>
        <v>197510.625</v>
      </c>
      <c r="AG43" s="42">
        <f t="shared" ref="AG43:AG74" si="70">$D$4*2.436%</f>
        <v>38490.870600000002</v>
      </c>
      <c r="AH43" s="42">
        <f t="shared" ref="AH43:AH74" si="71">$D$4*16%</f>
        <v>252813.6</v>
      </c>
      <c r="AI43" s="42">
        <f t="shared" si="25"/>
        <v>1625965.0956000001</v>
      </c>
      <c r="AJ43" s="42">
        <v>9</v>
      </c>
      <c r="AK43" s="42">
        <f t="shared" si="48"/>
        <v>538650</v>
      </c>
      <c r="AL43" s="42">
        <f t="shared" si="49"/>
        <v>79004.25</v>
      </c>
      <c r="AM43" s="42">
        <f t="shared" si="50"/>
        <v>15396.348240000003</v>
      </c>
      <c r="AN43" s="42">
        <f t="shared" si="51"/>
        <v>101125.44</v>
      </c>
      <c r="AO43" s="42">
        <f t="shared" si="30"/>
        <v>734176.03823999991</v>
      </c>
      <c r="AP43" s="42">
        <v>0</v>
      </c>
      <c r="AQ43" s="42">
        <f t="shared" si="56"/>
        <v>0</v>
      </c>
      <c r="AR43" s="42">
        <f t="shared" si="53"/>
        <v>65836.875</v>
      </c>
      <c r="AS43" s="42">
        <f t="shared" si="54"/>
        <v>12830.290200000001</v>
      </c>
      <c r="AT43" s="42">
        <f t="shared" si="55"/>
        <v>84271.200000000012</v>
      </c>
      <c r="AU43" s="42">
        <f t="shared" si="35"/>
        <v>162938.3652</v>
      </c>
      <c r="AV43" s="45"/>
      <c r="AW43" s="45"/>
      <c r="AX43" s="45"/>
      <c r="AY43" s="45"/>
      <c r="AZ43" s="45"/>
      <c r="BA43" s="45"/>
      <c r="BB43" s="45"/>
      <c r="BC43" s="45"/>
      <c r="BD43" s="45"/>
      <c r="BE43" s="45"/>
      <c r="BF43" s="45"/>
      <c r="BG43" s="45"/>
      <c r="BH43" s="45"/>
      <c r="BI43" s="45"/>
      <c r="BJ43" s="45"/>
      <c r="BK43" s="45"/>
      <c r="BL43" s="45"/>
      <c r="BM43" s="45"/>
      <c r="BN43" s="45"/>
      <c r="BO43" s="45"/>
      <c r="BP43" s="45"/>
      <c r="BQ43" s="45"/>
      <c r="BR43" s="45"/>
    </row>
    <row r="44" spans="1:70" s="34" customFormat="1" x14ac:dyDescent="0.25">
      <c r="A44" s="32" t="s">
        <v>47</v>
      </c>
      <c r="B44" s="33">
        <v>1</v>
      </c>
      <c r="C44" s="33">
        <v>21</v>
      </c>
      <c r="D44" s="33">
        <v>0</v>
      </c>
      <c r="E44" s="33">
        <f t="shared" si="9"/>
        <v>21</v>
      </c>
      <c r="F44" s="33">
        <v>10</v>
      </c>
      <c r="G44" s="42">
        <f t="shared" si="43"/>
        <v>598500</v>
      </c>
      <c r="H44" s="42">
        <f t="shared" si="57"/>
        <v>85587.9375</v>
      </c>
      <c r="I44" s="42">
        <f t="shared" si="58"/>
        <v>16679.377260000001</v>
      </c>
      <c r="J44" s="42">
        <f t="shared" si="59"/>
        <v>109552.56000000001</v>
      </c>
      <c r="K44" s="42">
        <f t="shared" si="42"/>
        <v>810319.87476000004</v>
      </c>
      <c r="L44" s="42">
        <v>20</v>
      </c>
      <c r="M44" s="42">
        <f t="shared" si="44"/>
        <v>1197000</v>
      </c>
      <c r="N44" s="42">
        <f t="shared" si="60"/>
        <v>197510.625</v>
      </c>
      <c r="O44" s="42">
        <f t="shared" si="61"/>
        <v>38490.870600000002</v>
      </c>
      <c r="P44" s="42">
        <f t="shared" si="62"/>
        <v>252813.6</v>
      </c>
      <c r="Q44" s="42">
        <f t="shared" si="16"/>
        <v>1685815.0956000001</v>
      </c>
      <c r="R44" s="42">
        <v>19</v>
      </c>
      <c r="S44" s="42">
        <f t="shared" si="45"/>
        <v>1137150</v>
      </c>
      <c r="T44" s="42">
        <f t="shared" si="63"/>
        <v>197510.625</v>
      </c>
      <c r="U44" s="42">
        <f t="shared" si="64"/>
        <v>38490.870600000002</v>
      </c>
      <c r="V44" s="42">
        <f t="shared" si="65"/>
        <v>252813.6</v>
      </c>
      <c r="W44" s="42">
        <f t="shared" si="21"/>
        <v>1625965.0956000001</v>
      </c>
      <c r="X44" s="42">
        <v>19</v>
      </c>
      <c r="Y44" s="42">
        <f t="shared" si="46"/>
        <v>1137150</v>
      </c>
      <c r="Z44" s="42">
        <f t="shared" si="66"/>
        <v>197510.625</v>
      </c>
      <c r="AA44" s="42">
        <f t="shared" si="67"/>
        <v>38490.870600000002</v>
      </c>
      <c r="AB44" s="42">
        <f t="shared" si="68"/>
        <v>252813.6</v>
      </c>
      <c r="AC44" s="42">
        <f t="shared" si="23"/>
        <v>1625965.0956000001</v>
      </c>
      <c r="AD44" s="42">
        <v>19</v>
      </c>
      <c r="AE44" s="42">
        <f t="shared" si="47"/>
        <v>1137150</v>
      </c>
      <c r="AF44" s="42">
        <f t="shared" si="69"/>
        <v>197510.625</v>
      </c>
      <c r="AG44" s="42">
        <f t="shared" si="70"/>
        <v>38490.870600000002</v>
      </c>
      <c r="AH44" s="42">
        <f t="shared" si="71"/>
        <v>252813.6</v>
      </c>
      <c r="AI44" s="42">
        <f t="shared" si="25"/>
        <v>1625965.0956000001</v>
      </c>
      <c r="AJ44" s="42">
        <v>9</v>
      </c>
      <c r="AK44" s="42">
        <f t="shared" si="48"/>
        <v>538650</v>
      </c>
      <c r="AL44" s="42">
        <f t="shared" si="49"/>
        <v>79004.25</v>
      </c>
      <c r="AM44" s="42">
        <f t="shared" si="50"/>
        <v>15396.348240000003</v>
      </c>
      <c r="AN44" s="42">
        <f t="shared" si="51"/>
        <v>101125.44</v>
      </c>
      <c r="AO44" s="42">
        <f t="shared" si="30"/>
        <v>734176.03823999991</v>
      </c>
      <c r="AP44" s="42">
        <v>0</v>
      </c>
      <c r="AQ44" s="42">
        <f t="shared" si="56"/>
        <v>0</v>
      </c>
      <c r="AR44" s="42">
        <f t="shared" si="53"/>
        <v>65836.875</v>
      </c>
      <c r="AS44" s="42">
        <f t="shared" si="54"/>
        <v>12830.290200000001</v>
      </c>
      <c r="AT44" s="42">
        <f t="shared" si="55"/>
        <v>84271.200000000012</v>
      </c>
      <c r="AU44" s="42">
        <f t="shared" si="35"/>
        <v>162938.3652</v>
      </c>
      <c r="AV44" s="45"/>
      <c r="AW44" s="45"/>
      <c r="AX44" s="45"/>
      <c r="AY44" s="45"/>
      <c r="AZ44" s="45"/>
      <c r="BA44" s="45"/>
      <c r="BB44" s="45"/>
      <c r="BC44" s="45"/>
      <c r="BD44" s="45"/>
      <c r="BE44" s="45"/>
      <c r="BF44" s="45"/>
      <c r="BG44" s="45"/>
      <c r="BH44" s="45"/>
      <c r="BI44" s="45"/>
      <c r="BJ44" s="45"/>
      <c r="BK44" s="45"/>
      <c r="BL44" s="45"/>
      <c r="BM44" s="45"/>
      <c r="BN44" s="45"/>
      <c r="BO44" s="45"/>
      <c r="BP44" s="45"/>
      <c r="BQ44" s="45"/>
      <c r="BR44" s="45"/>
    </row>
    <row r="45" spans="1:70" s="34" customFormat="1" x14ac:dyDescent="0.25">
      <c r="A45" s="32" t="s">
        <v>52</v>
      </c>
      <c r="B45" s="33">
        <v>1</v>
      </c>
      <c r="C45" s="33">
        <v>16</v>
      </c>
      <c r="D45" s="33">
        <v>0</v>
      </c>
      <c r="E45" s="33">
        <f t="shared" si="9"/>
        <v>16</v>
      </c>
      <c r="F45" s="33">
        <v>10</v>
      </c>
      <c r="G45" s="42">
        <f t="shared" si="43"/>
        <v>598500</v>
      </c>
      <c r="H45" s="42">
        <f t="shared" si="57"/>
        <v>85587.9375</v>
      </c>
      <c r="I45" s="42">
        <f t="shared" si="58"/>
        <v>16679.377260000001</v>
      </c>
      <c r="J45" s="42">
        <f t="shared" si="59"/>
        <v>109552.56000000001</v>
      </c>
      <c r="K45" s="42">
        <f t="shared" si="42"/>
        <v>810319.87476000004</v>
      </c>
      <c r="L45" s="42">
        <v>20</v>
      </c>
      <c r="M45" s="42">
        <f t="shared" si="44"/>
        <v>1197000</v>
      </c>
      <c r="N45" s="42">
        <f t="shared" si="60"/>
        <v>197510.625</v>
      </c>
      <c r="O45" s="42">
        <f t="shared" si="61"/>
        <v>38490.870600000002</v>
      </c>
      <c r="P45" s="42">
        <f t="shared" si="62"/>
        <v>252813.6</v>
      </c>
      <c r="Q45" s="42">
        <f t="shared" si="16"/>
        <v>1685815.0956000001</v>
      </c>
      <c r="R45" s="42">
        <v>19</v>
      </c>
      <c r="S45" s="42">
        <f t="shared" si="45"/>
        <v>1137150</v>
      </c>
      <c r="T45" s="42">
        <f t="shared" si="63"/>
        <v>197510.625</v>
      </c>
      <c r="U45" s="42">
        <f t="shared" si="64"/>
        <v>38490.870600000002</v>
      </c>
      <c r="V45" s="42">
        <f t="shared" si="65"/>
        <v>252813.6</v>
      </c>
      <c r="W45" s="42">
        <f t="shared" si="21"/>
        <v>1625965.0956000001</v>
      </c>
      <c r="X45" s="42">
        <v>19</v>
      </c>
      <c r="Y45" s="42">
        <f t="shared" si="46"/>
        <v>1137150</v>
      </c>
      <c r="Z45" s="42">
        <f t="shared" si="66"/>
        <v>197510.625</v>
      </c>
      <c r="AA45" s="42">
        <f t="shared" si="67"/>
        <v>38490.870600000002</v>
      </c>
      <c r="AB45" s="42">
        <f t="shared" si="68"/>
        <v>252813.6</v>
      </c>
      <c r="AC45" s="42">
        <f t="shared" si="23"/>
        <v>1625965.0956000001</v>
      </c>
      <c r="AD45" s="42">
        <v>19</v>
      </c>
      <c r="AE45" s="42">
        <f t="shared" si="47"/>
        <v>1137150</v>
      </c>
      <c r="AF45" s="42">
        <f t="shared" si="69"/>
        <v>197510.625</v>
      </c>
      <c r="AG45" s="42">
        <f t="shared" si="70"/>
        <v>38490.870600000002</v>
      </c>
      <c r="AH45" s="42">
        <f t="shared" si="71"/>
        <v>252813.6</v>
      </c>
      <c r="AI45" s="42">
        <f t="shared" si="25"/>
        <v>1625965.0956000001</v>
      </c>
      <c r="AJ45" s="42">
        <v>9</v>
      </c>
      <c r="AK45" s="42">
        <f t="shared" si="48"/>
        <v>538650</v>
      </c>
      <c r="AL45" s="42">
        <f>($D$4*12.5%)/30*12</f>
        <v>79004.25</v>
      </c>
      <c r="AM45" s="42">
        <f>($D$4*2.436%)/30*12</f>
        <v>15396.348240000003</v>
      </c>
      <c r="AN45" s="42">
        <f>($D$4*16%)/30*12</f>
        <v>101125.44</v>
      </c>
      <c r="AO45" s="42">
        <f t="shared" si="30"/>
        <v>734176.03823999991</v>
      </c>
      <c r="AP45" s="42">
        <v>0</v>
      </c>
      <c r="AQ45" s="42">
        <f t="shared" si="56"/>
        <v>0</v>
      </c>
      <c r="AR45" s="42">
        <f t="shared" si="53"/>
        <v>65836.875</v>
      </c>
      <c r="AS45" s="42">
        <f t="shared" si="54"/>
        <v>12830.290200000001</v>
      </c>
      <c r="AT45" s="42">
        <f t="shared" si="55"/>
        <v>84271.200000000012</v>
      </c>
      <c r="AU45" s="42">
        <f t="shared" si="35"/>
        <v>162938.3652</v>
      </c>
      <c r="AV45" s="45"/>
      <c r="AW45" s="45"/>
      <c r="AX45" s="45"/>
      <c r="AY45" s="45"/>
      <c r="AZ45" s="45"/>
      <c r="BA45" s="45"/>
      <c r="BB45" s="45"/>
      <c r="BC45" s="45"/>
      <c r="BD45" s="45"/>
      <c r="BE45" s="45"/>
      <c r="BF45" s="45"/>
      <c r="BG45" s="45"/>
      <c r="BH45" s="45"/>
      <c r="BI45" s="45"/>
      <c r="BJ45" s="45"/>
      <c r="BK45" s="45"/>
      <c r="BL45" s="45"/>
      <c r="BM45" s="45"/>
      <c r="BN45" s="45"/>
      <c r="BO45" s="45"/>
      <c r="BP45" s="45"/>
      <c r="BQ45" s="45"/>
      <c r="BR45" s="45"/>
    </row>
    <row r="46" spans="1:70" s="34" customFormat="1" x14ac:dyDescent="0.25">
      <c r="A46" s="32" t="s">
        <v>56</v>
      </c>
      <c r="B46" s="33">
        <v>1</v>
      </c>
      <c r="C46" s="33">
        <v>33</v>
      </c>
      <c r="D46" s="33">
        <v>0</v>
      </c>
      <c r="E46" s="33">
        <f t="shared" si="9"/>
        <v>33</v>
      </c>
      <c r="F46" s="33">
        <v>10</v>
      </c>
      <c r="G46" s="42">
        <f t="shared" si="43"/>
        <v>598500</v>
      </c>
      <c r="H46" s="42">
        <f t="shared" si="57"/>
        <v>85587.9375</v>
      </c>
      <c r="I46" s="42">
        <f t="shared" si="58"/>
        <v>16679.377260000001</v>
      </c>
      <c r="J46" s="42">
        <f t="shared" si="59"/>
        <v>109552.56000000001</v>
      </c>
      <c r="K46" s="42">
        <f t="shared" si="42"/>
        <v>810319.87476000004</v>
      </c>
      <c r="L46" s="42">
        <v>20</v>
      </c>
      <c r="M46" s="42">
        <f t="shared" si="44"/>
        <v>1197000</v>
      </c>
      <c r="N46" s="42">
        <f t="shared" si="60"/>
        <v>197510.625</v>
      </c>
      <c r="O46" s="42">
        <f t="shared" si="61"/>
        <v>38490.870600000002</v>
      </c>
      <c r="P46" s="42">
        <f t="shared" si="62"/>
        <v>252813.6</v>
      </c>
      <c r="Q46" s="42">
        <f t="shared" si="16"/>
        <v>1685815.0956000001</v>
      </c>
      <c r="R46" s="42">
        <v>19</v>
      </c>
      <c r="S46" s="42">
        <f t="shared" si="45"/>
        <v>1137150</v>
      </c>
      <c r="T46" s="42">
        <f t="shared" si="63"/>
        <v>197510.625</v>
      </c>
      <c r="U46" s="42">
        <f t="shared" si="64"/>
        <v>38490.870600000002</v>
      </c>
      <c r="V46" s="42">
        <f t="shared" si="65"/>
        <v>252813.6</v>
      </c>
      <c r="W46" s="42">
        <f t="shared" si="21"/>
        <v>1625965.0956000001</v>
      </c>
      <c r="X46" s="42">
        <v>19</v>
      </c>
      <c r="Y46" s="42">
        <f t="shared" si="46"/>
        <v>1137150</v>
      </c>
      <c r="Z46" s="42">
        <f t="shared" si="66"/>
        <v>197510.625</v>
      </c>
      <c r="AA46" s="42">
        <f t="shared" si="67"/>
        <v>38490.870600000002</v>
      </c>
      <c r="AB46" s="42">
        <f t="shared" si="68"/>
        <v>252813.6</v>
      </c>
      <c r="AC46" s="42">
        <f t="shared" si="23"/>
        <v>1625965.0956000001</v>
      </c>
      <c r="AD46" s="42">
        <v>19</v>
      </c>
      <c r="AE46" s="42">
        <f t="shared" si="47"/>
        <v>1137150</v>
      </c>
      <c r="AF46" s="42">
        <f t="shared" si="69"/>
        <v>197510.625</v>
      </c>
      <c r="AG46" s="42">
        <f t="shared" si="70"/>
        <v>38490.870600000002</v>
      </c>
      <c r="AH46" s="42">
        <f t="shared" si="71"/>
        <v>252813.6</v>
      </c>
      <c r="AI46" s="42">
        <f t="shared" si="25"/>
        <v>1625965.0956000001</v>
      </c>
      <c r="AJ46" s="42">
        <v>9</v>
      </c>
      <c r="AK46" s="42">
        <f t="shared" si="48"/>
        <v>538650</v>
      </c>
      <c r="AL46" s="42">
        <f t="shared" si="49"/>
        <v>79004.25</v>
      </c>
      <c r="AM46" s="42">
        <f t="shared" si="50"/>
        <v>15396.348240000003</v>
      </c>
      <c r="AN46" s="42">
        <f t="shared" si="51"/>
        <v>101125.44</v>
      </c>
      <c r="AO46" s="42">
        <f t="shared" si="30"/>
        <v>734176.03823999991</v>
      </c>
      <c r="AP46" s="42">
        <v>0</v>
      </c>
      <c r="AQ46" s="42">
        <f t="shared" si="56"/>
        <v>0</v>
      </c>
      <c r="AR46" s="42">
        <f t="shared" si="53"/>
        <v>65836.875</v>
      </c>
      <c r="AS46" s="42">
        <f t="shared" si="54"/>
        <v>12830.290200000001</v>
      </c>
      <c r="AT46" s="42">
        <f t="shared" si="55"/>
        <v>84271.200000000012</v>
      </c>
      <c r="AU46" s="42">
        <f t="shared" si="35"/>
        <v>162938.3652</v>
      </c>
      <c r="AV46" s="45"/>
      <c r="AW46" s="45"/>
      <c r="AX46" s="45"/>
      <c r="AY46" s="45"/>
      <c r="AZ46" s="45"/>
      <c r="BA46" s="45"/>
      <c r="BB46" s="45"/>
      <c r="BC46" s="45"/>
      <c r="BD46" s="45"/>
      <c r="BE46" s="45"/>
      <c r="BF46" s="45"/>
      <c r="BG46" s="45"/>
      <c r="BH46" s="45"/>
      <c r="BI46" s="45"/>
      <c r="BJ46" s="45"/>
      <c r="BK46" s="45"/>
      <c r="BL46" s="45"/>
      <c r="BM46" s="45"/>
      <c r="BN46" s="45"/>
      <c r="BO46" s="45"/>
      <c r="BP46" s="45"/>
      <c r="BQ46" s="45"/>
      <c r="BR46" s="45"/>
    </row>
    <row r="47" spans="1:70" s="92" customFormat="1" x14ac:dyDescent="0.25">
      <c r="A47" s="88" t="s">
        <v>57</v>
      </c>
      <c r="B47" s="89">
        <v>1</v>
      </c>
      <c r="C47" s="89">
        <v>13</v>
      </c>
      <c r="D47" s="89">
        <v>0</v>
      </c>
      <c r="E47" s="89">
        <f t="shared" si="9"/>
        <v>13</v>
      </c>
      <c r="F47" s="89">
        <v>10</v>
      </c>
      <c r="G47" s="90">
        <f t="shared" si="43"/>
        <v>598500</v>
      </c>
      <c r="H47" s="90">
        <f t="shared" si="57"/>
        <v>85587.9375</v>
      </c>
      <c r="I47" s="90">
        <f t="shared" si="58"/>
        <v>16679.377260000001</v>
      </c>
      <c r="J47" s="90">
        <f t="shared" si="59"/>
        <v>109552.56000000001</v>
      </c>
      <c r="K47" s="90">
        <f t="shared" si="42"/>
        <v>810319.87476000004</v>
      </c>
      <c r="L47" s="90">
        <v>20</v>
      </c>
      <c r="M47" s="90">
        <f t="shared" si="44"/>
        <v>1197000</v>
      </c>
      <c r="N47" s="90">
        <f t="shared" si="60"/>
        <v>197510.625</v>
      </c>
      <c r="O47" s="90">
        <f t="shared" si="61"/>
        <v>38490.870600000002</v>
      </c>
      <c r="P47" s="90">
        <f t="shared" si="62"/>
        <v>252813.6</v>
      </c>
      <c r="Q47" s="90">
        <f t="shared" si="16"/>
        <v>1685815.0956000001</v>
      </c>
      <c r="R47" s="90">
        <v>19</v>
      </c>
      <c r="S47" s="90">
        <f t="shared" si="45"/>
        <v>1137150</v>
      </c>
      <c r="T47" s="90">
        <f t="shared" si="63"/>
        <v>197510.625</v>
      </c>
      <c r="U47" s="90">
        <f t="shared" si="64"/>
        <v>38490.870600000002</v>
      </c>
      <c r="V47" s="90">
        <f t="shared" si="65"/>
        <v>252813.6</v>
      </c>
      <c r="W47" s="90">
        <f t="shared" si="21"/>
        <v>1625965.0956000001</v>
      </c>
      <c r="X47" s="90">
        <v>19</v>
      </c>
      <c r="Y47" s="90">
        <f t="shared" si="46"/>
        <v>1137150</v>
      </c>
      <c r="Z47" s="90">
        <f t="shared" si="66"/>
        <v>197510.625</v>
      </c>
      <c r="AA47" s="90">
        <f t="shared" si="67"/>
        <v>38490.870600000002</v>
      </c>
      <c r="AB47" s="90">
        <f t="shared" si="68"/>
        <v>252813.6</v>
      </c>
      <c r="AC47" s="90">
        <f t="shared" si="23"/>
        <v>1625965.0956000001</v>
      </c>
      <c r="AD47" s="90">
        <v>19</v>
      </c>
      <c r="AE47" s="90">
        <f t="shared" si="47"/>
        <v>1137150</v>
      </c>
      <c r="AF47" s="90">
        <f t="shared" si="69"/>
        <v>197510.625</v>
      </c>
      <c r="AG47" s="90">
        <f t="shared" si="70"/>
        <v>38490.870600000002</v>
      </c>
      <c r="AH47" s="90">
        <f t="shared" si="71"/>
        <v>252813.6</v>
      </c>
      <c r="AI47" s="90">
        <f t="shared" si="25"/>
        <v>1625965.0956000001</v>
      </c>
      <c r="AJ47" s="90">
        <v>9</v>
      </c>
      <c r="AK47" s="90">
        <f t="shared" si="48"/>
        <v>538650</v>
      </c>
      <c r="AL47" s="90">
        <f t="shared" si="49"/>
        <v>79004.25</v>
      </c>
      <c r="AM47" s="90">
        <f t="shared" si="50"/>
        <v>15396.348240000003</v>
      </c>
      <c r="AN47" s="90">
        <f t="shared" si="51"/>
        <v>101125.44</v>
      </c>
      <c r="AO47" s="90">
        <f t="shared" si="30"/>
        <v>734176.03823999991</v>
      </c>
      <c r="AP47" s="90">
        <v>0</v>
      </c>
      <c r="AQ47" s="90">
        <f t="shared" si="56"/>
        <v>0</v>
      </c>
      <c r="AR47" s="90">
        <f t="shared" si="53"/>
        <v>65836.875</v>
      </c>
      <c r="AS47" s="90">
        <f t="shared" si="54"/>
        <v>12830.290200000001</v>
      </c>
      <c r="AT47" s="90">
        <f t="shared" si="55"/>
        <v>84271.200000000012</v>
      </c>
      <c r="AU47" s="90">
        <f t="shared" si="35"/>
        <v>162938.3652</v>
      </c>
      <c r="AV47" s="91"/>
      <c r="AW47" s="91"/>
      <c r="AX47" s="91"/>
      <c r="AY47" s="91"/>
      <c r="AZ47" s="91"/>
      <c r="BA47" s="91"/>
      <c r="BB47" s="91"/>
      <c r="BC47" s="91"/>
      <c r="BD47" s="91"/>
      <c r="BE47" s="91"/>
      <c r="BF47" s="91"/>
      <c r="BG47" s="91"/>
      <c r="BH47" s="91"/>
      <c r="BI47" s="91"/>
      <c r="BJ47" s="91"/>
      <c r="BK47" s="91"/>
      <c r="BL47" s="91"/>
      <c r="BM47" s="91"/>
      <c r="BN47" s="91"/>
      <c r="BO47" s="91"/>
      <c r="BP47" s="91"/>
      <c r="BQ47" s="91"/>
      <c r="BR47" s="91"/>
    </row>
    <row r="48" spans="1:70" s="34" customFormat="1" x14ac:dyDescent="0.25">
      <c r="A48" s="32" t="s">
        <v>58</v>
      </c>
      <c r="B48" s="33">
        <v>1</v>
      </c>
      <c r="C48" s="33">
        <v>19</v>
      </c>
      <c r="D48" s="33">
        <v>17</v>
      </c>
      <c r="E48" s="33">
        <f t="shared" si="9"/>
        <v>36</v>
      </c>
      <c r="F48" s="33">
        <v>10</v>
      </c>
      <c r="G48" s="42">
        <f t="shared" si="43"/>
        <v>598500</v>
      </c>
      <c r="H48" s="42">
        <f t="shared" si="57"/>
        <v>85587.9375</v>
      </c>
      <c r="I48" s="42">
        <f t="shared" si="58"/>
        <v>16679.377260000001</v>
      </c>
      <c r="J48" s="42">
        <f t="shared" si="59"/>
        <v>109552.56000000001</v>
      </c>
      <c r="K48" s="42">
        <f t="shared" si="42"/>
        <v>810319.87476000004</v>
      </c>
      <c r="L48" s="42">
        <v>20</v>
      </c>
      <c r="M48" s="42">
        <f t="shared" si="44"/>
        <v>1197000</v>
      </c>
      <c r="N48" s="42">
        <f t="shared" si="60"/>
        <v>197510.625</v>
      </c>
      <c r="O48" s="42">
        <f t="shared" si="61"/>
        <v>38490.870600000002</v>
      </c>
      <c r="P48" s="42">
        <f t="shared" si="62"/>
        <v>252813.6</v>
      </c>
      <c r="Q48" s="42">
        <f t="shared" si="16"/>
        <v>1685815.0956000001</v>
      </c>
      <c r="R48" s="42">
        <v>19</v>
      </c>
      <c r="S48" s="42">
        <f>$C$5*R48</f>
        <v>1137150</v>
      </c>
      <c r="T48" s="42">
        <f t="shared" si="63"/>
        <v>197510.625</v>
      </c>
      <c r="U48" s="42">
        <f t="shared" si="64"/>
        <v>38490.870600000002</v>
      </c>
      <c r="V48" s="42">
        <f t="shared" si="65"/>
        <v>252813.6</v>
      </c>
      <c r="W48" s="42">
        <f t="shared" si="21"/>
        <v>1625965.0956000001</v>
      </c>
      <c r="X48" s="42">
        <v>19</v>
      </c>
      <c r="Y48" s="42">
        <f>$C$5*X48</f>
        <v>1137150</v>
      </c>
      <c r="Z48" s="42">
        <f t="shared" si="66"/>
        <v>197510.625</v>
      </c>
      <c r="AA48" s="42">
        <f t="shared" si="67"/>
        <v>38490.870600000002</v>
      </c>
      <c r="AB48" s="42">
        <f t="shared" si="68"/>
        <v>252813.6</v>
      </c>
      <c r="AC48" s="42">
        <f t="shared" si="23"/>
        <v>1625965.0956000001</v>
      </c>
      <c r="AD48" s="42">
        <v>19</v>
      </c>
      <c r="AE48" s="42">
        <f t="shared" si="47"/>
        <v>1137150</v>
      </c>
      <c r="AF48" s="42">
        <f t="shared" si="69"/>
        <v>197510.625</v>
      </c>
      <c r="AG48" s="42">
        <f t="shared" si="70"/>
        <v>38490.870600000002</v>
      </c>
      <c r="AH48" s="42">
        <f t="shared" si="71"/>
        <v>252813.6</v>
      </c>
      <c r="AI48" s="42">
        <f t="shared" si="25"/>
        <v>1625965.0956000001</v>
      </c>
      <c r="AJ48" s="42">
        <v>9</v>
      </c>
      <c r="AK48" s="42">
        <f t="shared" si="48"/>
        <v>538650</v>
      </c>
      <c r="AL48" s="42">
        <f t="shared" si="49"/>
        <v>79004.25</v>
      </c>
      <c r="AM48" s="42">
        <f t="shared" si="50"/>
        <v>15396.348240000003</v>
      </c>
      <c r="AN48" s="42">
        <f t="shared" si="51"/>
        <v>101125.44</v>
      </c>
      <c r="AO48" s="42">
        <f t="shared" si="30"/>
        <v>734176.03823999991</v>
      </c>
      <c r="AP48" s="42">
        <v>0</v>
      </c>
      <c r="AQ48" s="42">
        <f t="shared" si="56"/>
        <v>0</v>
      </c>
      <c r="AR48" s="42">
        <f t="shared" si="53"/>
        <v>65836.875</v>
      </c>
      <c r="AS48" s="42">
        <f t="shared" si="54"/>
        <v>12830.290200000001</v>
      </c>
      <c r="AT48" s="42">
        <f t="shared" si="55"/>
        <v>84271.200000000012</v>
      </c>
      <c r="AU48" s="42">
        <f t="shared" si="35"/>
        <v>162938.3652</v>
      </c>
      <c r="AV48" s="45"/>
      <c r="AW48" s="45"/>
      <c r="AX48" s="45"/>
      <c r="AY48" s="45"/>
      <c r="AZ48" s="45"/>
      <c r="BA48" s="45"/>
      <c r="BB48" s="45"/>
      <c r="BC48" s="45"/>
      <c r="BD48" s="45"/>
      <c r="BE48" s="45"/>
      <c r="BF48" s="45"/>
      <c r="BG48" s="45"/>
      <c r="BH48" s="45"/>
      <c r="BI48" s="45"/>
      <c r="BJ48" s="45"/>
      <c r="BK48" s="45"/>
      <c r="BL48" s="45"/>
      <c r="BM48" s="45"/>
      <c r="BN48" s="45"/>
      <c r="BO48" s="45"/>
      <c r="BP48" s="45"/>
      <c r="BQ48" s="45"/>
      <c r="BR48" s="45"/>
    </row>
    <row r="49" spans="1:70" s="34" customFormat="1" x14ac:dyDescent="0.25">
      <c r="A49" s="32" t="s">
        <v>59</v>
      </c>
      <c r="B49" s="33">
        <v>1</v>
      </c>
      <c r="C49" s="33">
        <v>16</v>
      </c>
      <c r="D49" s="33">
        <v>0</v>
      </c>
      <c r="E49" s="33">
        <f t="shared" si="9"/>
        <v>16</v>
      </c>
      <c r="F49" s="33">
        <v>10</v>
      </c>
      <c r="G49" s="42">
        <f t="shared" si="43"/>
        <v>598500</v>
      </c>
      <c r="H49" s="42">
        <f t="shared" si="57"/>
        <v>85587.9375</v>
      </c>
      <c r="I49" s="42">
        <f t="shared" si="58"/>
        <v>16679.377260000001</v>
      </c>
      <c r="J49" s="42">
        <f t="shared" si="59"/>
        <v>109552.56000000001</v>
      </c>
      <c r="K49" s="42">
        <f t="shared" si="42"/>
        <v>810319.87476000004</v>
      </c>
      <c r="L49" s="42">
        <v>20</v>
      </c>
      <c r="M49" s="42">
        <f t="shared" si="44"/>
        <v>1197000</v>
      </c>
      <c r="N49" s="42">
        <f t="shared" si="60"/>
        <v>197510.625</v>
      </c>
      <c r="O49" s="42">
        <f t="shared" si="61"/>
        <v>38490.870600000002</v>
      </c>
      <c r="P49" s="42">
        <f t="shared" si="62"/>
        <v>252813.6</v>
      </c>
      <c r="Q49" s="42">
        <f t="shared" si="16"/>
        <v>1685815.0956000001</v>
      </c>
      <c r="R49" s="42">
        <v>19</v>
      </c>
      <c r="S49" s="42">
        <f t="shared" si="45"/>
        <v>1137150</v>
      </c>
      <c r="T49" s="42">
        <f t="shared" si="63"/>
        <v>197510.625</v>
      </c>
      <c r="U49" s="42">
        <f t="shared" si="64"/>
        <v>38490.870600000002</v>
      </c>
      <c r="V49" s="42">
        <f t="shared" si="65"/>
        <v>252813.6</v>
      </c>
      <c r="W49" s="42">
        <f t="shared" si="21"/>
        <v>1625965.0956000001</v>
      </c>
      <c r="X49" s="42">
        <v>19</v>
      </c>
      <c r="Y49" s="42">
        <f t="shared" si="46"/>
        <v>1137150</v>
      </c>
      <c r="Z49" s="42">
        <f t="shared" si="66"/>
        <v>197510.625</v>
      </c>
      <c r="AA49" s="42">
        <f t="shared" si="67"/>
        <v>38490.870600000002</v>
      </c>
      <c r="AB49" s="42">
        <f t="shared" si="68"/>
        <v>252813.6</v>
      </c>
      <c r="AC49" s="42">
        <f t="shared" si="23"/>
        <v>1625965.0956000001</v>
      </c>
      <c r="AD49" s="42">
        <v>19</v>
      </c>
      <c r="AE49" s="42">
        <f t="shared" si="47"/>
        <v>1137150</v>
      </c>
      <c r="AF49" s="42">
        <f t="shared" si="69"/>
        <v>197510.625</v>
      </c>
      <c r="AG49" s="42">
        <f t="shared" si="70"/>
        <v>38490.870600000002</v>
      </c>
      <c r="AH49" s="42">
        <f t="shared" si="71"/>
        <v>252813.6</v>
      </c>
      <c r="AI49" s="42">
        <f t="shared" si="25"/>
        <v>1625965.0956000001</v>
      </c>
      <c r="AJ49" s="42">
        <v>9</v>
      </c>
      <c r="AK49" s="42">
        <f t="shared" si="48"/>
        <v>538650</v>
      </c>
      <c r="AL49" s="42">
        <f t="shared" si="49"/>
        <v>79004.25</v>
      </c>
      <c r="AM49" s="42">
        <f t="shared" si="50"/>
        <v>15396.348240000003</v>
      </c>
      <c r="AN49" s="42">
        <f t="shared" si="51"/>
        <v>101125.44</v>
      </c>
      <c r="AO49" s="42">
        <f t="shared" si="30"/>
        <v>734176.03823999991</v>
      </c>
      <c r="AP49" s="42">
        <v>0</v>
      </c>
      <c r="AQ49" s="42">
        <f t="shared" si="56"/>
        <v>0</v>
      </c>
      <c r="AR49" s="42">
        <f t="shared" si="53"/>
        <v>65836.875</v>
      </c>
      <c r="AS49" s="42">
        <f t="shared" si="54"/>
        <v>12830.290200000001</v>
      </c>
      <c r="AT49" s="42">
        <f t="shared" si="55"/>
        <v>84271.200000000012</v>
      </c>
      <c r="AU49" s="42">
        <f t="shared" si="35"/>
        <v>162938.3652</v>
      </c>
      <c r="AV49" s="45"/>
      <c r="AW49" s="45"/>
      <c r="AX49" s="45"/>
      <c r="AY49" s="45"/>
      <c r="AZ49" s="45"/>
      <c r="BA49" s="45"/>
      <c r="BB49" s="45"/>
      <c r="BC49" s="45"/>
      <c r="BD49" s="45"/>
      <c r="BE49" s="45"/>
      <c r="BF49" s="45"/>
      <c r="BG49" s="45"/>
      <c r="BH49" s="45"/>
      <c r="BI49" s="45"/>
      <c r="BJ49" s="45"/>
      <c r="BK49" s="45"/>
      <c r="BL49" s="45"/>
      <c r="BM49" s="45"/>
      <c r="BN49" s="45"/>
      <c r="BO49" s="45"/>
      <c r="BP49" s="45"/>
      <c r="BQ49" s="45"/>
      <c r="BR49" s="45"/>
    </row>
    <row r="50" spans="1:70" s="92" customFormat="1" x14ac:dyDescent="0.25">
      <c r="A50" s="88" t="s">
        <v>61</v>
      </c>
      <c r="B50" s="89">
        <v>1</v>
      </c>
      <c r="C50" s="89">
        <v>15</v>
      </c>
      <c r="D50" s="89">
        <v>0</v>
      </c>
      <c r="E50" s="89">
        <f t="shared" si="9"/>
        <v>15</v>
      </c>
      <c r="F50" s="89">
        <v>10</v>
      </c>
      <c r="G50" s="90">
        <f t="shared" si="43"/>
        <v>598500</v>
      </c>
      <c r="H50" s="90">
        <f t="shared" si="57"/>
        <v>85587.9375</v>
      </c>
      <c r="I50" s="90">
        <f t="shared" si="58"/>
        <v>16679.377260000001</v>
      </c>
      <c r="J50" s="90">
        <f t="shared" si="59"/>
        <v>109552.56000000001</v>
      </c>
      <c r="K50" s="90">
        <f t="shared" si="42"/>
        <v>810319.87476000004</v>
      </c>
      <c r="L50" s="90">
        <v>20</v>
      </c>
      <c r="M50" s="90">
        <f t="shared" si="44"/>
        <v>1197000</v>
      </c>
      <c r="N50" s="90">
        <f t="shared" si="60"/>
        <v>197510.625</v>
      </c>
      <c r="O50" s="90">
        <f t="shared" si="61"/>
        <v>38490.870600000002</v>
      </c>
      <c r="P50" s="90">
        <f t="shared" si="62"/>
        <v>252813.6</v>
      </c>
      <c r="Q50" s="90">
        <f t="shared" si="16"/>
        <v>1685815.0956000001</v>
      </c>
      <c r="R50" s="90">
        <v>19</v>
      </c>
      <c r="S50" s="90">
        <f t="shared" si="45"/>
        <v>1137150</v>
      </c>
      <c r="T50" s="90">
        <f t="shared" si="63"/>
        <v>197510.625</v>
      </c>
      <c r="U50" s="90">
        <f t="shared" si="64"/>
        <v>38490.870600000002</v>
      </c>
      <c r="V50" s="90">
        <f t="shared" si="65"/>
        <v>252813.6</v>
      </c>
      <c r="W50" s="90">
        <f t="shared" si="21"/>
        <v>1625965.0956000001</v>
      </c>
      <c r="X50" s="90">
        <v>19</v>
      </c>
      <c r="Y50" s="90">
        <f t="shared" si="46"/>
        <v>1137150</v>
      </c>
      <c r="Z50" s="90">
        <f t="shared" si="66"/>
        <v>197510.625</v>
      </c>
      <c r="AA50" s="90">
        <f t="shared" si="67"/>
        <v>38490.870600000002</v>
      </c>
      <c r="AB50" s="90">
        <f t="shared" si="68"/>
        <v>252813.6</v>
      </c>
      <c r="AC50" s="90">
        <f t="shared" si="23"/>
        <v>1625965.0956000001</v>
      </c>
      <c r="AD50" s="90">
        <v>19</v>
      </c>
      <c r="AE50" s="90">
        <f t="shared" si="47"/>
        <v>1137150</v>
      </c>
      <c r="AF50" s="90">
        <f t="shared" si="69"/>
        <v>197510.625</v>
      </c>
      <c r="AG50" s="90">
        <f t="shared" si="70"/>
        <v>38490.870600000002</v>
      </c>
      <c r="AH50" s="90">
        <f t="shared" si="71"/>
        <v>252813.6</v>
      </c>
      <c r="AI50" s="90">
        <f t="shared" si="25"/>
        <v>1625965.0956000001</v>
      </c>
      <c r="AJ50" s="90">
        <v>9</v>
      </c>
      <c r="AK50" s="90">
        <f t="shared" si="48"/>
        <v>538650</v>
      </c>
      <c r="AL50" s="90">
        <f t="shared" si="49"/>
        <v>79004.25</v>
      </c>
      <c r="AM50" s="90">
        <f t="shared" si="50"/>
        <v>15396.348240000003</v>
      </c>
      <c r="AN50" s="90">
        <f t="shared" si="51"/>
        <v>101125.44</v>
      </c>
      <c r="AO50" s="90">
        <f t="shared" si="30"/>
        <v>734176.03823999991</v>
      </c>
      <c r="AP50" s="90">
        <v>0</v>
      </c>
      <c r="AQ50" s="90">
        <f t="shared" si="56"/>
        <v>0</v>
      </c>
      <c r="AR50" s="90">
        <f t="shared" si="53"/>
        <v>65836.875</v>
      </c>
      <c r="AS50" s="90">
        <f t="shared" si="54"/>
        <v>12830.290200000001</v>
      </c>
      <c r="AT50" s="90">
        <f t="shared" si="55"/>
        <v>84271.200000000012</v>
      </c>
      <c r="AU50" s="90">
        <f t="shared" si="35"/>
        <v>162938.3652</v>
      </c>
      <c r="AV50" s="91"/>
      <c r="AW50" s="91"/>
      <c r="AX50" s="91"/>
      <c r="AY50" s="91"/>
      <c r="AZ50" s="91"/>
      <c r="BA50" s="91"/>
      <c r="BB50" s="91"/>
      <c r="BC50" s="91"/>
      <c r="BD50" s="91"/>
      <c r="BE50" s="91"/>
      <c r="BF50" s="91"/>
      <c r="BG50" s="91"/>
      <c r="BH50" s="91"/>
      <c r="BI50" s="91"/>
      <c r="BJ50" s="91"/>
      <c r="BK50" s="91"/>
      <c r="BL50" s="91"/>
      <c r="BM50" s="91"/>
      <c r="BN50" s="91"/>
      <c r="BO50" s="91"/>
      <c r="BP50" s="91"/>
      <c r="BQ50" s="91"/>
      <c r="BR50" s="91"/>
    </row>
    <row r="51" spans="1:70" s="34" customFormat="1" x14ac:dyDescent="0.25">
      <c r="A51" s="32" t="s">
        <v>68</v>
      </c>
      <c r="B51" s="33">
        <v>1</v>
      </c>
      <c r="C51" s="33">
        <v>22</v>
      </c>
      <c r="D51" s="33">
        <v>0</v>
      </c>
      <c r="E51" s="33">
        <f t="shared" si="9"/>
        <v>22</v>
      </c>
      <c r="F51" s="33">
        <v>10</v>
      </c>
      <c r="G51" s="42">
        <f t="shared" si="43"/>
        <v>598500</v>
      </c>
      <c r="H51" s="42">
        <f t="shared" si="57"/>
        <v>85587.9375</v>
      </c>
      <c r="I51" s="42">
        <f t="shared" si="58"/>
        <v>16679.377260000001</v>
      </c>
      <c r="J51" s="42">
        <f t="shared" si="59"/>
        <v>109552.56000000001</v>
      </c>
      <c r="K51" s="42">
        <f t="shared" si="42"/>
        <v>810319.87476000004</v>
      </c>
      <c r="L51" s="42">
        <v>20</v>
      </c>
      <c r="M51" s="42">
        <f t="shared" si="44"/>
        <v>1197000</v>
      </c>
      <c r="N51" s="42">
        <f t="shared" si="60"/>
        <v>197510.625</v>
      </c>
      <c r="O51" s="42">
        <f t="shared" si="61"/>
        <v>38490.870600000002</v>
      </c>
      <c r="P51" s="42">
        <f t="shared" si="62"/>
        <v>252813.6</v>
      </c>
      <c r="Q51" s="42">
        <f t="shared" si="16"/>
        <v>1685815.0956000001</v>
      </c>
      <c r="R51" s="42">
        <v>19</v>
      </c>
      <c r="S51" s="42">
        <f t="shared" si="45"/>
        <v>1137150</v>
      </c>
      <c r="T51" s="42">
        <f t="shared" si="63"/>
        <v>197510.625</v>
      </c>
      <c r="U51" s="42">
        <f t="shared" si="64"/>
        <v>38490.870600000002</v>
      </c>
      <c r="V51" s="42">
        <f t="shared" si="65"/>
        <v>252813.6</v>
      </c>
      <c r="W51" s="42">
        <f t="shared" si="21"/>
        <v>1625965.0956000001</v>
      </c>
      <c r="X51" s="42">
        <v>19</v>
      </c>
      <c r="Y51" s="42">
        <f t="shared" si="46"/>
        <v>1137150</v>
      </c>
      <c r="Z51" s="42">
        <f t="shared" si="66"/>
        <v>197510.625</v>
      </c>
      <c r="AA51" s="42">
        <f t="shared" si="67"/>
        <v>38490.870600000002</v>
      </c>
      <c r="AB51" s="42">
        <f t="shared" si="68"/>
        <v>252813.6</v>
      </c>
      <c r="AC51" s="42">
        <f t="shared" si="23"/>
        <v>1625965.0956000001</v>
      </c>
      <c r="AD51" s="42">
        <v>19</v>
      </c>
      <c r="AE51" s="42">
        <f t="shared" si="47"/>
        <v>1137150</v>
      </c>
      <c r="AF51" s="42">
        <f t="shared" si="69"/>
        <v>197510.625</v>
      </c>
      <c r="AG51" s="42">
        <f t="shared" si="70"/>
        <v>38490.870600000002</v>
      </c>
      <c r="AH51" s="42">
        <f t="shared" si="71"/>
        <v>252813.6</v>
      </c>
      <c r="AI51" s="42">
        <f t="shared" si="25"/>
        <v>1625965.0956000001</v>
      </c>
      <c r="AJ51" s="42">
        <v>9</v>
      </c>
      <c r="AK51" s="42">
        <f t="shared" si="48"/>
        <v>538650</v>
      </c>
      <c r="AL51" s="42">
        <f t="shared" si="49"/>
        <v>79004.25</v>
      </c>
      <c r="AM51" s="42">
        <f t="shared" si="50"/>
        <v>15396.348240000003</v>
      </c>
      <c r="AN51" s="42">
        <f t="shared" si="51"/>
        <v>101125.44</v>
      </c>
      <c r="AO51" s="42">
        <f t="shared" si="30"/>
        <v>734176.03823999991</v>
      </c>
      <c r="AP51" s="42">
        <v>0</v>
      </c>
      <c r="AQ51" s="42">
        <f t="shared" si="56"/>
        <v>0</v>
      </c>
      <c r="AR51" s="42">
        <f t="shared" si="53"/>
        <v>65836.875</v>
      </c>
      <c r="AS51" s="42">
        <f t="shared" si="54"/>
        <v>12830.290200000001</v>
      </c>
      <c r="AT51" s="42">
        <f t="shared" si="55"/>
        <v>84271.200000000012</v>
      </c>
      <c r="AU51" s="42">
        <f t="shared" si="35"/>
        <v>162938.3652</v>
      </c>
      <c r="AV51" s="45"/>
      <c r="AW51" s="45"/>
      <c r="AX51" s="45"/>
      <c r="AY51" s="45"/>
      <c r="AZ51" s="45"/>
      <c r="BA51" s="45"/>
      <c r="BB51" s="45"/>
      <c r="BC51" s="45"/>
      <c r="BD51" s="45"/>
      <c r="BE51" s="45"/>
      <c r="BF51" s="45"/>
      <c r="BG51" s="45"/>
      <c r="BH51" s="45"/>
      <c r="BI51" s="45"/>
      <c r="BJ51" s="45"/>
      <c r="BK51" s="45"/>
      <c r="BL51" s="45"/>
      <c r="BM51" s="45"/>
      <c r="BN51" s="45"/>
      <c r="BO51" s="45"/>
      <c r="BP51" s="45"/>
      <c r="BQ51" s="45"/>
      <c r="BR51" s="45"/>
    </row>
    <row r="52" spans="1:70" s="34" customFormat="1" x14ac:dyDescent="0.25">
      <c r="A52" s="32" t="s">
        <v>69</v>
      </c>
      <c r="B52" s="33">
        <v>1</v>
      </c>
      <c r="C52" s="33">
        <v>23</v>
      </c>
      <c r="D52" s="33">
        <v>11</v>
      </c>
      <c r="E52" s="33">
        <f t="shared" si="9"/>
        <v>34</v>
      </c>
      <c r="F52" s="33">
        <v>10</v>
      </c>
      <c r="G52" s="42">
        <f t="shared" si="43"/>
        <v>598500</v>
      </c>
      <c r="H52" s="42">
        <f t="shared" si="57"/>
        <v>85587.9375</v>
      </c>
      <c r="I52" s="42">
        <f t="shared" si="58"/>
        <v>16679.377260000001</v>
      </c>
      <c r="J52" s="42">
        <f t="shared" si="59"/>
        <v>109552.56000000001</v>
      </c>
      <c r="K52" s="42">
        <f t="shared" si="42"/>
        <v>810319.87476000004</v>
      </c>
      <c r="L52" s="42">
        <v>20</v>
      </c>
      <c r="M52" s="42">
        <f t="shared" si="44"/>
        <v>1197000</v>
      </c>
      <c r="N52" s="42">
        <f t="shared" si="60"/>
        <v>197510.625</v>
      </c>
      <c r="O52" s="42">
        <f t="shared" si="61"/>
        <v>38490.870600000002</v>
      </c>
      <c r="P52" s="42">
        <f t="shared" si="62"/>
        <v>252813.6</v>
      </c>
      <c r="Q52" s="42">
        <f t="shared" si="16"/>
        <v>1685815.0956000001</v>
      </c>
      <c r="R52" s="42">
        <v>19</v>
      </c>
      <c r="S52" s="42">
        <f t="shared" si="45"/>
        <v>1137150</v>
      </c>
      <c r="T52" s="42">
        <f t="shared" si="63"/>
        <v>197510.625</v>
      </c>
      <c r="U52" s="42">
        <f t="shared" si="64"/>
        <v>38490.870600000002</v>
      </c>
      <c r="V52" s="42">
        <f t="shared" si="65"/>
        <v>252813.6</v>
      </c>
      <c r="W52" s="42">
        <f t="shared" si="21"/>
        <v>1625965.0956000001</v>
      </c>
      <c r="X52" s="42">
        <v>19</v>
      </c>
      <c r="Y52" s="42">
        <f t="shared" si="46"/>
        <v>1137150</v>
      </c>
      <c r="Z52" s="42">
        <f t="shared" si="66"/>
        <v>197510.625</v>
      </c>
      <c r="AA52" s="42">
        <f t="shared" si="67"/>
        <v>38490.870600000002</v>
      </c>
      <c r="AB52" s="42">
        <f t="shared" si="68"/>
        <v>252813.6</v>
      </c>
      <c r="AC52" s="42">
        <f t="shared" si="23"/>
        <v>1625965.0956000001</v>
      </c>
      <c r="AD52" s="42">
        <v>19</v>
      </c>
      <c r="AE52" s="42">
        <f t="shared" si="47"/>
        <v>1137150</v>
      </c>
      <c r="AF52" s="42">
        <f t="shared" si="69"/>
        <v>197510.625</v>
      </c>
      <c r="AG52" s="42">
        <f t="shared" si="70"/>
        <v>38490.870600000002</v>
      </c>
      <c r="AH52" s="42">
        <f t="shared" si="71"/>
        <v>252813.6</v>
      </c>
      <c r="AI52" s="42">
        <f t="shared" si="25"/>
        <v>1625965.0956000001</v>
      </c>
      <c r="AJ52" s="42">
        <v>9</v>
      </c>
      <c r="AK52" s="42">
        <f t="shared" si="48"/>
        <v>538650</v>
      </c>
      <c r="AL52" s="42">
        <f t="shared" si="49"/>
        <v>79004.25</v>
      </c>
      <c r="AM52" s="42">
        <f t="shared" si="50"/>
        <v>15396.348240000003</v>
      </c>
      <c r="AN52" s="42">
        <f t="shared" si="51"/>
        <v>101125.44</v>
      </c>
      <c r="AO52" s="42">
        <f t="shared" si="30"/>
        <v>734176.03823999991</v>
      </c>
      <c r="AP52" s="42">
        <v>0</v>
      </c>
      <c r="AQ52" s="42">
        <f t="shared" si="56"/>
        <v>0</v>
      </c>
      <c r="AR52" s="42">
        <f t="shared" si="53"/>
        <v>65836.875</v>
      </c>
      <c r="AS52" s="42">
        <f t="shared" si="54"/>
        <v>12830.290200000001</v>
      </c>
      <c r="AT52" s="42">
        <f t="shared" si="55"/>
        <v>84271.200000000012</v>
      </c>
      <c r="AU52" s="42">
        <f t="shared" si="35"/>
        <v>162938.3652</v>
      </c>
      <c r="AV52" s="45"/>
      <c r="AW52" s="45"/>
      <c r="AX52" s="45"/>
      <c r="AY52" s="45"/>
      <c r="AZ52" s="45"/>
      <c r="BA52" s="45"/>
      <c r="BB52" s="45"/>
      <c r="BC52" s="45"/>
      <c r="BD52" s="45"/>
      <c r="BE52" s="45"/>
      <c r="BF52" s="45"/>
      <c r="BG52" s="45"/>
      <c r="BH52" s="45"/>
      <c r="BI52" s="45"/>
      <c r="BJ52" s="45"/>
      <c r="BK52" s="45"/>
      <c r="BL52" s="45"/>
      <c r="BM52" s="45"/>
      <c r="BN52" s="45"/>
      <c r="BO52" s="45"/>
      <c r="BP52" s="45"/>
      <c r="BQ52" s="45"/>
      <c r="BR52" s="45"/>
    </row>
    <row r="53" spans="1:70" s="92" customFormat="1" x14ac:dyDescent="0.25">
      <c r="A53" s="88" t="s">
        <v>71</v>
      </c>
      <c r="B53" s="89">
        <v>1</v>
      </c>
      <c r="C53" s="89">
        <v>13</v>
      </c>
      <c r="D53" s="89">
        <v>0</v>
      </c>
      <c r="E53" s="89">
        <f t="shared" si="9"/>
        <v>13</v>
      </c>
      <c r="F53" s="89">
        <v>10</v>
      </c>
      <c r="G53" s="90">
        <f t="shared" si="43"/>
        <v>598500</v>
      </c>
      <c r="H53" s="90">
        <f t="shared" si="57"/>
        <v>85587.9375</v>
      </c>
      <c r="I53" s="90">
        <f t="shared" si="58"/>
        <v>16679.377260000001</v>
      </c>
      <c r="J53" s="90">
        <f t="shared" si="59"/>
        <v>109552.56000000001</v>
      </c>
      <c r="K53" s="90">
        <f t="shared" si="42"/>
        <v>810319.87476000004</v>
      </c>
      <c r="L53" s="90">
        <v>20</v>
      </c>
      <c r="M53" s="90">
        <f t="shared" si="44"/>
        <v>1197000</v>
      </c>
      <c r="N53" s="90">
        <f t="shared" si="60"/>
        <v>197510.625</v>
      </c>
      <c r="O53" s="90">
        <f t="shared" si="61"/>
        <v>38490.870600000002</v>
      </c>
      <c r="P53" s="90">
        <f t="shared" si="62"/>
        <v>252813.6</v>
      </c>
      <c r="Q53" s="90">
        <f t="shared" si="16"/>
        <v>1685815.0956000001</v>
      </c>
      <c r="R53" s="90">
        <v>19</v>
      </c>
      <c r="S53" s="90">
        <f t="shared" si="45"/>
        <v>1137150</v>
      </c>
      <c r="T53" s="90">
        <f t="shared" si="63"/>
        <v>197510.625</v>
      </c>
      <c r="U53" s="90">
        <f t="shared" si="64"/>
        <v>38490.870600000002</v>
      </c>
      <c r="V53" s="90">
        <f t="shared" si="65"/>
        <v>252813.6</v>
      </c>
      <c r="W53" s="90">
        <f t="shared" si="21"/>
        <v>1625965.0956000001</v>
      </c>
      <c r="X53" s="90">
        <v>19</v>
      </c>
      <c r="Y53" s="90">
        <f t="shared" si="46"/>
        <v>1137150</v>
      </c>
      <c r="Z53" s="90">
        <f t="shared" si="66"/>
        <v>197510.625</v>
      </c>
      <c r="AA53" s="90">
        <f t="shared" si="67"/>
        <v>38490.870600000002</v>
      </c>
      <c r="AB53" s="90">
        <f t="shared" si="68"/>
        <v>252813.6</v>
      </c>
      <c r="AC53" s="90">
        <f t="shared" si="23"/>
        <v>1625965.0956000001</v>
      </c>
      <c r="AD53" s="90">
        <v>19</v>
      </c>
      <c r="AE53" s="90">
        <f t="shared" si="47"/>
        <v>1137150</v>
      </c>
      <c r="AF53" s="90">
        <f t="shared" si="69"/>
        <v>197510.625</v>
      </c>
      <c r="AG53" s="90">
        <f t="shared" si="70"/>
        <v>38490.870600000002</v>
      </c>
      <c r="AH53" s="90">
        <f t="shared" si="71"/>
        <v>252813.6</v>
      </c>
      <c r="AI53" s="90">
        <f t="shared" si="25"/>
        <v>1625965.0956000001</v>
      </c>
      <c r="AJ53" s="90">
        <v>9</v>
      </c>
      <c r="AK53" s="90">
        <f t="shared" si="48"/>
        <v>538650</v>
      </c>
      <c r="AL53" s="90">
        <f t="shared" si="49"/>
        <v>79004.25</v>
      </c>
      <c r="AM53" s="90">
        <f t="shared" si="50"/>
        <v>15396.348240000003</v>
      </c>
      <c r="AN53" s="90">
        <f t="shared" si="51"/>
        <v>101125.44</v>
      </c>
      <c r="AO53" s="90">
        <f t="shared" si="30"/>
        <v>734176.03823999991</v>
      </c>
      <c r="AP53" s="90">
        <v>0</v>
      </c>
      <c r="AQ53" s="90">
        <f t="shared" si="56"/>
        <v>0</v>
      </c>
      <c r="AR53" s="90">
        <f t="shared" si="53"/>
        <v>65836.875</v>
      </c>
      <c r="AS53" s="90">
        <f t="shared" si="54"/>
        <v>12830.290200000001</v>
      </c>
      <c r="AT53" s="90">
        <f t="shared" si="55"/>
        <v>84271.200000000012</v>
      </c>
      <c r="AU53" s="90">
        <f t="shared" si="35"/>
        <v>162938.3652</v>
      </c>
      <c r="AV53" s="91"/>
      <c r="AW53" s="91"/>
      <c r="AX53" s="91"/>
      <c r="AY53" s="91"/>
      <c r="AZ53" s="91"/>
      <c r="BA53" s="91"/>
      <c r="BB53" s="91"/>
      <c r="BC53" s="91"/>
      <c r="BD53" s="91"/>
      <c r="BE53" s="91"/>
      <c r="BF53" s="91"/>
      <c r="BG53" s="91"/>
      <c r="BH53" s="91"/>
      <c r="BI53" s="91"/>
      <c r="BJ53" s="91"/>
      <c r="BK53" s="91"/>
      <c r="BL53" s="91"/>
      <c r="BM53" s="91"/>
      <c r="BN53" s="91"/>
      <c r="BO53" s="91"/>
      <c r="BP53" s="91"/>
      <c r="BQ53" s="91"/>
      <c r="BR53" s="91"/>
    </row>
    <row r="54" spans="1:70" s="92" customFormat="1" x14ac:dyDescent="0.25">
      <c r="A54" s="88" t="s">
        <v>73</v>
      </c>
      <c r="B54" s="89">
        <v>1</v>
      </c>
      <c r="C54" s="89">
        <v>12</v>
      </c>
      <c r="D54" s="89">
        <v>0</v>
      </c>
      <c r="E54" s="89">
        <f t="shared" si="9"/>
        <v>12</v>
      </c>
      <c r="F54" s="89">
        <v>10</v>
      </c>
      <c r="G54" s="90">
        <f t="shared" si="43"/>
        <v>598500</v>
      </c>
      <c r="H54" s="90">
        <f t="shared" si="57"/>
        <v>85587.9375</v>
      </c>
      <c r="I54" s="90">
        <f t="shared" si="58"/>
        <v>16679.377260000001</v>
      </c>
      <c r="J54" s="90">
        <f t="shared" si="59"/>
        <v>109552.56000000001</v>
      </c>
      <c r="K54" s="90">
        <f t="shared" si="42"/>
        <v>810319.87476000004</v>
      </c>
      <c r="L54" s="90">
        <v>20</v>
      </c>
      <c r="M54" s="90">
        <f t="shared" si="44"/>
        <v>1197000</v>
      </c>
      <c r="N54" s="90">
        <f t="shared" si="60"/>
        <v>197510.625</v>
      </c>
      <c r="O54" s="90">
        <f t="shared" si="61"/>
        <v>38490.870600000002</v>
      </c>
      <c r="P54" s="90">
        <f t="shared" si="62"/>
        <v>252813.6</v>
      </c>
      <c r="Q54" s="90">
        <f t="shared" si="16"/>
        <v>1685815.0956000001</v>
      </c>
      <c r="R54" s="90">
        <v>19</v>
      </c>
      <c r="S54" s="90">
        <f t="shared" si="45"/>
        <v>1137150</v>
      </c>
      <c r="T54" s="90">
        <f t="shared" si="63"/>
        <v>197510.625</v>
      </c>
      <c r="U54" s="90">
        <f t="shared" si="64"/>
        <v>38490.870600000002</v>
      </c>
      <c r="V54" s="90">
        <f t="shared" si="65"/>
        <v>252813.6</v>
      </c>
      <c r="W54" s="90">
        <f t="shared" si="21"/>
        <v>1625965.0956000001</v>
      </c>
      <c r="X54" s="90">
        <v>19</v>
      </c>
      <c r="Y54" s="90">
        <f t="shared" si="46"/>
        <v>1137150</v>
      </c>
      <c r="Z54" s="90">
        <f t="shared" si="66"/>
        <v>197510.625</v>
      </c>
      <c r="AA54" s="90">
        <f t="shared" si="67"/>
        <v>38490.870600000002</v>
      </c>
      <c r="AB54" s="90">
        <f t="shared" si="68"/>
        <v>252813.6</v>
      </c>
      <c r="AC54" s="90">
        <f t="shared" si="23"/>
        <v>1625965.0956000001</v>
      </c>
      <c r="AD54" s="90">
        <v>19</v>
      </c>
      <c r="AE54" s="90">
        <f t="shared" si="47"/>
        <v>1137150</v>
      </c>
      <c r="AF54" s="90">
        <f t="shared" si="69"/>
        <v>197510.625</v>
      </c>
      <c r="AG54" s="90">
        <f t="shared" si="70"/>
        <v>38490.870600000002</v>
      </c>
      <c r="AH54" s="90">
        <f t="shared" si="71"/>
        <v>252813.6</v>
      </c>
      <c r="AI54" s="90">
        <f t="shared" si="25"/>
        <v>1625965.0956000001</v>
      </c>
      <c r="AJ54" s="90">
        <v>9</v>
      </c>
      <c r="AK54" s="90">
        <f t="shared" si="48"/>
        <v>538650</v>
      </c>
      <c r="AL54" s="90">
        <f t="shared" si="49"/>
        <v>79004.25</v>
      </c>
      <c r="AM54" s="90">
        <f t="shared" si="50"/>
        <v>15396.348240000003</v>
      </c>
      <c r="AN54" s="90">
        <f t="shared" si="51"/>
        <v>101125.44</v>
      </c>
      <c r="AO54" s="90">
        <f t="shared" si="30"/>
        <v>734176.03823999991</v>
      </c>
      <c r="AP54" s="90">
        <v>0</v>
      </c>
      <c r="AQ54" s="90">
        <f t="shared" si="56"/>
        <v>0</v>
      </c>
      <c r="AR54" s="90">
        <f t="shared" si="53"/>
        <v>65836.875</v>
      </c>
      <c r="AS54" s="90">
        <f t="shared" si="54"/>
        <v>12830.290200000001</v>
      </c>
      <c r="AT54" s="90">
        <f t="shared" si="55"/>
        <v>84271.200000000012</v>
      </c>
      <c r="AU54" s="90">
        <f t="shared" si="35"/>
        <v>162938.3652</v>
      </c>
      <c r="AV54" s="91"/>
      <c r="AW54" s="91"/>
      <c r="AX54" s="91"/>
      <c r="AY54" s="91"/>
      <c r="AZ54" s="91"/>
      <c r="BA54" s="91"/>
      <c r="BB54" s="91"/>
      <c r="BC54" s="91"/>
      <c r="BD54" s="91"/>
      <c r="BE54" s="91"/>
      <c r="BF54" s="91"/>
      <c r="BG54" s="91"/>
      <c r="BH54" s="91"/>
      <c r="BI54" s="91"/>
      <c r="BJ54" s="91"/>
      <c r="BK54" s="91"/>
      <c r="BL54" s="91"/>
      <c r="BM54" s="91"/>
      <c r="BN54" s="91"/>
      <c r="BO54" s="91"/>
      <c r="BP54" s="91"/>
      <c r="BQ54" s="91"/>
      <c r="BR54" s="91"/>
    </row>
    <row r="55" spans="1:70" s="34" customFormat="1" x14ac:dyDescent="0.25">
      <c r="A55" s="32" t="s">
        <v>74</v>
      </c>
      <c r="B55" s="33">
        <v>1</v>
      </c>
      <c r="C55" s="33">
        <v>43</v>
      </c>
      <c r="D55" s="33">
        <v>0</v>
      </c>
      <c r="E55" s="33">
        <f t="shared" si="9"/>
        <v>43</v>
      </c>
      <c r="F55" s="33">
        <v>10</v>
      </c>
      <c r="G55" s="42">
        <f>$C$5*F55</f>
        <v>598500</v>
      </c>
      <c r="H55" s="42">
        <f t="shared" si="57"/>
        <v>85587.9375</v>
      </c>
      <c r="I55" s="42">
        <f t="shared" si="58"/>
        <v>16679.377260000001</v>
      </c>
      <c r="J55" s="42">
        <f t="shared" si="59"/>
        <v>109552.56000000001</v>
      </c>
      <c r="K55" s="42">
        <f t="shared" si="42"/>
        <v>810319.87476000004</v>
      </c>
      <c r="L55" s="42">
        <v>20</v>
      </c>
      <c r="M55" s="42">
        <f t="shared" si="44"/>
        <v>1197000</v>
      </c>
      <c r="N55" s="42">
        <f t="shared" si="60"/>
        <v>197510.625</v>
      </c>
      <c r="O55" s="42">
        <f t="shared" si="61"/>
        <v>38490.870600000002</v>
      </c>
      <c r="P55" s="42">
        <f t="shared" si="62"/>
        <v>252813.6</v>
      </c>
      <c r="Q55" s="42">
        <f t="shared" si="16"/>
        <v>1685815.0956000001</v>
      </c>
      <c r="R55" s="42">
        <v>19</v>
      </c>
      <c r="S55" s="42">
        <f t="shared" si="45"/>
        <v>1137150</v>
      </c>
      <c r="T55" s="42">
        <f t="shared" si="63"/>
        <v>197510.625</v>
      </c>
      <c r="U55" s="42">
        <f t="shared" si="64"/>
        <v>38490.870600000002</v>
      </c>
      <c r="V55" s="42">
        <f t="shared" si="65"/>
        <v>252813.6</v>
      </c>
      <c r="W55" s="42">
        <f t="shared" si="21"/>
        <v>1625965.0956000001</v>
      </c>
      <c r="X55" s="42">
        <v>19</v>
      </c>
      <c r="Y55" s="42">
        <f t="shared" si="46"/>
        <v>1137150</v>
      </c>
      <c r="Z55" s="42">
        <f t="shared" si="66"/>
        <v>197510.625</v>
      </c>
      <c r="AA55" s="42">
        <f t="shared" si="67"/>
        <v>38490.870600000002</v>
      </c>
      <c r="AB55" s="42">
        <f t="shared" si="68"/>
        <v>252813.6</v>
      </c>
      <c r="AC55" s="42">
        <f t="shared" si="23"/>
        <v>1625965.0956000001</v>
      </c>
      <c r="AD55" s="42">
        <v>19</v>
      </c>
      <c r="AE55" s="42">
        <f t="shared" si="47"/>
        <v>1137150</v>
      </c>
      <c r="AF55" s="42">
        <f t="shared" si="69"/>
        <v>197510.625</v>
      </c>
      <c r="AG55" s="42">
        <f t="shared" si="70"/>
        <v>38490.870600000002</v>
      </c>
      <c r="AH55" s="42">
        <f t="shared" si="71"/>
        <v>252813.6</v>
      </c>
      <c r="AI55" s="42">
        <f t="shared" si="25"/>
        <v>1625965.0956000001</v>
      </c>
      <c r="AJ55" s="42">
        <v>9</v>
      </c>
      <c r="AK55" s="42">
        <f t="shared" si="48"/>
        <v>538650</v>
      </c>
      <c r="AL55" s="42">
        <f>($D$4*12.5%)/30*12</f>
        <v>79004.25</v>
      </c>
      <c r="AM55" s="42">
        <f>($D$4*2.436%)/30*12</f>
        <v>15396.348240000003</v>
      </c>
      <c r="AN55" s="42">
        <f>($D$4*16%)/30*12</f>
        <v>101125.44</v>
      </c>
      <c r="AO55" s="42">
        <f t="shared" si="30"/>
        <v>734176.03823999991</v>
      </c>
      <c r="AP55" s="42">
        <v>0</v>
      </c>
      <c r="AQ55" s="42">
        <f t="shared" si="56"/>
        <v>0</v>
      </c>
      <c r="AR55" s="42">
        <f t="shared" si="53"/>
        <v>65836.875</v>
      </c>
      <c r="AS55" s="42">
        <f t="shared" si="54"/>
        <v>12830.290200000001</v>
      </c>
      <c r="AT55" s="42">
        <f t="shared" si="55"/>
        <v>84271.200000000012</v>
      </c>
      <c r="AU55" s="42">
        <f t="shared" si="35"/>
        <v>162938.3652</v>
      </c>
      <c r="AV55" s="45"/>
      <c r="AW55" s="45"/>
      <c r="AX55" s="45"/>
      <c r="AY55" s="45"/>
      <c r="AZ55" s="45"/>
      <c r="BA55" s="45"/>
      <c r="BB55" s="45"/>
      <c r="BC55" s="45"/>
      <c r="BD55" s="45"/>
      <c r="BE55" s="45"/>
      <c r="BF55" s="45"/>
      <c r="BG55" s="45"/>
      <c r="BH55" s="45"/>
      <c r="BI55" s="45"/>
      <c r="BJ55" s="45"/>
      <c r="BK55" s="45"/>
      <c r="BL55" s="45"/>
      <c r="BM55" s="45"/>
      <c r="BN55" s="45"/>
      <c r="BO55" s="45"/>
      <c r="BP55" s="45"/>
      <c r="BQ55" s="45"/>
      <c r="BR55" s="45"/>
    </row>
    <row r="56" spans="1:70" s="34" customFormat="1" x14ac:dyDescent="0.25">
      <c r="A56" s="32" t="s">
        <v>75</v>
      </c>
      <c r="B56" s="33">
        <v>1</v>
      </c>
      <c r="C56" s="33">
        <v>19</v>
      </c>
      <c r="D56" s="33">
        <v>0</v>
      </c>
      <c r="E56" s="33">
        <f t="shared" si="9"/>
        <v>19</v>
      </c>
      <c r="F56" s="33">
        <v>10</v>
      </c>
      <c r="G56" s="42">
        <f t="shared" si="43"/>
        <v>598500</v>
      </c>
      <c r="H56" s="42">
        <f t="shared" si="57"/>
        <v>85587.9375</v>
      </c>
      <c r="I56" s="42">
        <f t="shared" si="58"/>
        <v>16679.377260000001</v>
      </c>
      <c r="J56" s="42">
        <f t="shared" si="59"/>
        <v>109552.56000000001</v>
      </c>
      <c r="K56" s="42">
        <f t="shared" si="42"/>
        <v>810319.87476000004</v>
      </c>
      <c r="L56" s="42">
        <v>20</v>
      </c>
      <c r="M56" s="42">
        <f t="shared" si="44"/>
        <v>1197000</v>
      </c>
      <c r="N56" s="42">
        <f t="shared" si="60"/>
        <v>197510.625</v>
      </c>
      <c r="O56" s="42">
        <f t="shared" si="61"/>
        <v>38490.870600000002</v>
      </c>
      <c r="P56" s="42">
        <f t="shared" si="62"/>
        <v>252813.6</v>
      </c>
      <c r="Q56" s="42">
        <f t="shared" si="16"/>
        <v>1685815.0956000001</v>
      </c>
      <c r="R56" s="42">
        <v>19</v>
      </c>
      <c r="S56" s="42">
        <f t="shared" si="45"/>
        <v>1137150</v>
      </c>
      <c r="T56" s="42">
        <f t="shared" si="63"/>
        <v>197510.625</v>
      </c>
      <c r="U56" s="42">
        <f t="shared" si="64"/>
        <v>38490.870600000002</v>
      </c>
      <c r="V56" s="42">
        <f t="shared" si="65"/>
        <v>252813.6</v>
      </c>
      <c r="W56" s="42">
        <f t="shared" si="21"/>
        <v>1625965.0956000001</v>
      </c>
      <c r="X56" s="42">
        <v>19</v>
      </c>
      <c r="Y56" s="42">
        <f t="shared" si="46"/>
        <v>1137150</v>
      </c>
      <c r="Z56" s="42">
        <f t="shared" si="66"/>
        <v>197510.625</v>
      </c>
      <c r="AA56" s="42">
        <f t="shared" si="67"/>
        <v>38490.870600000002</v>
      </c>
      <c r="AB56" s="42">
        <f t="shared" si="68"/>
        <v>252813.6</v>
      </c>
      <c r="AC56" s="42">
        <f t="shared" si="23"/>
        <v>1625965.0956000001</v>
      </c>
      <c r="AD56" s="42">
        <v>19</v>
      </c>
      <c r="AE56" s="42">
        <f t="shared" si="47"/>
        <v>1137150</v>
      </c>
      <c r="AF56" s="42">
        <f t="shared" si="69"/>
        <v>197510.625</v>
      </c>
      <c r="AG56" s="42">
        <f t="shared" si="70"/>
        <v>38490.870600000002</v>
      </c>
      <c r="AH56" s="42">
        <f t="shared" si="71"/>
        <v>252813.6</v>
      </c>
      <c r="AI56" s="42">
        <f t="shared" si="25"/>
        <v>1625965.0956000001</v>
      </c>
      <c r="AJ56" s="42">
        <v>9</v>
      </c>
      <c r="AK56" s="42">
        <f t="shared" si="48"/>
        <v>538650</v>
      </c>
      <c r="AL56" s="42">
        <f t="shared" si="49"/>
        <v>79004.25</v>
      </c>
      <c r="AM56" s="42">
        <f t="shared" si="50"/>
        <v>15396.348240000003</v>
      </c>
      <c r="AN56" s="42">
        <f t="shared" si="51"/>
        <v>101125.44</v>
      </c>
      <c r="AO56" s="42">
        <f t="shared" si="30"/>
        <v>734176.03823999991</v>
      </c>
      <c r="AP56" s="42">
        <v>0</v>
      </c>
      <c r="AQ56" s="42">
        <f t="shared" si="56"/>
        <v>0</v>
      </c>
      <c r="AR56" s="42">
        <f t="shared" si="53"/>
        <v>65836.875</v>
      </c>
      <c r="AS56" s="42">
        <f t="shared" si="54"/>
        <v>12830.290200000001</v>
      </c>
      <c r="AT56" s="42">
        <f t="shared" si="55"/>
        <v>84271.200000000012</v>
      </c>
      <c r="AU56" s="42">
        <f t="shared" si="35"/>
        <v>162938.3652</v>
      </c>
      <c r="AV56" s="45"/>
      <c r="AW56" s="45"/>
      <c r="AX56" s="45"/>
      <c r="AY56" s="45"/>
      <c r="AZ56" s="45"/>
      <c r="BA56" s="45"/>
      <c r="BB56" s="45"/>
      <c r="BC56" s="45"/>
      <c r="BD56" s="45"/>
      <c r="BE56" s="45"/>
      <c r="BF56" s="45"/>
      <c r="BG56" s="45"/>
      <c r="BH56" s="45"/>
      <c r="BI56" s="45"/>
      <c r="BJ56" s="45"/>
      <c r="BK56" s="45"/>
      <c r="BL56" s="45"/>
      <c r="BM56" s="45"/>
      <c r="BN56" s="45"/>
      <c r="BO56" s="45"/>
      <c r="BP56" s="45"/>
      <c r="BQ56" s="45"/>
      <c r="BR56" s="45"/>
    </row>
    <row r="57" spans="1:70" s="34" customFormat="1" x14ac:dyDescent="0.25">
      <c r="A57" s="32" t="s">
        <v>76</v>
      </c>
      <c r="B57" s="33">
        <v>1</v>
      </c>
      <c r="C57" s="33">
        <v>43</v>
      </c>
      <c r="D57" s="33">
        <v>0</v>
      </c>
      <c r="E57" s="33">
        <f t="shared" si="9"/>
        <v>43</v>
      </c>
      <c r="F57" s="33">
        <v>10</v>
      </c>
      <c r="G57" s="42">
        <f t="shared" si="43"/>
        <v>598500</v>
      </c>
      <c r="H57" s="42">
        <f t="shared" si="57"/>
        <v>85587.9375</v>
      </c>
      <c r="I57" s="42">
        <f t="shared" si="58"/>
        <v>16679.377260000001</v>
      </c>
      <c r="J57" s="42">
        <f t="shared" si="59"/>
        <v>109552.56000000001</v>
      </c>
      <c r="K57" s="42">
        <f t="shared" si="42"/>
        <v>810319.87476000004</v>
      </c>
      <c r="L57" s="42">
        <v>20</v>
      </c>
      <c r="M57" s="42">
        <f t="shared" si="44"/>
        <v>1197000</v>
      </c>
      <c r="N57" s="42">
        <f t="shared" si="60"/>
        <v>197510.625</v>
      </c>
      <c r="O57" s="42">
        <f t="shared" si="61"/>
        <v>38490.870600000002</v>
      </c>
      <c r="P57" s="42">
        <f t="shared" si="62"/>
        <v>252813.6</v>
      </c>
      <c r="Q57" s="42">
        <f t="shared" si="16"/>
        <v>1685815.0956000001</v>
      </c>
      <c r="R57" s="42">
        <v>19</v>
      </c>
      <c r="S57" s="42">
        <f t="shared" si="45"/>
        <v>1137150</v>
      </c>
      <c r="T57" s="42">
        <f t="shared" si="63"/>
        <v>197510.625</v>
      </c>
      <c r="U57" s="42">
        <f t="shared" si="64"/>
        <v>38490.870600000002</v>
      </c>
      <c r="V57" s="42">
        <f t="shared" si="65"/>
        <v>252813.6</v>
      </c>
      <c r="W57" s="42">
        <f t="shared" si="21"/>
        <v>1625965.0956000001</v>
      </c>
      <c r="X57" s="42">
        <v>19</v>
      </c>
      <c r="Y57" s="42">
        <f t="shared" si="46"/>
        <v>1137150</v>
      </c>
      <c r="Z57" s="42">
        <f t="shared" si="66"/>
        <v>197510.625</v>
      </c>
      <c r="AA57" s="42">
        <f t="shared" si="67"/>
        <v>38490.870600000002</v>
      </c>
      <c r="AB57" s="42">
        <f t="shared" si="68"/>
        <v>252813.6</v>
      </c>
      <c r="AC57" s="42">
        <f t="shared" si="23"/>
        <v>1625965.0956000001</v>
      </c>
      <c r="AD57" s="42">
        <v>19</v>
      </c>
      <c r="AE57" s="42">
        <f t="shared" si="47"/>
        <v>1137150</v>
      </c>
      <c r="AF57" s="42">
        <f t="shared" si="69"/>
        <v>197510.625</v>
      </c>
      <c r="AG57" s="42">
        <f t="shared" si="70"/>
        <v>38490.870600000002</v>
      </c>
      <c r="AH57" s="42">
        <f t="shared" si="71"/>
        <v>252813.6</v>
      </c>
      <c r="AI57" s="42">
        <f t="shared" si="25"/>
        <v>1625965.0956000001</v>
      </c>
      <c r="AJ57" s="42">
        <v>9</v>
      </c>
      <c r="AK57" s="42">
        <f t="shared" si="48"/>
        <v>538650</v>
      </c>
      <c r="AL57" s="42">
        <f t="shared" si="49"/>
        <v>79004.25</v>
      </c>
      <c r="AM57" s="42">
        <f t="shared" si="50"/>
        <v>15396.348240000003</v>
      </c>
      <c r="AN57" s="42">
        <f t="shared" si="51"/>
        <v>101125.44</v>
      </c>
      <c r="AO57" s="42">
        <f t="shared" si="30"/>
        <v>734176.03823999991</v>
      </c>
      <c r="AP57" s="42">
        <v>0</v>
      </c>
      <c r="AQ57" s="42">
        <f t="shared" si="56"/>
        <v>0</v>
      </c>
      <c r="AR57" s="42">
        <f t="shared" si="53"/>
        <v>65836.875</v>
      </c>
      <c r="AS57" s="42">
        <f t="shared" si="54"/>
        <v>12830.290200000001</v>
      </c>
      <c r="AT57" s="42">
        <f t="shared" si="55"/>
        <v>84271.200000000012</v>
      </c>
      <c r="AU57" s="42">
        <f t="shared" si="35"/>
        <v>162938.3652</v>
      </c>
      <c r="AV57" s="45"/>
      <c r="AW57" s="45"/>
      <c r="AX57" s="45"/>
      <c r="AY57" s="45"/>
      <c r="AZ57" s="45"/>
      <c r="BA57" s="45"/>
      <c r="BB57" s="45"/>
      <c r="BC57" s="45"/>
      <c r="BD57" s="45"/>
      <c r="BE57" s="45"/>
      <c r="BF57" s="45"/>
      <c r="BG57" s="45"/>
      <c r="BH57" s="45"/>
      <c r="BI57" s="45"/>
      <c r="BJ57" s="45"/>
      <c r="BK57" s="45"/>
      <c r="BL57" s="45"/>
      <c r="BM57" s="45"/>
      <c r="BN57" s="45"/>
      <c r="BO57" s="45"/>
      <c r="BP57" s="45"/>
      <c r="BQ57" s="45"/>
      <c r="BR57" s="45"/>
    </row>
    <row r="58" spans="1:70" s="92" customFormat="1" x14ac:dyDescent="0.25">
      <c r="A58" s="88" t="s">
        <v>78</v>
      </c>
      <c r="B58" s="89">
        <v>1</v>
      </c>
      <c r="C58" s="89">
        <v>14</v>
      </c>
      <c r="D58" s="89">
        <v>0</v>
      </c>
      <c r="E58" s="89">
        <f t="shared" si="9"/>
        <v>14</v>
      </c>
      <c r="F58" s="89">
        <v>10</v>
      </c>
      <c r="G58" s="90">
        <f t="shared" si="43"/>
        <v>598500</v>
      </c>
      <c r="H58" s="90">
        <f t="shared" si="57"/>
        <v>85587.9375</v>
      </c>
      <c r="I58" s="90">
        <f t="shared" si="58"/>
        <v>16679.377260000001</v>
      </c>
      <c r="J58" s="90">
        <f t="shared" si="59"/>
        <v>109552.56000000001</v>
      </c>
      <c r="K58" s="90">
        <f t="shared" si="42"/>
        <v>810319.87476000004</v>
      </c>
      <c r="L58" s="90">
        <v>20</v>
      </c>
      <c r="M58" s="90">
        <f t="shared" si="44"/>
        <v>1197000</v>
      </c>
      <c r="N58" s="90">
        <f t="shared" si="60"/>
        <v>197510.625</v>
      </c>
      <c r="O58" s="90">
        <f t="shared" si="61"/>
        <v>38490.870600000002</v>
      </c>
      <c r="P58" s="90">
        <f t="shared" si="62"/>
        <v>252813.6</v>
      </c>
      <c r="Q58" s="90">
        <f t="shared" si="16"/>
        <v>1685815.0956000001</v>
      </c>
      <c r="R58" s="90">
        <v>19</v>
      </c>
      <c r="S58" s="90">
        <f t="shared" si="45"/>
        <v>1137150</v>
      </c>
      <c r="T58" s="90">
        <f t="shared" si="63"/>
        <v>197510.625</v>
      </c>
      <c r="U58" s="90">
        <f t="shared" si="64"/>
        <v>38490.870600000002</v>
      </c>
      <c r="V58" s="90">
        <f t="shared" si="65"/>
        <v>252813.6</v>
      </c>
      <c r="W58" s="90">
        <f t="shared" si="21"/>
        <v>1625965.0956000001</v>
      </c>
      <c r="X58" s="90">
        <v>19</v>
      </c>
      <c r="Y58" s="90">
        <f t="shared" si="46"/>
        <v>1137150</v>
      </c>
      <c r="Z58" s="90">
        <f t="shared" si="66"/>
        <v>197510.625</v>
      </c>
      <c r="AA58" s="90">
        <f t="shared" si="67"/>
        <v>38490.870600000002</v>
      </c>
      <c r="AB58" s="90">
        <f t="shared" si="68"/>
        <v>252813.6</v>
      </c>
      <c r="AC58" s="90">
        <f t="shared" si="23"/>
        <v>1625965.0956000001</v>
      </c>
      <c r="AD58" s="90">
        <v>19</v>
      </c>
      <c r="AE58" s="90">
        <f t="shared" si="47"/>
        <v>1137150</v>
      </c>
      <c r="AF58" s="90">
        <f t="shared" si="69"/>
        <v>197510.625</v>
      </c>
      <c r="AG58" s="90">
        <f t="shared" si="70"/>
        <v>38490.870600000002</v>
      </c>
      <c r="AH58" s="90">
        <f t="shared" si="71"/>
        <v>252813.6</v>
      </c>
      <c r="AI58" s="90">
        <f t="shared" si="25"/>
        <v>1625965.0956000001</v>
      </c>
      <c r="AJ58" s="90">
        <v>9</v>
      </c>
      <c r="AK58" s="90">
        <f t="shared" si="48"/>
        <v>538650</v>
      </c>
      <c r="AL58" s="90">
        <f t="shared" si="49"/>
        <v>79004.25</v>
      </c>
      <c r="AM58" s="90">
        <f t="shared" si="50"/>
        <v>15396.348240000003</v>
      </c>
      <c r="AN58" s="90">
        <f t="shared" si="51"/>
        <v>101125.44</v>
      </c>
      <c r="AO58" s="90">
        <f t="shared" si="30"/>
        <v>734176.03823999991</v>
      </c>
      <c r="AP58" s="90">
        <v>0</v>
      </c>
      <c r="AQ58" s="90">
        <f t="shared" si="56"/>
        <v>0</v>
      </c>
      <c r="AR58" s="90">
        <f t="shared" si="53"/>
        <v>65836.875</v>
      </c>
      <c r="AS58" s="90">
        <f t="shared" si="54"/>
        <v>12830.290200000001</v>
      </c>
      <c r="AT58" s="90">
        <f t="shared" si="55"/>
        <v>84271.200000000012</v>
      </c>
      <c r="AU58" s="90">
        <f t="shared" si="35"/>
        <v>162938.3652</v>
      </c>
      <c r="AV58" s="91"/>
      <c r="AW58" s="91"/>
      <c r="AX58" s="91"/>
      <c r="AY58" s="91"/>
      <c r="AZ58" s="91"/>
      <c r="BA58" s="91"/>
      <c r="BB58" s="91"/>
      <c r="BC58" s="91"/>
      <c r="BD58" s="91"/>
      <c r="BE58" s="91"/>
      <c r="BF58" s="91"/>
      <c r="BG58" s="91"/>
      <c r="BH58" s="91"/>
      <c r="BI58" s="91"/>
      <c r="BJ58" s="91"/>
      <c r="BK58" s="91"/>
      <c r="BL58" s="91"/>
      <c r="BM58" s="91"/>
      <c r="BN58" s="91"/>
      <c r="BO58" s="91"/>
      <c r="BP58" s="91"/>
      <c r="BQ58" s="91"/>
      <c r="BR58" s="91"/>
    </row>
    <row r="59" spans="1:70" s="34" customFormat="1" x14ac:dyDescent="0.25">
      <c r="A59" s="32" t="s">
        <v>84</v>
      </c>
      <c r="B59" s="33">
        <v>1</v>
      </c>
      <c r="C59" s="33">
        <v>36</v>
      </c>
      <c r="D59" s="33">
        <v>0</v>
      </c>
      <c r="E59" s="33">
        <f t="shared" si="9"/>
        <v>36</v>
      </c>
      <c r="F59" s="33">
        <v>10</v>
      </c>
      <c r="G59" s="42">
        <f t="shared" si="43"/>
        <v>598500</v>
      </c>
      <c r="H59" s="42">
        <f t="shared" si="57"/>
        <v>85587.9375</v>
      </c>
      <c r="I59" s="42">
        <f t="shared" si="58"/>
        <v>16679.377260000001</v>
      </c>
      <c r="J59" s="42">
        <f t="shared" si="59"/>
        <v>109552.56000000001</v>
      </c>
      <c r="K59" s="42">
        <f t="shared" si="42"/>
        <v>810319.87476000004</v>
      </c>
      <c r="L59" s="42">
        <v>20</v>
      </c>
      <c r="M59" s="42">
        <f t="shared" si="44"/>
        <v>1197000</v>
      </c>
      <c r="N59" s="42">
        <f t="shared" si="60"/>
        <v>197510.625</v>
      </c>
      <c r="O59" s="42">
        <f t="shared" si="61"/>
        <v>38490.870600000002</v>
      </c>
      <c r="P59" s="42">
        <f t="shared" si="62"/>
        <v>252813.6</v>
      </c>
      <c r="Q59" s="42">
        <f t="shared" si="16"/>
        <v>1685815.0956000001</v>
      </c>
      <c r="R59" s="42">
        <v>19</v>
      </c>
      <c r="S59" s="42">
        <f t="shared" si="45"/>
        <v>1137150</v>
      </c>
      <c r="T59" s="42">
        <f t="shared" si="63"/>
        <v>197510.625</v>
      </c>
      <c r="U59" s="42">
        <f t="shared" si="64"/>
        <v>38490.870600000002</v>
      </c>
      <c r="V59" s="42">
        <f t="shared" si="65"/>
        <v>252813.6</v>
      </c>
      <c r="W59" s="42">
        <f t="shared" si="21"/>
        <v>1625965.0956000001</v>
      </c>
      <c r="X59" s="42">
        <v>19</v>
      </c>
      <c r="Y59" s="42">
        <f t="shared" si="46"/>
        <v>1137150</v>
      </c>
      <c r="Z59" s="42">
        <f t="shared" si="66"/>
        <v>197510.625</v>
      </c>
      <c r="AA59" s="42">
        <f t="shared" si="67"/>
        <v>38490.870600000002</v>
      </c>
      <c r="AB59" s="42">
        <f t="shared" si="68"/>
        <v>252813.6</v>
      </c>
      <c r="AC59" s="42">
        <f t="shared" si="23"/>
        <v>1625965.0956000001</v>
      </c>
      <c r="AD59" s="42">
        <v>19</v>
      </c>
      <c r="AE59" s="42">
        <f t="shared" si="47"/>
        <v>1137150</v>
      </c>
      <c r="AF59" s="42">
        <f t="shared" si="69"/>
        <v>197510.625</v>
      </c>
      <c r="AG59" s="42">
        <f t="shared" si="70"/>
        <v>38490.870600000002</v>
      </c>
      <c r="AH59" s="42">
        <f t="shared" si="71"/>
        <v>252813.6</v>
      </c>
      <c r="AI59" s="42">
        <f t="shared" si="25"/>
        <v>1625965.0956000001</v>
      </c>
      <c r="AJ59" s="42">
        <v>9</v>
      </c>
      <c r="AK59" s="42">
        <f t="shared" si="48"/>
        <v>538650</v>
      </c>
      <c r="AL59" s="42">
        <f t="shared" si="49"/>
        <v>79004.25</v>
      </c>
      <c r="AM59" s="42">
        <f t="shared" si="50"/>
        <v>15396.348240000003</v>
      </c>
      <c r="AN59" s="42">
        <f t="shared" si="51"/>
        <v>101125.44</v>
      </c>
      <c r="AO59" s="42">
        <f t="shared" si="30"/>
        <v>734176.03823999991</v>
      </c>
      <c r="AP59" s="42">
        <v>0</v>
      </c>
      <c r="AQ59" s="42">
        <f t="shared" si="56"/>
        <v>0</v>
      </c>
      <c r="AR59" s="42">
        <f t="shared" si="53"/>
        <v>65836.875</v>
      </c>
      <c r="AS59" s="42">
        <f t="shared" si="54"/>
        <v>12830.290200000001</v>
      </c>
      <c r="AT59" s="42">
        <f t="shared" si="55"/>
        <v>84271.200000000012</v>
      </c>
      <c r="AU59" s="42">
        <f t="shared" si="35"/>
        <v>162938.3652</v>
      </c>
      <c r="AV59" s="45"/>
      <c r="AW59" s="45"/>
      <c r="AX59" s="45"/>
      <c r="AY59" s="45"/>
      <c r="AZ59" s="45"/>
      <c r="BA59" s="45"/>
      <c r="BB59" s="45"/>
      <c r="BC59" s="45"/>
      <c r="BD59" s="45"/>
      <c r="BE59" s="45"/>
      <c r="BF59" s="45"/>
      <c r="BG59" s="45"/>
      <c r="BH59" s="45"/>
      <c r="BI59" s="45"/>
      <c r="BJ59" s="45"/>
      <c r="BK59" s="45"/>
      <c r="BL59" s="45"/>
      <c r="BM59" s="45"/>
      <c r="BN59" s="45"/>
      <c r="BO59" s="45"/>
      <c r="BP59" s="45"/>
      <c r="BQ59" s="45"/>
      <c r="BR59" s="45"/>
    </row>
    <row r="60" spans="1:70" s="92" customFormat="1" x14ac:dyDescent="0.25">
      <c r="A60" s="88" t="s">
        <v>85</v>
      </c>
      <c r="B60" s="89">
        <v>1</v>
      </c>
      <c r="C60" s="89">
        <v>11</v>
      </c>
      <c r="D60" s="89">
        <v>0</v>
      </c>
      <c r="E60" s="89">
        <f t="shared" si="9"/>
        <v>11</v>
      </c>
      <c r="F60" s="89">
        <v>10</v>
      </c>
      <c r="G60" s="90">
        <f t="shared" si="43"/>
        <v>598500</v>
      </c>
      <c r="H60" s="90">
        <f t="shared" si="57"/>
        <v>85587.9375</v>
      </c>
      <c r="I60" s="90">
        <f t="shared" si="58"/>
        <v>16679.377260000001</v>
      </c>
      <c r="J60" s="90">
        <f t="shared" si="59"/>
        <v>109552.56000000001</v>
      </c>
      <c r="K60" s="90">
        <f t="shared" si="42"/>
        <v>810319.87476000004</v>
      </c>
      <c r="L60" s="90">
        <v>20</v>
      </c>
      <c r="M60" s="90">
        <f t="shared" si="44"/>
        <v>1197000</v>
      </c>
      <c r="N60" s="90">
        <f t="shared" si="60"/>
        <v>197510.625</v>
      </c>
      <c r="O60" s="90">
        <f t="shared" si="61"/>
        <v>38490.870600000002</v>
      </c>
      <c r="P60" s="90">
        <f t="shared" si="62"/>
        <v>252813.6</v>
      </c>
      <c r="Q60" s="90">
        <f t="shared" si="16"/>
        <v>1685815.0956000001</v>
      </c>
      <c r="R60" s="90">
        <v>19</v>
      </c>
      <c r="S60" s="90">
        <f t="shared" si="45"/>
        <v>1137150</v>
      </c>
      <c r="T60" s="90">
        <f t="shared" si="63"/>
        <v>197510.625</v>
      </c>
      <c r="U60" s="90">
        <f t="shared" si="64"/>
        <v>38490.870600000002</v>
      </c>
      <c r="V60" s="90">
        <f t="shared" si="65"/>
        <v>252813.6</v>
      </c>
      <c r="W60" s="90">
        <f t="shared" si="21"/>
        <v>1625965.0956000001</v>
      </c>
      <c r="X60" s="90">
        <v>19</v>
      </c>
      <c r="Y60" s="90">
        <f>$C$5*X60</f>
        <v>1137150</v>
      </c>
      <c r="Z60" s="90">
        <f t="shared" si="66"/>
        <v>197510.625</v>
      </c>
      <c r="AA60" s="90">
        <f t="shared" si="67"/>
        <v>38490.870600000002</v>
      </c>
      <c r="AB60" s="90">
        <f t="shared" si="68"/>
        <v>252813.6</v>
      </c>
      <c r="AC60" s="90">
        <f t="shared" si="23"/>
        <v>1625965.0956000001</v>
      </c>
      <c r="AD60" s="90">
        <v>19</v>
      </c>
      <c r="AE60" s="90">
        <f t="shared" si="47"/>
        <v>1137150</v>
      </c>
      <c r="AF60" s="90">
        <f t="shared" si="69"/>
        <v>197510.625</v>
      </c>
      <c r="AG60" s="90">
        <f t="shared" si="70"/>
        <v>38490.870600000002</v>
      </c>
      <c r="AH60" s="90">
        <f t="shared" si="71"/>
        <v>252813.6</v>
      </c>
      <c r="AI60" s="90">
        <f t="shared" si="25"/>
        <v>1625965.0956000001</v>
      </c>
      <c r="AJ60" s="90">
        <v>9</v>
      </c>
      <c r="AK60" s="90">
        <f t="shared" si="48"/>
        <v>538650</v>
      </c>
      <c r="AL60" s="90">
        <f t="shared" si="49"/>
        <v>79004.25</v>
      </c>
      <c r="AM60" s="90">
        <f t="shared" si="50"/>
        <v>15396.348240000003</v>
      </c>
      <c r="AN60" s="90">
        <f t="shared" si="51"/>
        <v>101125.44</v>
      </c>
      <c r="AO60" s="90">
        <f t="shared" si="30"/>
        <v>734176.03823999991</v>
      </c>
      <c r="AP60" s="90">
        <v>0</v>
      </c>
      <c r="AQ60" s="90">
        <f t="shared" si="56"/>
        <v>0</v>
      </c>
      <c r="AR60" s="90">
        <f t="shared" si="53"/>
        <v>65836.875</v>
      </c>
      <c r="AS60" s="90">
        <f t="shared" si="54"/>
        <v>12830.290200000001</v>
      </c>
      <c r="AT60" s="90">
        <f t="shared" si="55"/>
        <v>84271.200000000012</v>
      </c>
      <c r="AU60" s="90">
        <f t="shared" si="35"/>
        <v>162938.3652</v>
      </c>
      <c r="AV60" s="91"/>
      <c r="AW60" s="91"/>
      <c r="AX60" s="91"/>
      <c r="AY60" s="91"/>
      <c r="AZ60" s="91"/>
      <c r="BA60" s="91"/>
      <c r="BB60" s="91"/>
      <c r="BC60" s="91"/>
      <c r="BD60" s="91"/>
      <c r="BE60" s="91"/>
      <c r="BF60" s="91"/>
      <c r="BG60" s="91"/>
      <c r="BH60" s="91"/>
      <c r="BI60" s="91"/>
      <c r="BJ60" s="91"/>
      <c r="BK60" s="91"/>
      <c r="BL60" s="91"/>
      <c r="BM60" s="91"/>
      <c r="BN60" s="91"/>
      <c r="BO60" s="91"/>
      <c r="BP60" s="91"/>
      <c r="BQ60" s="91"/>
      <c r="BR60" s="91"/>
    </row>
    <row r="61" spans="1:70" s="34" customFormat="1" x14ac:dyDescent="0.25">
      <c r="A61" s="32" t="s">
        <v>89</v>
      </c>
      <c r="B61" s="33">
        <v>1</v>
      </c>
      <c r="C61" s="33">
        <v>34</v>
      </c>
      <c r="D61" s="33">
        <v>0</v>
      </c>
      <c r="E61" s="33">
        <f t="shared" si="9"/>
        <v>34</v>
      </c>
      <c r="F61" s="33">
        <v>10</v>
      </c>
      <c r="G61" s="42">
        <f t="shared" si="43"/>
        <v>598500</v>
      </c>
      <c r="H61" s="42">
        <f t="shared" si="57"/>
        <v>85587.9375</v>
      </c>
      <c r="I61" s="42">
        <f t="shared" si="58"/>
        <v>16679.377260000001</v>
      </c>
      <c r="J61" s="42">
        <f t="shared" si="59"/>
        <v>109552.56000000001</v>
      </c>
      <c r="K61" s="42">
        <f t="shared" si="42"/>
        <v>810319.87476000004</v>
      </c>
      <c r="L61" s="42">
        <v>20</v>
      </c>
      <c r="M61" s="42">
        <f t="shared" si="44"/>
        <v>1197000</v>
      </c>
      <c r="N61" s="42">
        <f t="shared" si="60"/>
        <v>197510.625</v>
      </c>
      <c r="O61" s="42">
        <f t="shared" si="61"/>
        <v>38490.870600000002</v>
      </c>
      <c r="P61" s="42">
        <f t="shared" si="62"/>
        <v>252813.6</v>
      </c>
      <c r="Q61" s="42">
        <f t="shared" si="16"/>
        <v>1685815.0956000001</v>
      </c>
      <c r="R61" s="42">
        <v>19</v>
      </c>
      <c r="S61" s="42">
        <f t="shared" si="45"/>
        <v>1137150</v>
      </c>
      <c r="T61" s="42">
        <f t="shared" si="63"/>
        <v>197510.625</v>
      </c>
      <c r="U61" s="42">
        <f t="shared" si="64"/>
        <v>38490.870600000002</v>
      </c>
      <c r="V61" s="42">
        <f t="shared" si="65"/>
        <v>252813.6</v>
      </c>
      <c r="W61" s="42">
        <f t="shared" si="21"/>
        <v>1625965.0956000001</v>
      </c>
      <c r="X61" s="42">
        <v>19</v>
      </c>
      <c r="Y61" s="42">
        <f t="shared" si="46"/>
        <v>1137150</v>
      </c>
      <c r="Z61" s="42">
        <f t="shared" si="66"/>
        <v>197510.625</v>
      </c>
      <c r="AA61" s="42">
        <f t="shared" si="67"/>
        <v>38490.870600000002</v>
      </c>
      <c r="AB61" s="42">
        <f t="shared" si="68"/>
        <v>252813.6</v>
      </c>
      <c r="AC61" s="42">
        <f t="shared" si="23"/>
        <v>1625965.0956000001</v>
      </c>
      <c r="AD61" s="42">
        <v>19</v>
      </c>
      <c r="AE61" s="42">
        <f t="shared" si="47"/>
        <v>1137150</v>
      </c>
      <c r="AF61" s="42">
        <f t="shared" si="69"/>
        <v>197510.625</v>
      </c>
      <c r="AG61" s="42">
        <f t="shared" si="70"/>
        <v>38490.870600000002</v>
      </c>
      <c r="AH61" s="42">
        <f t="shared" si="71"/>
        <v>252813.6</v>
      </c>
      <c r="AI61" s="42">
        <f t="shared" si="25"/>
        <v>1625965.0956000001</v>
      </c>
      <c r="AJ61" s="42">
        <v>9</v>
      </c>
      <c r="AK61" s="42">
        <f t="shared" si="48"/>
        <v>538650</v>
      </c>
      <c r="AL61" s="42">
        <f t="shared" si="49"/>
        <v>79004.25</v>
      </c>
      <c r="AM61" s="42">
        <f t="shared" si="50"/>
        <v>15396.348240000003</v>
      </c>
      <c r="AN61" s="42">
        <f t="shared" si="51"/>
        <v>101125.44</v>
      </c>
      <c r="AO61" s="42">
        <f t="shared" si="30"/>
        <v>734176.03823999991</v>
      </c>
      <c r="AP61" s="42">
        <v>0</v>
      </c>
      <c r="AQ61" s="42">
        <f t="shared" si="56"/>
        <v>0</v>
      </c>
      <c r="AR61" s="42">
        <f t="shared" si="53"/>
        <v>65836.875</v>
      </c>
      <c r="AS61" s="42">
        <f t="shared" si="54"/>
        <v>12830.290200000001</v>
      </c>
      <c r="AT61" s="42">
        <f t="shared" si="55"/>
        <v>84271.200000000012</v>
      </c>
      <c r="AU61" s="42">
        <f t="shared" si="35"/>
        <v>162938.3652</v>
      </c>
      <c r="AV61" s="45"/>
      <c r="AW61" s="45"/>
      <c r="AX61" s="45"/>
      <c r="AY61" s="45"/>
      <c r="AZ61" s="45"/>
      <c r="BA61" s="45"/>
      <c r="BB61" s="45"/>
      <c r="BC61" s="45"/>
      <c r="BD61" s="45"/>
      <c r="BE61" s="45"/>
      <c r="BF61" s="45"/>
      <c r="BG61" s="45"/>
      <c r="BH61" s="45"/>
      <c r="BI61" s="45"/>
      <c r="BJ61" s="45"/>
      <c r="BK61" s="45"/>
      <c r="BL61" s="45"/>
      <c r="BM61" s="45"/>
      <c r="BN61" s="45"/>
      <c r="BO61" s="45"/>
      <c r="BP61" s="45"/>
      <c r="BQ61" s="45"/>
      <c r="BR61" s="45"/>
    </row>
    <row r="62" spans="1:70" s="34" customFormat="1" x14ac:dyDescent="0.25">
      <c r="A62" s="32" t="s">
        <v>92</v>
      </c>
      <c r="B62" s="33">
        <v>1</v>
      </c>
      <c r="C62" s="33">
        <v>25</v>
      </c>
      <c r="D62" s="33">
        <v>0</v>
      </c>
      <c r="E62" s="33">
        <f t="shared" si="9"/>
        <v>25</v>
      </c>
      <c r="F62" s="33">
        <v>10</v>
      </c>
      <c r="G62" s="42">
        <f t="shared" si="43"/>
        <v>598500</v>
      </c>
      <c r="H62" s="42">
        <f t="shared" si="57"/>
        <v>85587.9375</v>
      </c>
      <c r="I62" s="42">
        <f t="shared" si="58"/>
        <v>16679.377260000001</v>
      </c>
      <c r="J62" s="42">
        <f t="shared" si="59"/>
        <v>109552.56000000001</v>
      </c>
      <c r="K62" s="42">
        <f t="shared" si="42"/>
        <v>810319.87476000004</v>
      </c>
      <c r="L62" s="42">
        <v>20</v>
      </c>
      <c r="M62" s="42">
        <f t="shared" si="44"/>
        <v>1197000</v>
      </c>
      <c r="N62" s="42">
        <f t="shared" si="60"/>
        <v>197510.625</v>
      </c>
      <c r="O62" s="42">
        <f t="shared" si="61"/>
        <v>38490.870600000002</v>
      </c>
      <c r="P62" s="42">
        <f t="shared" si="62"/>
        <v>252813.6</v>
      </c>
      <c r="Q62" s="42">
        <f t="shared" si="16"/>
        <v>1685815.0956000001</v>
      </c>
      <c r="R62" s="42">
        <v>19</v>
      </c>
      <c r="S62" s="42">
        <f t="shared" si="45"/>
        <v>1137150</v>
      </c>
      <c r="T62" s="42">
        <f t="shared" si="63"/>
        <v>197510.625</v>
      </c>
      <c r="U62" s="42">
        <f t="shared" si="64"/>
        <v>38490.870600000002</v>
      </c>
      <c r="V62" s="42">
        <f t="shared" si="65"/>
        <v>252813.6</v>
      </c>
      <c r="W62" s="42">
        <f t="shared" si="21"/>
        <v>1625965.0956000001</v>
      </c>
      <c r="X62" s="42">
        <v>19</v>
      </c>
      <c r="Y62" s="42">
        <f t="shared" si="46"/>
        <v>1137150</v>
      </c>
      <c r="Z62" s="42">
        <f t="shared" si="66"/>
        <v>197510.625</v>
      </c>
      <c r="AA62" s="42">
        <f t="shared" si="67"/>
        <v>38490.870600000002</v>
      </c>
      <c r="AB62" s="42">
        <f t="shared" si="68"/>
        <v>252813.6</v>
      </c>
      <c r="AC62" s="42">
        <f t="shared" si="23"/>
        <v>1625965.0956000001</v>
      </c>
      <c r="AD62" s="42">
        <v>19</v>
      </c>
      <c r="AE62" s="42">
        <f t="shared" si="47"/>
        <v>1137150</v>
      </c>
      <c r="AF62" s="42">
        <f t="shared" si="69"/>
        <v>197510.625</v>
      </c>
      <c r="AG62" s="42">
        <f t="shared" si="70"/>
        <v>38490.870600000002</v>
      </c>
      <c r="AH62" s="42">
        <f t="shared" si="71"/>
        <v>252813.6</v>
      </c>
      <c r="AI62" s="42">
        <f t="shared" si="25"/>
        <v>1625965.0956000001</v>
      </c>
      <c r="AJ62" s="42">
        <v>9</v>
      </c>
      <c r="AK62" s="42">
        <f t="shared" si="48"/>
        <v>538650</v>
      </c>
      <c r="AL62" s="42">
        <f t="shared" si="49"/>
        <v>79004.25</v>
      </c>
      <c r="AM62" s="42">
        <f t="shared" si="50"/>
        <v>15396.348240000003</v>
      </c>
      <c r="AN62" s="42">
        <f t="shared" si="51"/>
        <v>101125.44</v>
      </c>
      <c r="AO62" s="42">
        <f t="shared" si="30"/>
        <v>734176.03823999991</v>
      </c>
      <c r="AP62" s="42">
        <v>0</v>
      </c>
      <c r="AQ62" s="42">
        <f t="shared" si="56"/>
        <v>0</v>
      </c>
      <c r="AR62" s="42">
        <f t="shared" si="53"/>
        <v>65836.875</v>
      </c>
      <c r="AS62" s="42">
        <f t="shared" si="54"/>
        <v>12830.290200000001</v>
      </c>
      <c r="AT62" s="42">
        <f t="shared" si="55"/>
        <v>84271.200000000012</v>
      </c>
      <c r="AU62" s="42">
        <f t="shared" si="35"/>
        <v>162938.3652</v>
      </c>
      <c r="AV62" s="45"/>
      <c r="AW62" s="45"/>
      <c r="AX62" s="45"/>
      <c r="AY62" s="45"/>
      <c r="AZ62" s="45"/>
      <c r="BA62" s="45"/>
      <c r="BB62" s="45"/>
      <c r="BC62" s="45"/>
      <c r="BD62" s="45"/>
      <c r="BE62" s="45"/>
      <c r="BF62" s="45"/>
      <c r="BG62" s="45"/>
      <c r="BH62" s="45"/>
      <c r="BI62" s="45"/>
      <c r="BJ62" s="45"/>
      <c r="BK62" s="45"/>
      <c r="BL62" s="45"/>
      <c r="BM62" s="45"/>
      <c r="BN62" s="45"/>
      <c r="BO62" s="45"/>
      <c r="BP62" s="45"/>
      <c r="BQ62" s="45"/>
      <c r="BR62" s="45"/>
    </row>
    <row r="63" spans="1:70" s="34" customFormat="1" x14ac:dyDescent="0.25">
      <c r="A63" s="32" t="s">
        <v>93</v>
      </c>
      <c r="B63" s="33">
        <v>1</v>
      </c>
      <c r="C63" s="33">
        <v>24</v>
      </c>
      <c r="D63" s="33">
        <v>0</v>
      </c>
      <c r="E63" s="33">
        <f t="shared" si="9"/>
        <v>24</v>
      </c>
      <c r="F63" s="33">
        <v>10</v>
      </c>
      <c r="G63" s="42">
        <f t="shared" si="43"/>
        <v>598500</v>
      </c>
      <c r="H63" s="42">
        <f t="shared" si="57"/>
        <v>85587.9375</v>
      </c>
      <c r="I63" s="42">
        <f t="shared" si="58"/>
        <v>16679.377260000001</v>
      </c>
      <c r="J63" s="42">
        <f t="shared" si="59"/>
        <v>109552.56000000001</v>
      </c>
      <c r="K63" s="42">
        <f t="shared" si="42"/>
        <v>810319.87476000004</v>
      </c>
      <c r="L63" s="42">
        <v>20</v>
      </c>
      <c r="M63" s="42">
        <f t="shared" si="44"/>
        <v>1197000</v>
      </c>
      <c r="N63" s="42">
        <f t="shared" si="60"/>
        <v>197510.625</v>
      </c>
      <c r="O63" s="42">
        <f t="shared" si="61"/>
        <v>38490.870600000002</v>
      </c>
      <c r="P63" s="42">
        <f t="shared" si="62"/>
        <v>252813.6</v>
      </c>
      <c r="Q63" s="42">
        <f t="shared" si="16"/>
        <v>1685815.0956000001</v>
      </c>
      <c r="R63" s="42">
        <v>19</v>
      </c>
      <c r="S63" s="42">
        <f t="shared" si="45"/>
        <v>1137150</v>
      </c>
      <c r="T63" s="42">
        <f t="shared" si="63"/>
        <v>197510.625</v>
      </c>
      <c r="U63" s="42">
        <f t="shared" si="64"/>
        <v>38490.870600000002</v>
      </c>
      <c r="V63" s="42">
        <f t="shared" si="65"/>
        <v>252813.6</v>
      </c>
      <c r="W63" s="42">
        <f t="shared" si="21"/>
        <v>1625965.0956000001</v>
      </c>
      <c r="X63" s="42">
        <v>19</v>
      </c>
      <c r="Y63" s="42">
        <f t="shared" si="46"/>
        <v>1137150</v>
      </c>
      <c r="Z63" s="42">
        <f t="shared" si="66"/>
        <v>197510.625</v>
      </c>
      <c r="AA63" s="42">
        <f t="shared" si="67"/>
        <v>38490.870600000002</v>
      </c>
      <c r="AB63" s="42">
        <f t="shared" si="68"/>
        <v>252813.6</v>
      </c>
      <c r="AC63" s="42">
        <f t="shared" si="23"/>
        <v>1625965.0956000001</v>
      </c>
      <c r="AD63" s="42">
        <v>19</v>
      </c>
      <c r="AE63" s="42">
        <f t="shared" si="47"/>
        <v>1137150</v>
      </c>
      <c r="AF63" s="42">
        <f t="shared" si="69"/>
        <v>197510.625</v>
      </c>
      <c r="AG63" s="42">
        <f t="shared" si="70"/>
        <v>38490.870600000002</v>
      </c>
      <c r="AH63" s="42">
        <f t="shared" si="71"/>
        <v>252813.6</v>
      </c>
      <c r="AI63" s="42">
        <f t="shared" si="25"/>
        <v>1625965.0956000001</v>
      </c>
      <c r="AJ63" s="42">
        <v>9</v>
      </c>
      <c r="AK63" s="42">
        <f t="shared" si="48"/>
        <v>538650</v>
      </c>
      <c r="AL63" s="42">
        <f t="shared" si="49"/>
        <v>79004.25</v>
      </c>
      <c r="AM63" s="42">
        <f t="shared" si="50"/>
        <v>15396.348240000003</v>
      </c>
      <c r="AN63" s="42">
        <f t="shared" si="51"/>
        <v>101125.44</v>
      </c>
      <c r="AO63" s="42">
        <f>SUM(AK63:AN63)*B63</f>
        <v>734176.03823999991</v>
      </c>
      <c r="AP63" s="42">
        <v>0</v>
      </c>
      <c r="AQ63" s="42">
        <f t="shared" si="56"/>
        <v>0</v>
      </c>
      <c r="AR63" s="42">
        <f t="shared" si="53"/>
        <v>65836.875</v>
      </c>
      <c r="AS63" s="42">
        <f t="shared" si="54"/>
        <v>12830.290200000001</v>
      </c>
      <c r="AT63" s="42">
        <f t="shared" si="55"/>
        <v>84271.200000000012</v>
      </c>
      <c r="AU63" s="42">
        <f t="shared" si="35"/>
        <v>162938.3652</v>
      </c>
      <c r="AV63" s="45"/>
      <c r="AW63" s="45"/>
      <c r="AX63" s="45"/>
      <c r="AY63" s="45"/>
      <c r="AZ63" s="45"/>
      <c r="BA63" s="45"/>
      <c r="BB63" s="45"/>
      <c r="BC63" s="45"/>
      <c r="BD63" s="45"/>
      <c r="BE63" s="45"/>
      <c r="BF63" s="45"/>
      <c r="BG63" s="45"/>
      <c r="BH63" s="45"/>
      <c r="BI63" s="45"/>
      <c r="BJ63" s="45"/>
      <c r="BK63" s="45"/>
      <c r="BL63" s="45"/>
      <c r="BM63" s="45"/>
      <c r="BN63" s="45"/>
      <c r="BO63" s="45"/>
      <c r="BP63" s="45"/>
      <c r="BQ63" s="45"/>
      <c r="BR63" s="45"/>
    </row>
    <row r="64" spans="1:70" s="34" customFormat="1" x14ac:dyDescent="0.25">
      <c r="A64" s="32" t="s">
        <v>96</v>
      </c>
      <c r="B64" s="33">
        <v>1</v>
      </c>
      <c r="C64" s="33">
        <v>18</v>
      </c>
      <c r="D64" s="33">
        <v>18</v>
      </c>
      <c r="E64" s="33">
        <f t="shared" si="9"/>
        <v>36</v>
      </c>
      <c r="F64" s="33">
        <v>10</v>
      </c>
      <c r="G64" s="42">
        <f t="shared" si="43"/>
        <v>598500</v>
      </c>
      <c r="H64" s="42">
        <f t="shared" si="57"/>
        <v>85587.9375</v>
      </c>
      <c r="I64" s="42">
        <f t="shared" si="58"/>
        <v>16679.377260000001</v>
      </c>
      <c r="J64" s="42">
        <f t="shared" si="59"/>
        <v>109552.56000000001</v>
      </c>
      <c r="K64" s="42">
        <f t="shared" si="42"/>
        <v>810319.87476000004</v>
      </c>
      <c r="L64" s="42">
        <v>20</v>
      </c>
      <c r="M64" s="42">
        <f t="shared" si="44"/>
        <v>1197000</v>
      </c>
      <c r="N64" s="42">
        <f t="shared" si="60"/>
        <v>197510.625</v>
      </c>
      <c r="O64" s="42">
        <f t="shared" si="61"/>
        <v>38490.870600000002</v>
      </c>
      <c r="P64" s="42">
        <f t="shared" si="62"/>
        <v>252813.6</v>
      </c>
      <c r="Q64" s="42">
        <f t="shared" si="16"/>
        <v>1685815.0956000001</v>
      </c>
      <c r="R64" s="42">
        <v>19</v>
      </c>
      <c r="S64" s="42">
        <f t="shared" si="45"/>
        <v>1137150</v>
      </c>
      <c r="T64" s="42">
        <f t="shared" si="63"/>
        <v>197510.625</v>
      </c>
      <c r="U64" s="42">
        <f t="shared" si="64"/>
        <v>38490.870600000002</v>
      </c>
      <c r="V64" s="42">
        <f t="shared" si="65"/>
        <v>252813.6</v>
      </c>
      <c r="W64" s="42">
        <f t="shared" si="21"/>
        <v>1625965.0956000001</v>
      </c>
      <c r="X64" s="42">
        <v>19</v>
      </c>
      <c r="Y64" s="42">
        <f t="shared" si="46"/>
        <v>1137150</v>
      </c>
      <c r="Z64" s="42">
        <f t="shared" si="66"/>
        <v>197510.625</v>
      </c>
      <c r="AA64" s="42">
        <f t="shared" si="67"/>
        <v>38490.870600000002</v>
      </c>
      <c r="AB64" s="42">
        <f t="shared" si="68"/>
        <v>252813.6</v>
      </c>
      <c r="AC64" s="42">
        <f t="shared" si="23"/>
        <v>1625965.0956000001</v>
      </c>
      <c r="AD64" s="42">
        <v>19</v>
      </c>
      <c r="AE64" s="42">
        <f t="shared" si="47"/>
        <v>1137150</v>
      </c>
      <c r="AF64" s="42">
        <f t="shared" si="69"/>
        <v>197510.625</v>
      </c>
      <c r="AG64" s="42">
        <f t="shared" si="70"/>
        <v>38490.870600000002</v>
      </c>
      <c r="AH64" s="42">
        <f t="shared" si="71"/>
        <v>252813.6</v>
      </c>
      <c r="AI64" s="42">
        <f t="shared" si="25"/>
        <v>1625965.0956000001</v>
      </c>
      <c r="AJ64" s="42">
        <v>9</v>
      </c>
      <c r="AK64" s="42">
        <f t="shared" si="48"/>
        <v>538650</v>
      </c>
      <c r="AL64" s="42">
        <f t="shared" si="49"/>
        <v>79004.25</v>
      </c>
      <c r="AM64" s="42">
        <f t="shared" si="50"/>
        <v>15396.348240000003</v>
      </c>
      <c r="AN64" s="42">
        <f t="shared" si="51"/>
        <v>101125.44</v>
      </c>
      <c r="AO64" s="42">
        <f t="shared" si="30"/>
        <v>734176.03823999991</v>
      </c>
      <c r="AP64" s="42">
        <v>0</v>
      </c>
      <c r="AQ64" s="42">
        <f t="shared" si="56"/>
        <v>0</v>
      </c>
      <c r="AR64" s="42">
        <f t="shared" si="53"/>
        <v>65836.875</v>
      </c>
      <c r="AS64" s="42">
        <f t="shared" si="54"/>
        <v>12830.290200000001</v>
      </c>
      <c r="AT64" s="42">
        <f t="shared" si="55"/>
        <v>84271.200000000012</v>
      </c>
      <c r="AU64" s="42">
        <f t="shared" si="35"/>
        <v>162938.3652</v>
      </c>
      <c r="AV64" s="45"/>
      <c r="AW64" s="45"/>
      <c r="AX64" s="45"/>
      <c r="AY64" s="45"/>
      <c r="AZ64" s="45"/>
      <c r="BA64" s="45"/>
      <c r="BB64" s="45"/>
      <c r="BC64" s="45"/>
      <c r="BD64" s="45"/>
      <c r="BE64" s="45"/>
      <c r="BF64" s="45"/>
      <c r="BG64" s="45"/>
      <c r="BH64" s="45"/>
      <c r="BI64" s="45"/>
      <c r="BJ64" s="45"/>
      <c r="BK64" s="45"/>
      <c r="BL64" s="45"/>
      <c r="BM64" s="45"/>
      <c r="BN64" s="45"/>
      <c r="BO64" s="45"/>
      <c r="BP64" s="45"/>
      <c r="BQ64" s="45"/>
      <c r="BR64" s="45"/>
    </row>
    <row r="65" spans="1:70" s="92" customFormat="1" x14ac:dyDescent="0.25">
      <c r="A65" s="88" t="s">
        <v>97</v>
      </c>
      <c r="B65" s="89">
        <v>1</v>
      </c>
      <c r="C65" s="89">
        <v>15</v>
      </c>
      <c r="D65" s="89">
        <v>0</v>
      </c>
      <c r="E65" s="89">
        <f t="shared" si="9"/>
        <v>15</v>
      </c>
      <c r="F65" s="89">
        <v>10</v>
      </c>
      <c r="G65" s="90">
        <f t="shared" si="43"/>
        <v>598500</v>
      </c>
      <c r="H65" s="90">
        <f t="shared" si="57"/>
        <v>85587.9375</v>
      </c>
      <c r="I65" s="90">
        <f t="shared" si="58"/>
        <v>16679.377260000001</v>
      </c>
      <c r="J65" s="90">
        <f t="shared" si="59"/>
        <v>109552.56000000001</v>
      </c>
      <c r="K65" s="90">
        <f t="shared" si="42"/>
        <v>810319.87476000004</v>
      </c>
      <c r="L65" s="90">
        <v>20</v>
      </c>
      <c r="M65" s="90">
        <f t="shared" si="44"/>
        <v>1197000</v>
      </c>
      <c r="N65" s="90">
        <f t="shared" si="60"/>
        <v>197510.625</v>
      </c>
      <c r="O65" s="90">
        <f t="shared" si="61"/>
        <v>38490.870600000002</v>
      </c>
      <c r="P65" s="90">
        <f t="shared" si="62"/>
        <v>252813.6</v>
      </c>
      <c r="Q65" s="90">
        <f t="shared" si="16"/>
        <v>1685815.0956000001</v>
      </c>
      <c r="R65" s="90">
        <v>19</v>
      </c>
      <c r="S65" s="90">
        <f>$C$5*R65</f>
        <v>1137150</v>
      </c>
      <c r="T65" s="90">
        <f t="shared" si="63"/>
        <v>197510.625</v>
      </c>
      <c r="U65" s="90">
        <f t="shared" si="64"/>
        <v>38490.870600000002</v>
      </c>
      <c r="V65" s="90">
        <f t="shared" si="65"/>
        <v>252813.6</v>
      </c>
      <c r="W65" s="90">
        <f t="shared" si="21"/>
        <v>1625965.0956000001</v>
      </c>
      <c r="X65" s="90">
        <v>19</v>
      </c>
      <c r="Y65" s="90">
        <f t="shared" si="46"/>
        <v>1137150</v>
      </c>
      <c r="Z65" s="90">
        <f t="shared" si="66"/>
        <v>197510.625</v>
      </c>
      <c r="AA65" s="90">
        <f t="shared" si="67"/>
        <v>38490.870600000002</v>
      </c>
      <c r="AB65" s="90">
        <f t="shared" si="68"/>
        <v>252813.6</v>
      </c>
      <c r="AC65" s="90">
        <f t="shared" si="23"/>
        <v>1625965.0956000001</v>
      </c>
      <c r="AD65" s="90">
        <v>19</v>
      </c>
      <c r="AE65" s="90">
        <f t="shared" si="47"/>
        <v>1137150</v>
      </c>
      <c r="AF65" s="90">
        <f t="shared" si="69"/>
        <v>197510.625</v>
      </c>
      <c r="AG65" s="90">
        <f t="shared" si="70"/>
        <v>38490.870600000002</v>
      </c>
      <c r="AH65" s="90">
        <f t="shared" si="71"/>
        <v>252813.6</v>
      </c>
      <c r="AI65" s="90">
        <f t="shared" si="25"/>
        <v>1625965.0956000001</v>
      </c>
      <c r="AJ65" s="90">
        <v>9</v>
      </c>
      <c r="AK65" s="90">
        <f t="shared" si="48"/>
        <v>538650</v>
      </c>
      <c r="AL65" s="90">
        <f t="shared" si="49"/>
        <v>79004.25</v>
      </c>
      <c r="AM65" s="90">
        <f t="shared" si="50"/>
        <v>15396.348240000003</v>
      </c>
      <c r="AN65" s="90">
        <f t="shared" si="51"/>
        <v>101125.44</v>
      </c>
      <c r="AO65" s="90">
        <f t="shared" si="30"/>
        <v>734176.03823999991</v>
      </c>
      <c r="AP65" s="90">
        <v>0</v>
      </c>
      <c r="AQ65" s="90">
        <f t="shared" si="56"/>
        <v>0</v>
      </c>
      <c r="AR65" s="90">
        <f t="shared" si="53"/>
        <v>65836.875</v>
      </c>
      <c r="AS65" s="90">
        <f t="shared" si="54"/>
        <v>12830.290200000001</v>
      </c>
      <c r="AT65" s="90">
        <f t="shared" si="55"/>
        <v>84271.200000000012</v>
      </c>
      <c r="AU65" s="90">
        <f t="shared" si="35"/>
        <v>162938.3652</v>
      </c>
      <c r="AV65" s="91"/>
      <c r="AW65" s="91"/>
      <c r="AX65" s="91"/>
      <c r="AY65" s="91"/>
      <c r="AZ65" s="91"/>
      <c r="BA65" s="91"/>
      <c r="BB65" s="91"/>
      <c r="BC65" s="91"/>
      <c r="BD65" s="91"/>
      <c r="BE65" s="91"/>
      <c r="BF65" s="91"/>
      <c r="BG65" s="91"/>
      <c r="BH65" s="91"/>
      <c r="BI65" s="91"/>
      <c r="BJ65" s="91"/>
      <c r="BK65" s="91"/>
      <c r="BL65" s="91"/>
      <c r="BM65" s="91"/>
      <c r="BN65" s="91"/>
      <c r="BO65" s="91"/>
      <c r="BP65" s="91"/>
      <c r="BQ65" s="91"/>
      <c r="BR65" s="91"/>
    </row>
    <row r="66" spans="1:70" s="34" customFormat="1" x14ac:dyDescent="0.25">
      <c r="A66" s="32" t="s">
        <v>98</v>
      </c>
      <c r="B66" s="33">
        <v>1</v>
      </c>
      <c r="C66" s="33">
        <v>24</v>
      </c>
      <c r="D66" s="33">
        <v>15</v>
      </c>
      <c r="E66" s="33">
        <f t="shared" si="9"/>
        <v>39</v>
      </c>
      <c r="F66" s="33">
        <v>10</v>
      </c>
      <c r="G66" s="42">
        <f t="shared" si="43"/>
        <v>598500</v>
      </c>
      <c r="H66" s="42">
        <f t="shared" si="57"/>
        <v>85587.9375</v>
      </c>
      <c r="I66" s="42">
        <f t="shared" si="58"/>
        <v>16679.377260000001</v>
      </c>
      <c r="J66" s="42">
        <f t="shared" si="59"/>
        <v>109552.56000000001</v>
      </c>
      <c r="K66" s="42">
        <f t="shared" si="42"/>
        <v>810319.87476000004</v>
      </c>
      <c r="L66" s="42">
        <v>20</v>
      </c>
      <c r="M66" s="42">
        <f t="shared" si="44"/>
        <v>1197000</v>
      </c>
      <c r="N66" s="42">
        <f t="shared" si="60"/>
        <v>197510.625</v>
      </c>
      <c r="O66" s="42">
        <f t="shared" si="61"/>
        <v>38490.870600000002</v>
      </c>
      <c r="P66" s="42">
        <f t="shared" si="62"/>
        <v>252813.6</v>
      </c>
      <c r="Q66" s="42">
        <f t="shared" si="16"/>
        <v>1685815.0956000001</v>
      </c>
      <c r="R66" s="42">
        <v>19</v>
      </c>
      <c r="S66" s="42">
        <f t="shared" si="45"/>
        <v>1137150</v>
      </c>
      <c r="T66" s="42">
        <f t="shared" si="63"/>
        <v>197510.625</v>
      </c>
      <c r="U66" s="42">
        <f t="shared" si="64"/>
        <v>38490.870600000002</v>
      </c>
      <c r="V66" s="42">
        <f t="shared" si="65"/>
        <v>252813.6</v>
      </c>
      <c r="W66" s="42">
        <f t="shared" si="21"/>
        <v>1625965.0956000001</v>
      </c>
      <c r="X66" s="42">
        <v>19</v>
      </c>
      <c r="Y66" s="42">
        <f t="shared" si="46"/>
        <v>1137150</v>
      </c>
      <c r="Z66" s="42">
        <f t="shared" si="66"/>
        <v>197510.625</v>
      </c>
      <c r="AA66" s="42">
        <f t="shared" si="67"/>
        <v>38490.870600000002</v>
      </c>
      <c r="AB66" s="42">
        <f t="shared" si="68"/>
        <v>252813.6</v>
      </c>
      <c r="AC66" s="42">
        <f t="shared" si="23"/>
        <v>1625965.0956000001</v>
      </c>
      <c r="AD66" s="42">
        <v>19</v>
      </c>
      <c r="AE66" s="42">
        <f t="shared" si="47"/>
        <v>1137150</v>
      </c>
      <c r="AF66" s="42">
        <f t="shared" si="69"/>
        <v>197510.625</v>
      </c>
      <c r="AG66" s="42">
        <f t="shared" si="70"/>
        <v>38490.870600000002</v>
      </c>
      <c r="AH66" s="42">
        <f t="shared" si="71"/>
        <v>252813.6</v>
      </c>
      <c r="AI66" s="42">
        <f t="shared" si="25"/>
        <v>1625965.0956000001</v>
      </c>
      <c r="AJ66" s="42">
        <v>9</v>
      </c>
      <c r="AK66" s="42">
        <f t="shared" si="48"/>
        <v>538650</v>
      </c>
      <c r="AL66" s="42">
        <f t="shared" si="49"/>
        <v>79004.25</v>
      </c>
      <c r="AM66" s="42">
        <f t="shared" si="50"/>
        <v>15396.348240000003</v>
      </c>
      <c r="AN66" s="42">
        <f t="shared" si="51"/>
        <v>101125.44</v>
      </c>
      <c r="AO66" s="42">
        <f t="shared" si="30"/>
        <v>734176.03823999991</v>
      </c>
      <c r="AP66" s="42">
        <v>0</v>
      </c>
      <c r="AQ66" s="42">
        <f t="shared" si="56"/>
        <v>0</v>
      </c>
      <c r="AR66" s="42">
        <f t="shared" si="53"/>
        <v>65836.875</v>
      </c>
      <c r="AS66" s="42">
        <f t="shared" si="54"/>
        <v>12830.290200000001</v>
      </c>
      <c r="AT66" s="42">
        <f t="shared" si="55"/>
        <v>84271.200000000012</v>
      </c>
      <c r="AU66" s="42">
        <f t="shared" si="35"/>
        <v>162938.3652</v>
      </c>
      <c r="AV66" s="45"/>
      <c r="AW66" s="45"/>
      <c r="AX66" s="45"/>
      <c r="AY66" s="45"/>
      <c r="AZ66" s="45"/>
      <c r="BA66" s="45"/>
      <c r="BB66" s="45"/>
      <c r="BC66" s="45"/>
      <c r="BD66" s="45"/>
      <c r="BE66" s="45"/>
      <c r="BF66" s="45"/>
      <c r="BG66" s="45"/>
      <c r="BH66" s="45"/>
      <c r="BI66" s="45"/>
      <c r="BJ66" s="45"/>
      <c r="BK66" s="45"/>
      <c r="BL66" s="45"/>
      <c r="BM66" s="45"/>
      <c r="BN66" s="45"/>
      <c r="BO66" s="45"/>
      <c r="BP66" s="45"/>
      <c r="BQ66" s="45"/>
      <c r="BR66" s="45"/>
    </row>
    <row r="67" spans="1:70" s="34" customFormat="1" x14ac:dyDescent="0.25">
      <c r="A67" s="32" t="s">
        <v>99</v>
      </c>
      <c r="B67" s="33">
        <v>1</v>
      </c>
      <c r="C67" s="33">
        <v>12</v>
      </c>
      <c r="D67" s="33">
        <v>12</v>
      </c>
      <c r="E67" s="33">
        <f t="shared" si="9"/>
        <v>24</v>
      </c>
      <c r="F67" s="33">
        <v>10</v>
      </c>
      <c r="G67" s="42">
        <f t="shared" si="43"/>
        <v>598500</v>
      </c>
      <c r="H67" s="42">
        <f t="shared" si="57"/>
        <v>85587.9375</v>
      </c>
      <c r="I67" s="42">
        <f t="shared" si="58"/>
        <v>16679.377260000001</v>
      </c>
      <c r="J67" s="42">
        <f t="shared" si="59"/>
        <v>109552.56000000001</v>
      </c>
      <c r="K67" s="42">
        <f t="shared" si="42"/>
        <v>810319.87476000004</v>
      </c>
      <c r="L67" s="42">
        <v>20</v>
      </c>
      <c r="M67" s="42">
        <f t="shared" si="44"/>
        <v>1197000</v>
      </c>
      <c r="N67" s="42">
        <f t="shared" si="60"/>
        <v>197510.625</v>
      </c>
      <c r="O67" s="42">
        <f t="shared" si="61"/>
        <v>38490.870600000002</v>
      </c>
      <c r="P67" s="42">
        <f t="shared" si="62"/>
        <v>252813.6</v>
      </c>
      <c r="Q67" s="42">
        <f t="shared" si="16"/>
        <v>1685815.0956000001</v>
      </c>
      <c r="R67" s="42">
        <v>19</v>
      </c>
      <c r="S67" s="42">
        <f t="shared" si="45"/>
        <v>1137150</v>
      </c>
      <c r="T67" s="42">
        <f t="shared" si="63"/>
        <v>197510.625</v>
      </c>
      <c r="U67" s="42">
        <f t="shared" si="64"/>
        <v>38490.870600000002</v>
      </c>
      <c r="V67" s="42">
        <f t="shared" si="65"/>
        <v>252813.6</v>
      </c>
      <c r="W67" s="42">
        <f t="shared" si="21"/>
        <v>1625965.0956000001</v>
      </c>
      <c r="X67" s="42">
        <v>19</v>
      </c>
      <c r="Y67" s="42">
        <f t="shared" si="46"/>
        <v>1137150</v>
      </c>
      <c r="Z67" s="42">
        <f t="shared" si="66"/>
        <v>197510.625</v>
      </c>
      <c r="AA67" s="42">
        <f t="shared" si="67"/>
        <v>38490.870600000002</v>
      </c>
      <c r="AB67" s="42">
        <f t="shared" si="68"/>
        <v>252813.6</v>
      </c>
      <c r="AC67" s="42">
        <f t="shared" si="23"/>
        <v>1625965.0956000001</v>
      </c>
      <c r="AD67" s="42">
        <v>19</v>
      </c>
      <c r="AE67" s="42">
        <f t="shared" si="47"/>
        <v>1137150</v>
      </c>
      <c r="AF67" s="42">
        <f t="shared" si="69"/>
        <v>197510.625</v>
      </c>
      <c r="AG67" s="42">
        <f t="shared" si="70"/>
        <v>38490.870600000002</v>
      </c>
      <c r="AH67" s="42">
        <f t="shared" si="71"/>
        <v>252813.6</v>
      </c>
      <c r="AI67" s="42">
        <f t="shared" si="25"/>
        <v>1625965.0956000001</v>
      </c>
      <c r="AJ67" s="42">
        <v>9</v>
      </c>
      <c r="AK67" s="42">
        <f t="shared" si="48"/>
        <v>538650</v>
      </c>
      <c r="AL67" s="42">
        <f t="shared" si="49"/>
        <v>79004.25</v>
      </c>
      <c r="AM67" s="42">
        <f t="shared" si="50"/>
        <v>15396.348240000003</v>
      </c>
      <c r="AN67" s="42">
        <f t="shared" si="51"/>
        <v>101125.44</v>
      </c>
      <c r="AO67" s="42">
        <f t="shared" si="30"/>
        <v>734176.03823999991</v>
      </c>
      <c r="AP67" s="42">
        <v>0</v>
      </c>
      <c r="AQ67" s="42">
        <f t="shared" si="56"/>
        <v>0</v>
      </c>
      <c r="AR67" s="42">
        <f t="shared" si="53"/>
        <v>65836.875</v>
      </c>
      <c r="AS67" s="42">
        <f t="shared" si="54"/>
        <v>12830.290200000001</v>
      </c>
      <c r="AT67" s="42">
        <f t="shared" si="55"/>
        <v>84271.200000000012</v>
      </c>
      <c r="AU67" s="42">
        <f t="shared" si="35"/>
        <v>162938.3652</v>
      </c>
      <c r="AV67" s="45"/>
      <c r="AW67" s="45"/>
      <c r="AX67" s="45"/>
      <c r="AY67" s="45"/>
      <c r="AZ67" s="45"/>
      <c r="BA67" s="45"/>
      <c r="BB67" s="45"/>
      <c r="BC67" s="45"/>
      <c r="BD67" s="45"/>
      <c r="BE67" s="45"/>
      <c r="BF67" s="45"/>
      <c r="BG67" s="45"/>
      <c r="BH67" s="45"/>
      <c r="BI67" s="45"/>
      <c r="BJ67" s="45"/>
      <c r="BK67" s="45"/>
      <c r="BL67" s="45"/>
      <c r="BM67" s="45"/>
      <c r="BN67" s="45"/>
      <c r="BO67" s="45"/>
      <c r="BP67" s="45"/>
      <c r="BQ67" s="45"/>
      <c r="BR67" s="45"/>
    </row>
    <row r="68" spans="1:70" s="34" customFormat="1" x14ac:dyDescent="0.25">
      <c r="A68" s="32" t="s">
        <v>100</v>
      </c>
      <c r="B68" s="33">
        <v>1</v>
      </c>
      <c r="C68" s="33">
        <v>21</v>
      </c>
      <c r="D68" s="33">
        <v>0</v>
      </c>
      <c r="E68" s="33">
        <f t="shared" si="9"/>
        <v>21</v>
      </c>
      <c r="F68" s="33">
        <v>10</v>
      </c>
      <c r="G68" s="42">
        <f t="shared" si="43"/>
        <v>598500</v>
      </c>
      <c r="H68" s="42">
        <f t="shared" si="57"/>
        <v>85587.9375</v>
      </c>
      <c r="I68" s="42">
        <f t="shared" si="58"/>
        <v>16679.377260000001</v>
      </c>
      <c r="J68" s="42">
        <f t="shared" si="59"/>
        <v>109552.56000000001</v>
      </c>
      <c r="K68" s="42">
        <f t="shared" si="42"/>
        <v>810319.87476000004</v>
      </c>
      <c r="L68" s="42">
        <v>20</v>
      </c>
      <c r="M68" s="42">
        <f t="shared" si="44"/>
        <v>1197000</v>
      </c>
      <c r="N68" s="42">
        <f t="shared" si="60"/>
        <v>197510.625</v>
      </c>
      <c r="O68" s="42">
        <f t="shared" si="61"/>
        <v>38490.870600000002</v>
      </c>
      <c r="P68" s="42">
        <f t="shared" si="62"/>
        <v>252813.6</v>
      </c>
      <c r="Q68" s="42">
        <f t="shared" si="16"/>
        <v>1685815.0956000001</v>
      </c>
      <c r="R68" s="42">
        <v>19</v>
      </c>
      <c r="S68" s="42">
        <f t="shared" si="45"/>
        <v>1137150</v>
      </c>
      <c r="T68" s="42">
        <f t="shared" si="63"/>
        <v>197510.625</v>
      </c>
      <c r="U68" s="42">
        <f t="shared" si="64"/>
        <v>38490.870600000002</v>
      </c>
      <c r="V68" s="42">
        <f t="shared" si="65"/>
        <v>252813.6</v>
      </c>
      <c r="W68" s="42">
        <f t="shared" si="21"/>
        <v>1625965.0956000001</v>
      </c>
      <c r="X68" s="42">
        <v>19</v>
      </c>
      <c r="Y68" s="42">
        <f t="shared" si="46"/>
        <v>1137150</v>
      </c>
      <c r="Z68" s="42">
        <f t="shared" si="66"/>
        <v>197510.625</v>
      </c>
      <c r="AA68" s="42">
        <f t="shared" si="67"/>
        <v>38490.870600000002</v>
      </c>
      <c r="AB68" s="42">
        <f t="shared" si="68"/>
        <v>252813.6</v>
      </c>
      <c r="AC68" s="42">
        <f t="shared" si="23"/>
        <v>1625965.0956000001</v>
      </c>
      <c r="AD68" s="42">
        <v>19</v>
      </c>
      <c r="AE68" s="42">
        <f t="shared" si="47"/>
        <v>1137150</v>
      </c>
      <c r="AF68" s="42">
        <f t="shared" si="69"/>
        <v>197510.625</v>
      </c>
      <c r="AG68" s="42">
        <f t="shared" si="70"/>
        <v>38490.870600000002</v>
      </c>
      <c r="AH68" s="42">
        <f t="shared" si="71"/>
        <v>252813.6</v>
      </c>
      <c r="AI68" s="42">
        <f t="shared" si="25"/>
        <v>1625965.0956000001</v>
      </c>
      <c r="AJ68" s="42">
        <v>9</v>
      </c>
      <c r="AK68" s="42">
        <f t="shared" si="48"/>
        <v>538650</v>
      </c>
      <c r="AL68" s="42">
        <f t="shared" si="49"/>
        <v>79004.25</v>
      </c>
      <c r="AM68" s="42">
        <f t="shared" si="50"/>
        <v>15396.348240000003</v>
      </c>
      <c r="AN68" s="42">
        <f t="shared" si="51"/>
        <v>101125.44</v>
      </c>
      <c r="AO68" s="42">
        <f t="shared" si="30"/>
        <v>734176.03823999991</v>
      </c>
      <c r="AP68" s="42">
        <v>0</v>
      </c>
      <c r="AQ68" s="42">
        <f t="shared" si="56"/>
        <v>0</v>
      </c>
      <c r="AR68" s="42">
        <f t="shared" si="53"/>
        <v>65836.875</v>
      </c>
      <c r="AS68" s="42">
        <f t="shared" si="54"/>
        <v>12830.290200000001</v>
      </c>
      <c r="AT68" s="42">
        <f t="shared" si="55"/>
        <v>84271.200000000012</v>
      </c>
      <c r="AU68" s="42">
        <f t="shared" si="35"/>
        <v>162938.3652</v>
      </c>
      <c r="AV68" s="45"/>
      <c r="AW68" s="45"/>
      <c r="AX68" s="45"/>
      <c r="AY68" s="45"/>
      <c r="AZ68" s="45"/>
      <c r="BA68" s="45"/>
      <c r="BB68" s="45"/>
      <c r="BC68" s="45"/>
      <c r="BD68" s="45"/>
      <c r="BE68" s="45"/>
      <c r="BF68" s="45"/>
      <c r="BG68" s="45"/>
      <c r="BH68" s="45"/>
      <c r="BI68" s="45"/>
      <c r="BJ68" s="45"/>
      <c r="BK68" s="45"/>
      <c r="BL68" s="45"/>
      <c r="BM68" s="45"/>
      <c r="BN68" s="45"/>
      <c r="BO68" s="45"/>
      <c r="BP68" s="45"/>
      <c r="BQ68" s="45"/>
      <c r="BR68" s="45"/>
    </row>
    <row r="69" spans="1:70" s="34" customFormat="1" x14ac:dyDescent="0.25">
      <c r="A69" s="32" t="s">
        <v>106</v>
      </c>
      <c r="B69" s="33">
        <v>1</v>
      </c>
      <c r="C69" s="33">
        <v>22</v>
      </c>
      <c r="D69" s="33">
        <v>0</v>
      </c>
      <c r="E69" s="33">
        <f t="shared" si="9"/>
        <v>22</v>
      </c>
      <c r="F69" s="33">
        <v>10</v>
      </c>
      <c r="G69" s="42">
        <f t="shared" si="43"/>
        <v>598500</v>
      </c>
      <c r="H69" s="42">
        <f t="shared" si="57"/>
        <v>85587.9375</v>
      </c>
      <c r="I69" s="42">
        <f t="shared" si="58"/>
        <v>16679.377260000001</v>
      </c>
      <c r="J69" s="42">
        <f t="shared" si="59"/>
        <v>109552.56000000001</v>
      </c>
      <c r="K69" s="42">
        <f t="shared" si="42"/>
        <v>810319.87476000004</v>
      </c>
      <c r="L69" s="42">
        <v>20</v>
      </c>
      <c r="M69" s="42">
        <f t="shared" si="44"/>
        <v>1197000</v>
      </c>
      <c r="N69" s="42">
        <f t="shared" si="60"/>
        <v>197510.625</v>
      </c>
      <c r="O69" s="42">
        <f t="shared" si="61"/>
        <v>38490.870600000002</v>
      </c>
      <c r="P69" s="42">
        <f t="shared" si="62"/>
        <v>252813.6</v>
      </c>
      <c r="Q69" s="42">
        <f t="shared" si="16"/>
        <v>1685815.0956000001</v>
      </c>
      <c r="R69" s="42">
        <v>19</v>
      </c>
      <c r="S69" s="42">
        <f t="shared" si="45"/>
        <v>1137150</v>
      </c>
      <c r="T69" s="42">
        <f t="shared" si="63"/>
        <v>197510.625</v>
      </c>
      <c r="U69" s="42">
        <f t="shared" si="64"/>
        <v>38490.870600000002</v>
      </c>
      <c r="V69" s="42">
        <f t="shared" si="65"/>
        <v>252813.6</v>
      </c>
      <c r="W69" s="42">
        <f t="shared" si="21"/>
        <v>1625965.0956000001</v>
      </c>
      <c r="X69" s="42">
        <v>19</v>
      </c>
      <c r="Y69" s="42">
        <f t="shared" si="46"/>
        <v>1137150</v>
      </c>
      <c r="Z69" s="42">
        <f t="shared" si="66"/>
        <v>197510.625</v>
      </c>
      <c r="AA69" s="42">
        <f t="shared" si="67"/>
        <v>38490.870600000002</v>
      </c>
      <c r="AB69" s="42">
        <f t="shared" si="68"/>
        <v>252813.6</v>
      </c>
      <c r="AC69" s="42">
        <f t="shared" si="23"/>
        <v>1625965.0956000001</v>
      </c>
      <c r="AD69" s="42">
        <v>19</v>
      </c>
      <c r="AE69" s="42">
        <f t="shared" si="47"/>
        <v>1137150</v>
      </c>
      <c r="AF69" s="42">
        <f t="shared" si="69"/>
        <v>197510.625</v>
      </c>
      <c r="AG69" s="42">
        <f t="shared" si="70"/>
        <v>38490.870600000002</v>
      </c>
      <c r="AH69" s="42">
        <f t="shared" si="71"/>
        <v>252813.6</v>
      </c>
      <c r="AI69" s="42">
        <f t="shared" si="25"/>
        <v>1625965.0956000001</v>
      </c>
      <c r="AJ69" s="42">
        <v>9</v>
      </c>
      <c r="AK69" s="42">
        <f t="shared" si="48"/>
        <v>538650</v>
      </c>
      <c r="AL69" s="42">
        <f>($D$4*12.5%)/30*12</f>
        <v>79004.25</v>
      </c>
      <c r="AM69" s="42">
        <f>($D$4*2.436%)/30*12</f>
        <v>15396.348240000003</v>
      </c>
      <c r="AN69" s="42">
        <f>($D$4*16%)/30*12</f>
        <v>101125.44</v>
      </c>
      <c r="AO69" s="42">
        <f t="shared" si="30"/>
        <v>734176.03823999991</v>
      </c>
      <c r="AP69" s="42">
        <v>0</v>
      </c>
      <c r="AQ69" s="42">
        <f t="shared" si="56"/>
        <v>0</v>
      </c>
      <c r="AR69" s="42">
        <f t="shared" si="53"/>
        <v>65836.875</v>
      </c>
      <c r="AS69" s="42">
        <f t="shared" si="54"/>
        <v>12830.290200000001</v>
      </c>
      <c r="AT69" s="42">
        <f t="shared" si="55"/>
        <v>84271.200000000012</v>
      </c>
      <c r="AU69" s="42">
        <f t="shared" si="35"/>
        <v>162938.3652</v>
      </c>
      <c r="AV69" s="45"/>
      <c r="AW69" s="45"/>
      <c r="AX69" s="45"/>
      <c r="AY69" s="45"/>
      <c r="AZ69" s="45"/>
      <c r="BA69" s="45"/>
      <c r="BB69" s="45"/>
      <c r="BC69" s="45"/>
      <c r="BD69" s="45"/>
      <c r="BE69" s="45"/>
      <c r="BF69" s="45"/>
      <c r="BG69" s="45"/>
      <c r="BH69" s="45"/>
      <c r="BI69" s="45"/>
      <c r="BJ69" s="45"/>
      <c r="BK69" s="45"/>
      <c r="BL69" s="45"/>
      <c r="BM69" s="45"/>
      <c r="BN69" s="45"/>
      <c r="BO69" s="45"/>
      <c r="BP69" s="45"/>
      <c r="BQ69" s="45"/>
      <c r="BR69" s="45"/>
    </row>
    <row r="70" spans="1:70" s="37" customFormat="1" x14ac:dyDescent="0.25">
      <c r="A70" s="35" t="s">
        <v>24</v>
      </c>
      <c r="B70" s="36">
        <v>1</v>
      </c>
      <c r="C70" s="36">
        <v>23</v>
      </c>
      <c r="D70" s="36">
        <v>23</v>
      </c>
      <c r="E70" s="36">
        <f>C70+D70</f>
        <v>46</v>
      </c>
      <c r="F70" s="36">
        <v>10</v>
      </c>
      <c r="G70" s="43">
        <f>$C$6*F70</f>
        <v>819000</v>
      </c>
      <c r="H70" s="43">
        <f t="shared" si="57"/>
        <v>85587.9375</v>
      </c>
      <c r="I70" s="43">
        <f t="shared" si="58"/>
        <v>16679.377260000001</v>
      </c>
      <c r="J70" s="43">
        <f t="shared" si="59"/>
        <v>109552.56000000001</v>
      </c>
      <c r="K70" s="43">
        <f t="shared" si="42"/>
        <v>1030819.87476</v>
      </c>
      <c r="L70" s="43">
        <v>20</v>
      </c>
      <c r="M70" s="43">
        <f>$C$6*L70</f>
        <v>1638000</v>
      </c>
      <c r="N70" s="43">
        <f t="shared" si="60"/>
        <v>197510.625</v>
      </c>
      <c r="O70" s="43">
        <f t="shared" si="61"/>
        <v>38490.870600000002</v>
      </c>
      <c r="P70" s="43">
        <f t="shared" si="62"/>
        <v>252813.6</v>
      </c>
      <c r="Q70" s="43">
        <f t="shared" si="16"/>
        <v>2126815.0956000001</v>
      </c>
      <c r="R70" s="43">
        <v>19</v>
      </c>
      <c r="S70" s="43">
        <f>$C$6*R70</f>
        <v>1556100</v>
      </c>
      <c r="T70" s="43">
        <f t="shared" si="63"/>
        <v>197510.625</v>
      </c>
      <c r="U70" s="43">
        <f t="shared" si="64"/>
        <v>38490.870600000002</v>
      </c>
      <c r="V70" s="43">
        <f t="shared" si="65"/>
        <v>252813.6</v>
      </c>
      <c r="W70" s="43">
        <f t="shared" si="21"/>
        <v>2044915.0956000001</v>
      </c>
      <c r="X70" s="43">
        <v>19</v>
      </c>
      <c r="Y70" s="43">
        <f>$C$6*X70</f>
        <v>1556100</v>
      </c>
      <c r="Z70" s="43">
        <f t="shared" si="66"/>
        <v>197510.625</v>
      </c>
      <c r="AA70" s="43">
        <f t="shared" si="67"/>
        <v>38490.870600000002</v>
      </c>
      <c r="AB70" s="43">
        <f t="shared" si="68"/>
        <v>252813.6</v>
      </c>
      <c r="AC70" s="43">
        <f t="shared" si="23"/>
        <v>2044915.0956000001</v>
      </c>
      <c r="AD70" s="43">
        <v>19</v>
      </c>
      <c r="AE70" s="43">
        <f>$C$6*AD70</f>
        <v>1556100</v>
      </c>
      <c r="AF70" s="43">
        <f t="shared" si="69"/>
        <v>197510.625</v>
      </c>
      <c r="AG70" s="43">
        <f t="shared" si="70"/>
        <v>38490.870600000002</v>
      </c>
      <c r="AH70" s="43">
        <f t="shared" si="71"/>
        <v>252813.6</v>
      </c>
      <c r="AI70" s="43">
        <f t="shared" si="25"/>
        <v>2044915.0956000001</v>
      </c>
      <c r="AJ70" s="43">
        <v>9</v>
      </c>
      <c r="AK70" s="43">
        <f>$C$6*AJ70</f>
        <v>737100</v>
      </c>
      <c r="AL70" s="43">
        <f>($D$4*12.5%)/30*12</f>
        <v>79004.25</v>
      </c>
      <c r="AM70" s="43">
        <f>($D$4*2.436%)/30*12</f>
        <v>15396.348240000003</v>
      </c>
      <c r="AN70" s="43">
        <f>($D$4*16%)/30*12</f>
        <v>101125.44</v>
      </c>
      <c r="AO70" s="43">
        <f t="shared" si="30"/>
        <v>932626.03823999991</v>
      </c>
      <c r="AP70" s="43">
        <v>0</v>
      </c>
      <c r="AQ70" s="43">
        <f>$C$6*AP70</f>
        <v>0</v>
      </c>
      <c r="AR70" s="43">
        <f>($D$4*12.5%)/30*10</f>
        <v>65836.875</v>
      </c>
      <c r="AS70" s="43">
        <f>($D$4*2.436%)/30*10</f>
        <v>12830.290200000001</v>
      </c>
      <c r="AT70" s="43">
        <f>($D$4*16%)/30*10</f>
        <v>84271.200000000012</v>
      </c>
      <c r="AU70" s="43">
        <f t="shared" si="35"/>
        <v>162938.3652</v>
      </c>
      <c r="AV70" s="46"/>
      <c r="AW70" s="46"/>
      <c r="AX70" s="46"/>
      <c r="AY70" s="46"/>
      <c r="AZ70" s="46"/>
      <c r="BA70" s="46"/>
      <c r="BB70" s="46"/>
      <c r="BC70" s="46"/>
      <c r="BD70" s="46"/>
      <c r="BE70" s="46"/>
      <c r="BF70" s="46"/>
      <c r="BG70" s="46"/>
      <c r="BH70" s="46"/>
      <c r="BI70" s="46"/>
      <c r="BJ70" s="46"/>
      <c r="BK70" s="46"/>
      <c r="BL70" s="46"/>
      <c r="BM70" s="46"/>
      <c r="BN70" s="46"/>
      <c r="BO70" s="46"/>
      <c r="BP70" s="46"/>
      <c r="BQ70" s="46"/>
      <c r="BR70" s="46"/>
    </row>
    <row r="71" spans="1:70" s="37" customFormat="1" x14ac:dyDescent="0.25">
      <c r="A71" s="35" t="s">
        <v>42</v>
      </c>
      <c r="B71" s="36">
        <v>1</v>
      </c>
      <c r="C71" s="36">
        <v>103</v>
      </c>
      <c r="D71" s="36">
        <v>0</v>
      </c>
      <c r="E71" s="36">
        <f t="shared" si="9"/>
        <v>103</v>
      </c>
      <c r="F71" s="36">
        <v>10</v>
      </c>
      <c r="G71" s="43">
        <f t="shared" ref="G71:G89" si="72">$C$6*F71</f>
        <v>819000</v>
      </c>
      <c r="H71" s="43">
        <f t="shared" si="57"/>
        <v>85587.9375</v>
      </c>
      <c r="I71" s="43">
        <f t="shared" si="58"/>
        <v>16679.377260000001</v>
      </c>
      <c r="J71" s="43">
        <f t="shared" si="59"/>
        <v>109552.56000000001</v>
      </c>
      <c r="K71" s="43">
        <f t="shared" si="42"/>
        <v>1030819.87476</v>
      </c>
      <c r="L71" s="43">
        <v>20</v>
      </c>
      <c r="M71" s="43">
        <f t="shared" ref="M71:M90" si="73">$C$6*L71</f>
        <v>1638000</v>
      </c>
      <c r="N71" s="43">
        <f t="shared" si="60"/>
        <v>197510.625</v>
      </c>
      <c r="O71" s="43">
        <f t="shared" si="61"/>
        <v>38490.870600000002</v>
      </c>
      <c r="P71" s="43">
        <f t="shared" si="62"/>
        <v>252813.6</v>
      </c>
      <c r="Q71" s="43">
        <f t="shared" si="16"/>
        <v>2126815.0956000001</v>
      </c>
      <c r="R71" s="43">
        <v>19</v>
      </c>
      <c r="S71" s="43">
        <f t="shared" ref="S71:S90" si="74">$C$6*R71</f>
        <v>1556100</v>
      </c>
      <c r="T71" s="43">
        <f t="shared" si="63"/>
        <v>197510.625</v>
      </c>
      <c r="U71" s="43">
        <f t="shared" si="64"/>
        <v>38490.870600000002</v>
      </c>
      <c r="V71" s="43">
        <f t="shared" si="65"/>
        <v>252813.6</v>
      </c>
      <c r="W71" s="43">
        <f t="shared" si="21"/>
        <v>2044915.0956000001</v>
      </c>
      <c r="X71" s="43">
        <v>19</v>
      </c>
      <c r="Y71" s="43">
        <f t="shared" ref="Y71:Y90" si="75">$C$6*X71</f>
        <v>1556100</v>
      </c>
      <c r="Z71" s="43">
        <f t="shared" si="66"/>
        <v>197510.625</v>
      </c>
      <c r="AA71" s="43">
        <f t="shared" si="67"/>
        <v>38490.870600000002</v>
      </c>
      <c r="AB71" s="43">
        <f t="shared" si="68"/>
        <v>252813.6</v>
      </c>
      <c r="AC71" s="43">
        <f t="shared" si="23"/>
        <v>2044915.0956000001</v>
      </c>
      <c r="AD71" s="43">
        <v>19</v>
      </c>
      <c r="AE71" s="43">
        <f t="shared" ref="AE71:AE90" si="76">$C$6*AD71</f>
        <v>1556100</v>
      </c>
      <c r="AF71" s="43">
        <f t="shared" si="69"/>
        <v>197510.625</v>
      </c>
      <c r="AG71" s="43">
        <f t="shared" si="70"/>
        <v>38490.870600000002</v>
      </c>
      <c r="AH71" s="43">
        <f t="shared" si="71"/>
        <v>252813.6</v>
      </c>
      <c r="AI71" s="43">
        <f t="shared" si="25"/>
        <v>2044915.0956000001</v>
      </c>
      <c r="AJ71" s="43">
        <v>9</v>
      </c>
      <c r="AK71" s="43">
        <f t="shared" ref="AK71:AK90" si="77">$C$6*AJ71</f>
        <v>737100</v>
      </c>
      <c r="AL71" s="43">
        <f t="shared" ref="AL71:AL89" si="78">($D$4*12.5%)/30*12</f>
        <v>79004.25</v>
      </c>
      <c r="AM71" s="43">
        <f t="shared" ref="AM71:AM89" si="79">($D$4*2.436%)/30*12</f>
        <v>15396.348240000003</v>
      </c>
      <c r="AN71" s="43">
        <f t="shared" ref="AN71:AN89" si="80">($D$4*16%)/30*12</f>
        <v>101125.44</v>
      </c>
      <c r="AO71" s="43">
        <f t="shared" si="30"/>
        <v>932626.03823999991</v>
      </c>
      <c r="AP71" s="43">
        <v>0</v>
      </c>
      <c r="AQ71" s="43">
        <f t="shared" ref="AQ71:AQ90" si="81">$C$6*AP71</f>
        <v>0</v>
      </c>
      <c r="AR71" s="43">
        <f t="shared" ref="AR71:AR90" si="82">($D$4*12.5%)/30*10</f>
        <v>65836.875</v>
      </c>
      <c r="AS71" s="43">
        <f t="shared" ref="AS71:AS90" si="83">($D$4*2.436%)/30*10</f>
        <v>12830.290200000001</v>
      </c>
      <c r="AT71" s="43">
        <f t="shared" ref="AT71:AT90" si="84">($D$4*16%)/30*10</f>
        <v>84271.200000000012</v>
      </c>
      <c r="AU71" s="43">
        <f t="shared" si="35"/>
        <v>162938.3652</v>
      </c>
      <c r="AV71" s="46"/>
      <c r="AW71" s="46"/>
      <c r="AX71" s="46"/>
      <c r="AY71" s="46"/>
      <c r="AZ71" s="46"/>
      <c r="BA71" s="46"/>
      <c r="BB71" s="46"/>
      <c r="BC71" s="46"/>
      <c r="BD71" s="46"/>
      <c r="BE71" s="46"/>
      <c r="BF71" s="46"/>
      <c r="BG71" s="46"/>
      <c r="BH71" s="46"/>
      <c r="BI71" s="46"/>
      <c r="BJ71" s="46"/>
      <c r="BK71" s="46"/>
      <c r="BL71" s="46"/>
      <c r="BM71" s="46"/>
      <c r="BN71" s="46"/>
      <c r="BO71" s="46"/>
      <c r="BP71" s="46"/>
      <c r="BQ71" s="46"/>
      <c r="BR71" s="46"/>
    </row>
    <row r="72" spans="1:70" s="37" customFormat="1" x14ac:dyDescent="0.25">
      <c r="A72" s="35" t="s">
        <v>39</v>
      </c>
      <c r="B72" s="36">
        <v>4</v>
      </c>
      <c r="C72" s="36">
        <v>494</v>
      </c>
      <c r="D72" s="36">
        <v>0</v>
      </c>
      <c r="E72" s="36">
        <f t="shared" si="9"/>
        <v>494</v>
      </c>
      <c r="F72" s="36">
        <v>10</v>
      </c>
      <c r="G72" s="43">
        <f t="shared" si="72"/>
        <v>819000</v>
      </c>
      <c r="H72" s="43">
        <f t="shared" si="57"/>
        <v>85587.9375</v>
      </c>
      <c r="I72" s="43">
        <f t="shared" si="58"/>
        <v>16679.377260000001</v>
      </c>
      <c r="J72" s="43">
        <f t="shared" si="59"/>
        <v>109552.56000000001</v>
      </c>
      <c r="K72" s="43">
        <f>SUM(G72:J72)*B72</f>
        <v>4123279.4990400001</v>
      </c>
      <c r="L72" s="43">
        <v>20</v>
      </c>
      <c r="M72" s="43">
        <f t="shared" si="73"/>
        <v>1638000</v>
      </c>
      <c r="N72" s="43">
        <f t="shared" si="60"/>
        <v>197510.625</v>
      </c>
      <c r="O72" s="43">
        <f t="shared" si="61"/>
        <v>38490.870600000002</v>
      </c>
      <c r="P72" s="43">
        <f t="shared" si="62"/>
        <v>252813.6</v>
      </c>
      <c r="Q72" s="43">
        <f t="shared" si="16"/>
        <v>8507260.3824000005</v>
      </c>
      <c r="R72" s="43">
        <v>19</v>
      </c>
      <c r="S72" s="43">
        <f t="shared" si="74"/>
        <v>1556100</v>
      </c>
      <c r="T72" s="43">
        <f t="shared" si="63"/>
        <v>197510.625</v>
      </c>
      <c r="U72" s="43">
        <f t="shared" si="64"/>
        <v>38490.870600000002</v>
      </c>
      <c r="V72" s="43">
        <f t="shared" si="65"/>
        <v>252813.6</v>
      </c>
      <c r="W72" s="43">
        <f t="shared" si="21"/>
        <v>8179660.3824000005</v>
      </c>
      <c r="X72" s="43">
        <v>19</v>
      </c>
      <c r="Y72" s="43">
        <f t="shared" si="75"/>
        <v>1556100</v>
      </c>
      <c r="Z72" s="43">
        <f t="shared" si="66"/>
        <v>197510.625</v>
      </c>
      <c r="AA72" s="43">
        <f t="shared" si="67"/>
        <v>38490.870600000002</v>
      </c>
      <c r="AB72" s="43">
        <f t="shared" si="68"/>
        <v>252813.6</v>
      </c>
      <c r="AC72" s="43">
        <f t="shared" si="23"/>
        <v>8179660.3824000005</v>
      </c>
      <c r="AD72" s="43">
        <v>19</v>
      </c>
      <c r="AE72" s="43">
        <f t="shared" si="76"/>
        <v>1556100</v>
      </c>
      <c r="AF72" s="43">
        <f t="shared" si="69"/>
        <v>197510.625</v>
      </c>
      <c r="AG72" s="43">
        <f t="shared" si="70"/>
        <v>38490.870600000002</v>
      </c>
      <c r="AH72" s="43">
        <f t="shared" si="71"/>
        <v>252813.6</v>
      </c>
      <c r="AI72" s="43">
        <f t="shared" si="25"/>
        <v>8179660.3824000005</v>
      </c>
      <c r="AJ72" s="43">
        <v>9</v>
      </c>
      <c r="AK72" s="43">
        <f t="shared" si="77"/>
        <v>737100</v>
      </c>
      <c r="AL72" s="43">
        <f t="shared" si="78"/>
        <v>79004.25</v>
      </c>
      <c r="AM72" s="43">
        <f t="shared" si="79"/>
        <v>15396.348240000003</v>
      </c>
      <c r="AN72" s="43">
        <f t="shared" si="80"/>
        <v>101125.44</v>
      </c>
      <c r="AO72" s="43">
        <f t="shared" si="30"/>
        <v>3730504.1529599996</v>
      </c>
      <c r="AP72" s="43">
        <v>0</v>
      </c>
      <c r="AQ72" s="43">
        <f>$C$6*AP72</f>
        <v>0</v>
      </c>
      <c r="AR72" s="43">
        <f t="shared" si="82"/>
        <v>65836.875</v>
      </c>
      <c r="AS72" s="43">
        <f t="shared" si="83"/>
        <v>12830.290200000001</v>
      </c>
      <c r="AT72" s="43">
        <f t="shared" si="84"/>
        <v>84271.200000000012</v>
      </c>
      <c r="AU72" s="43">
        <f t="shared" si="35"/>
        <v>651753.4608</v>
      </c>
      <c r="AV72" s="46"/>
      <c r="AW72" s="46"/>
      <c r="AX72" s="46"/>
      <c r="AY72" s="46"/>
      <c r="AZ72" s="46"/>
      <c r="BA72" s="46"/>
      <c r="BB72" s="46"/>
      <c r="BC72" s="46"/>
      <c r="BD72" s="46"/>
      <c r="BE72" s="46"/>
      <c r="BF72" s="46"/>
      <c r="BG72" s="46"/>
      <c r="BH72" s="46"/>
      <c r="BI72" s="46"/>
      <c r="BJ72" s="46"/>
      <c r="BK72" s="46"/>
      <c r="BL72" s="46"/>
      <c r="BM72" s="46"/>
      <c r="BN72" s="46"/>
      <c r="BO72" s="46"/>
      <c r="BP72" s="46"/>
      <c r="BQ72" s="46"/>
      <c r="BR72" s="46"/>
    </row>
    <row r="73" spans="1:70" s="37" customFormat="1" x14ac:dyDescent="0.25">
      <c r="A73" s="35" t="s">
        <v>50</v>
      </c>
      <c r="B73" s="36">
        <v>4</v>
      </c>
      <c r="C73" s="36">
        <v>324</v>
      </c>
      <c r="D73" s="36">
        <v>0</v>
      </c>
      <c r="E73" s="36">
        <f t="shared" si="9"/>
        <v>324</v>
      </c>
      <c r="F73" s="36">
        <v>10</v>
      </c>
      <c r="G73" s="43">
        <f t="shared" si="72"/>
        <v>819000</v>
      </c>
      <c r="H73" s="43">
        <f t="shared" si="57"/>
        <v>85587.9375</v>
      </c>
      <c r="I73" s="43">
        <f t="shared" si="58"/>
        <v>16679.377260000001</v>
      </c>
      <c r="J73" s="43">
        <f t="shared" si="59"/>
        <v>109552.56000000001</v>
      </c>
      <c r="K73" s="43">
        <f t="shared" si="42"/>
        <v>4123279.4990400001</v>
      </c>
      <c r="L73" s="43">
        <v>20</v>
      </c>
      <c r="M73" s="43">
        <f t="shared" si="73"/>
        <v>1638000</v>
      </c>
      <c r="N73" s="43">
        <f t="shared" si="60"/>
        <v>197510.625</v>
      </c>
      <c r="O73" s="43">
        <f t="shared" si="61"/>
        <v>38490.870600000002</v>
      </c>
      <c r="P73" s="43">
        <f t="shared" si="62"/>
        <v>252813.6</v>
      </c>
      <c r="Q73" s="43">
        <f t="shared" si="16"/>
        <v>8507260.3824000005</v>
      </c>
      <c r="R73" s="43">
        <v>19</v>
      </c>
      <c r="S73" s="43">
        <f t="shared" si="74"/>
        <v>1556100</v>
      </c>
      <c r="T73" s="43">
        <f t="shared" si="63"/>
        <v>197510.625</v>
      </c>
      <c r="U73" s="43">
        <f t="shared" si="64"/>
        <v>38490.870600000002</v>
      </c>
      <c r="V73" s="43">
        <f t="shared" si="65"/>
        <v>252813.6</v>
      </c>
      <c r="W73" s="43">
        <f t="shared" si="21"/>
        <v>8179660.3824000005</v>
      </c>
      <c r="X73" s="43">
        <v>19</v>
      </c>
      <c r="Y73" s="43">
        <f t="shared" si="75"/>
        <v>1556100</v>
      </c>
      <c r="Z73" s="43">
        <f t="shared" si="66"/>
        <v>197510.625</v>
      </c>
      <c r="AA73" s="43">
        <f t="shared" si="67"/>
        <v>38490.870600000002</v>
      </c>
      <c r="AB73" s="43">
        <f t="shared" si="68"/>
        <v>252813.6</v>
      </c>
      <c r="AC73" s="43">
        <f t="shared" si="23"/>
        <v>8179660.3824000005</v>
      </c>
      <c r="AD73" s="43">
        <v>19</v>
      </c>
      <c r="AE73" s="43">
        <f t="shared" si="76"/>
        <v>1556100</v>
      </c>
      <c r="AF73" s="43">
        <f t="shared" si="69"/>
        <v>197510.625</v>
      </c>
      <c r="AG73" s="43">
        <f t="shared" si="70"/>
        <v>38490.870600000002</v>
      </c>
      <c r="AH73" s="43">
        <f t="shared" si="71"/>
        <v>252813.6</v>
      </c>
      <c r="AI73" s="43">
        <f t="shared" si="25"/>
        <v>8179660.3824000005</v>
      </c>
      <c r="AJ73" s="43">
        <v>9</v>
      </c>
      <c r="AK73" s="43">
        <f t="shared" si="77"/>
        <v>737100</v>
      </c>
      <c r="AL73" s="43">
        <f t="shared" si="78"/>
        <v>79004.25</v>
      </c>
      <c r="AM73" s="43">
        <f t="shared" si="79"/>
        <v>15396.348240000003</v>
      </c>
      <c r="AN73" s="43">
        <f t="shared" si="80"/>
        <v>101125.44</v>
      </c>
      <c r="AO73" s="43">
        <f t="shared" si="30"/>
        <v>3730504.1529599996</v>
      </c>
      <c r="AP73" s="43">
        <v>0</v>
      </c>
      <c r="AQ73" s="43">
        <f t="shared" si="81"/>
        <v>0</v>
      </c>
      <c r="AR73" s="43">
        <f t="shared" si="82"/>
        <v>65836.875</v>
      </c>
      <c r="AS73" s="43">
        <f t="shared" si="83"/>
        <v>12830.290200000001</v>
      </c>
      <c r="AT73" s="43">
        <f t="shared" si="84"/>
        <v>84271.200000000012</v>
      </c>
      <c r="AU73" s="43">
        <f t="shared" si="35"/>
        <v>651753.4608</v>
      </c>
      <c r="AV73" s="46"/>
      <c r="AW73" s="46"/>
      <c r="AX73" s="46"/>
      <c r="AY73" s="46"/>
      <c r="AZ73" s="46"/>
      <c r="BA73" s="46"/>
      <c r="BB73" s="46"/>
      <c r="BC73" s="46"/>
      <c r="BD73" s="46"/>
      <c r="BE73" s="46"/>
      <c r="BF73" s="46"/>
      <c r="BG73" s="46"/>
      <c r="BH73" s="46"/>
      <c r="BI73" s="46"/>
      <c r="BJ73" s="46"/>
      <c r="BK73" s="46"/>
      <c r="BL73" s="46"/>
      <c r="BM73" s="46"/>
      <c r="BN73" s="46"/>
      <c r="BO73" s="46"/>
      <c r="BP73" s="46"/>
      <c r="BQ73" s="46"/>
      <c r="BR73" s="46"/>
    </row>
    <row r="74" spans="1:70" s="37" customFormat="1" x14ac:dyDescent="0.25">
      <c r="A74" s="35" t="s">
        <v>51</v>
      </c>
      <c r="B74" s="36">
        <v>6</v>
      </c>
      <c r="C74" s="36">
        <v>495</v>
      </c>
      <c r="D74" s="36">
        <v>0</v>
      </c>
      <c r="E74" s="36">
        <f t="shared" si="9"/>
        <v>495</v>
      </c>
      <c r="F74" s="36">
        <v>10</v>
      </c>
      <c r="G74" s="43">
        <f t="shared" si="72"/>
        <v>819000</v>
      </c>
      <c r="H74" s="43">
        <f t="shared" si="57"/>
        <v>85587.9375</v>
      </c>
      <c r="I74" s="43">
        <f t="shared" si="58"/>
        <v>16679.377260000001</v>
      </c>
      <c r="J74" s="43">
        <f t="shared" si="59"/>
        <v>109552.56000000001</v>
      </c>
      <c r="K74" s="43">
        <f t="shared" si="42"/>
        <v>6184919.2485600002</v>
      </c>
      <c r="L74" s="43">
        <v>20</v>
      </c>
      <c r="M74" s="43">
        <f t="shared" si="73"/>
        <v>1638000</v>
      </c>
      <c r="N74" s="43">
        <f t="shared" si="60"/>
        <v>197510.625</v>
      </c>
      <c r="O74" s="43">
        <f t="shared" si="61"/>
        <v>38490.870600000002</v>
      </c>
      <c r="P74" s="43">
        <f t="shared" si="62"/>
        <v>252813.6</v>
      </c>
      <c r="Q74" s="43">
        <f t="shared" si="16"/>
        <v>12760890.573600002</v>
      </c>
      <c r="R74" s="43">
        <v>19</v>
      </c>
      <c r="S74" s="43">
        <f t="shared" si="74"/>
        <v>1556100</v>
      </c>
      <c r="T74" s="43">
        <f t="shared" si="63"/>
        <v>197510.625</v>
      </c>
      <c r="U74" s="43">
        <f t="shared" si="64"/>
        <v>38490.870600000002</v>
      </c>
      <c r="V74" s="43">
        <f t="shared" si="65"/>
        <v>252813.6</v>
      </c>
      <c r="W74" s="43">
        <f t="shared" si="21"/>
        <v>12269490.573600002</v>
      </c>
      <c r="X74" s="43">
        <v>19</v>
      </c>
      <c r="Y74" s="43">
        <f t="shared" si="75"/>
        <v>1556100</v>
      </c>
      <c r="Z74" s="43">
        <f t="shared" si="66"/>
        <v>197510.625</v>
      </c>
      <c r="AA74" s="43">
        <f t="shared" si="67"/>
        <v>38490.870600000002</v>
      </c>
      <c r="AB74" s="43">
        <f t="shared" si="68"/>
        <v>252813.6</v>
      </c>
      <c r="AC74" s="43">
        <f t="shared" si="23"/>
        <v>12269490.573600002</v>
      </c>
      <c r="AD74" s="43">
        <v>19</v>
      </c>
      <c r="AE74" s="43">
        <f t="shared" si="76"/>
        <v>1556100</v>
      </c>
      <c r="AF74" s="43">
        <f t="shared" si="69"/>
        <v>197510.625</v>
      </c>
      <c r="AG74" s="43">
        <f t="shared" si="70"/>
        <v>38490.870600000002</v>
      </c>
      <c r="AH74" s="43">
        <f t="shared" si="71"/>
        <v>252813.6</v>
      </c>
      <c r="AI74" s="43">
        <f t="shared" si="25"/>
        <v>12269490.573600002</v>
      </c>
      <c r="AJ74" s="43">
        <v>9</v>
      </c>
      <c r="AK74" s="43">
        <f t="shared" si="77"/>
        <v>737100</v>
      </c>
      <c r="AL74" s="43">
        <f t="shared" si="78"/>
        <v>79004.25</v>
      </c>
      <c r="AM74" s="43">
        <f t="shared" si="79"/>
        <v>15396.348240000003</v>
      </c>
      <c r="AN74" s="43">
        <f t="shared" si="80"/>
        <v>101125.44</v>
      </c>
      <c r="AO74" s="43">
        <f t="shared" si="30"/>
        <v>5595756.2294399999</v>
      </c>
      <c r="AP74" s="43">
        <v>0</v>
      </c>
      <c r="AQ74" s="43">
        <f t="shared" si="81"/>
        <v>0</v>
      </c>
      <c r="AR74" s="43">
        <f t="shared" si="82"/>
        <v>65836.875</v>
      </c>
      <c r="AS74" s="43">
        <f t="shared" si="83"/>
        <v>12830.290200000001</v>
      </c>
      <c r="AT74" s="43">
        <f t="shared" si="84"/>
        <v>84271.200000000012</v>
      </c>
      <c r="AU74" s="43">
        <f t="shared" si="35"/>
        <v>977630.1912</v>
      </c>
      <c r="AV74" s="46"/>
      <c r="AW74" s="46"/>
      <c r="AX74" s="46"/>
      <c r="AY74" s="46"/>
      <c r="AZ74" s="46"/>
      <c r="BA74" s="46"/>
      <c r="BB74" s="46"/>
      <c r="BC74" s="46"/>
      <c r="BD74" s="46"/>
      <c r="BE74" s="46"/>
      <c r="BF74" s="46"/>
      <c r="BG74" s="46"/>
      <c r="BH74" s="46"/>
      <c r="BI74" s="46"/>
      <c r="BJ74" s="46"/>
      <c r="BK74" s="46"/>
      <c r="BL74" s="46"/>
      <c r="BM74" s="46"/>
      <c r="BN74" s="46"/>
      <c r="BO74" s="46"/>
      <c r="BP74" s="46"/>
      <c r="BQ74" s="46"/>
      <c r="BR74" s="46"/>
    </row>
    <row r="75" spans="1:70" s="37" customFormat="1" x14ac:dyDescent="0.25">
      <c r="A75" s="35" t="s">
        <v>53</v>
      </c>
      <c r="B75" s="36">
        <v>1</v>
      </c>
      <c r="C75" s="36">
        <v>58</v>
      </c>
      <c r="D75" s="36">
        <v>0</v>
      </c>
      <c r="E75" s="36">
        <f t="shared" si="9"/>
        <v>58</v>
      </c>
      <c r="F75" s="36">
        <v>10</v>
      </c>
      <c r="G75" s="43">
        <f t="shared" si="72"/>
        <v>819000</v>
      </c>
      <c r="H75" s="43">
        <f t="shared" ref="H75:H89" si="85">($D$4*12.5%)/30*13</f>
        <v>85587.9375</v>
      </c>
      <c r="I75" s="43">
        <f t="shared" ref="I75:I90" si="86">($D$4*2.436%)/30*13</f>
        <v>16679.377260000001</v>
      </c>
      <c r="J75" s="43">
        <f t="shared" ref="J75:J90" si="87">($D$4*16%)/30*13</f>
        <v>109552.56000000001</v>
      </c>
      <c r="K75" s="43">
        <f t="shared" si="42"/>
        <v>1030819.87476</v>
      </c>
      <c r="L75" s="43">
        <v>20</v>
      </c>
      <c r="M75" s="43">
        <f t="shared" si="73"/>
        <v>1638000</v>
      </c>
      <c r="N75" s="43">
        <f t="shared" ref="N75:N90" si="88">$D$4*12.5%</f>
        <v>197510.625</v>
      </c>
      <c r="O75" s="43">
        <f t="shared" ref="O75:O90" si="89">$D$4*2.436%</f>
        <v>38490.870600000002</v>
      </c>
      <c r="P75" s="43">
        <f t="shared" ref="P75:P90" si="90">$D$4*16%</f>
        <v>252813.6</v>
      </c>
      <c r="Q75" s="43">
        <f t="shared" si="16"/>
        <v>2126815.0956000001</v>
      </c>
      <c r="R75" s="43">
        <v>19</v>
      </c>
      <c r="S75" s="43">
        <f t="shared" si="74"/>
        <v>1556100</v>
      </c>
      <c r="T75" s="43">
        <f t="shared" ref="T75:T90" si="91">$D$4*12.5%</f>
        <v>197510.625</v>
      </c>
      <c r="U75" s="43">
        <f t="shared" ref="U75:U90" si="92">$D$4*2.436%</f>
        <v>38490.870600000002</v>
      </c>
      <c r="V75" s="43">
        <f t="shared" ref="V75:V90" si="93">$D$4*16%</f>
        <v>252813.6</v>
      </c>
      <c r="W75" s="43">
        <f t="shared" si="21"/>
        <v>2044915.0956000001</v>
      </c>
      <c r="X75" s="43">
        <v>19</v>
      </c>
      <c r="Y75" s="43">
        <f t="shared" si="75"/>
        <v>1556100</v>
      </c>
      <c r="Z75" s="43">
        <f t="shared" ref="Z75:Z90" si="94">$D$4*12.5%</f>
        <v>197510.625</v>
      </c>
      <c r="AA75" s="43">
        <f t="shared" ref="AA75:AA90" si="95">$D$4*2.436%</f>
        <v>38490.870600000002</v>
      </c>
      <c r="AB75" s="43">
        <f t="shared" ref="AB75:AB90" si="96">$D$4*16%</f>
        <v>252813.6</v>
      </c>
      <c r="AC75" s="43">
        <f t="shared" si="23"/>
        <v>2044915.0956000001</v>
      </c>
      <c r="AD75" s="43">
        <v>19</v>
      </c>
      <c r="AE75" s="43">
        <f t="shared" si="76"/>
        <v>1556100</v>
      </c>
      <c r="AF75" s="43">
        <f t="shared" ref="AF75:AF90" si="97">$D$4*12.5%</f>
        <v>197510.625</v>
      </c>
      <c r="AG75" s="43">
        <f t="shared" ref="AG75:AG90" si="98">$D$4*2.436%</f>
        <v>38490.870600000002</v>
      </c>
      <c r="AH75" s="43">
        <f t="shared" ref="AH75:AH90" si="99">$D$4*16%</f>
        <v>252813.6</v>
      </c>
      <c r="AI75" s="43">
        <f t="shared" si="25"/>
        <v>2044915.0956000001</v>
      </c>
      <c r="AJ75" s="43">
        <v>9</v>
      </c>
      <c r="AK75" s="43">
        <f t="shared" si="77"/>
        <v>737100</v>
      </c>
      <c r="AL75" s="43">
        <f t="shared" si="78"/>
        <v>79004.25</v>
      </c>
      <c r="AM75" s="43">
        <f t="shared" si="79"/>
        <v>15396.348240000003</v>
      </c>
      <c r="AN75" s="43">
        <f t="shared" si="80"/>
        <v>101125.44</v>
      </c>
      <c r="AO75" s="43">
        <f t="shared" si="30"/>
        <v>932626.03823999991</v>
      </c>
      <c r="AP75" s="43">
        <v>0</v>
      </c>
      <c r="AQ75" s="43">
        <f t="shared" si="81"/>
        <v>0</v>
      </c>
      <c r="AR75" s="43">
        <f t="shared" si="82"/>
        <v>65836.875</v>
      </c>
      <c r="AS75" s="43">
        <f t="shared" si="83"/>
        <v>12830.290200000001</v>
      </c>
      <c r="AT75" s="43">
        <f t="shared" si="84"/>
        <v>84271.200000000012</v>
      </c>
      <c r="AU75" s="43">
        <f t="shared" si="35"/>
        <v>162938.3652</v>
      </c>
      <c r="AV75" s="46"/>
      <c r="AW75" s="46"/>
      <c r="AX75" s="46"/>
      <c r="AY75" s="46"/>
      <c r="AZ75" s="46"/>
      <c r="BA75" s="46"/>
      <c r="BB75" s="46"/>
      <c r="BC75" s="46"/>
      <c r="BD75" s="46"/>
      <c r="BE75" s="46"/>
      <c r="BF75" s="46"/>
      <c r="BG75" s="46"/>
      <c r="BH75" s="46"/>
      <c r="BI75" s="46"/>
      <c r="BJ75" s="46"/>
      <c r="BK75" s="46"/>
      <c r="BL75" s="46"/>
      <c r="BM75" s="46"/>
      <c r="BN75" s="46"/>
      <c r="BO75" s="46"/>
      <c r="BP75" s="46"/>
      <c r="BQ75" s="46"/>
      <c r="BR75" s="46"/>
    </row>
    <row r="76" spans="1:70" s="37" customFormat="1" x14ac:dyDescent="0.25">
      <c r="A76" s="35" t="s">
        <v>54</v>
      </c>
      <c r="B76" s="36">
        <v>2</v>
      </c>
      <c r="C76" s="36">
        <v>270</v>
      </c>
      <c r="D76" s="36">
        <v>0</v>
      </c>
      <c r="E76" s="36">
        <f t="shared" si="9"/>
        <v>270</v>
      </c>
      <c r="F76" s="36">
        <v>10</v>
      </c>
      <c r="G76" s="43">
        <f t="shared" si="72"/>
        <v>819000</v>
      </c>
      <c r="H76" s="43">
        <f t="shared" si="85"/>
        <v>85587.9375</v>
      </c>
      <c r="I76" s="43">
        <f t="shared" si="86"/>
        <v>16679.377260000001</v>
      </c>
      <c r="J76" s="43">
        <f t="shared" si="87"/>
        <v>109552.56000000001</v>
      </c>
      <c r="K76" s="43">
        <f t="shared" si="42"/>
        <v>2061639.7495200001</v>
      </c>
      <c r="L76" s="43">
        <v>20</v>
      </c>
      <c r="M76" s="43">
        <f t="shared" si="73"/>
        <v>1638000</v>
      </c>
      <c r="N76" s="43">
        <f t="shared" si="88"/>
        <v>197510.625</v>
      </c>
      <c r="O76" s="43">
        <f t="shared" si="89"/>
        <v>38490.870600000002</v>
      </c>
      <c r="P76" s="43">
        <f t="shared" si="90"/>
        <v>252813.6</v>
      </c>
      <c r="Q76" s="43">
        <f t="shared" si="16"/>
        <v>4253630.1912000002</v>
      </c>
      <c r="R76" s="43">
        <v>19</v>
      </c>
      <c r="S76" s="43">
        <f t="shared" si="74"/>
        <v>1556100</v>
      </c>
      <c r="T76" s="43">
        <f t="shared" si="91"/>
        <v>197510.625</v>
      </c>
      <c r="U76" s="43">
        <f t="shared" si="92"/>
        <v>38490.870600000002</v>
      </c>
      <c r="V76" s="43">
        <f t="shared" si="93"/>
        <v>252813.6</v>
      </c>
      <c r="W76" s="43">
        <f t="shared" si="21"/>
        <v>4089830.1912000002</v>
      </c>
      <c r="X76" s="43">
        <v>19</v>
      </c>
      <c r="Y76" s="43">
        <f t="shared" si="75"/>
        <v>1556100</v>
      </c>
      <c r="Z76" s="43">
        <f t="shared" si="94"/>
        <v>197510.625</v>
      </c>
      <c r="AA76" s="43">
        <f t="shared" si="95"/>
        <v>38490.870600000002</v>
      </c>
      <c r="AB76" s="43">
        <f t="shared" si="96"/>
        <v>252813.6</v>
      </c>
      <c r="AC76" s="43">
        <f t="shared" si="23"/>
        <v>4089830.1912000002</v>
      </c>
      <c r="AD76" s="43">
        <v>19</v>
      </c>
      <c r="AE76" s="43">
        <f t="shared" si="76"/>
        <v>1556100</v>
      </c>
      <c r="AF76" s="43">
        <f t="shared" si="97"/>
        <v>197510.625</v>
      </c>
      <c r="AG76" s="43">
        <f t="shared" si="98"/>
        <v>38490.870600000002</v>
      </c>
      <c r="AH76" s="43">
        <f t="shared" si="99"/>
        <v>252813.6</v>
      </c>
      <c r="AI76" s="43">
        <f t="shared" si="25"/>
        <v>4089830.1912000002</v>
      </c>
      <c r="AJ76" s="43">
        <v>9</v>
      </c>
      <c r="AK76" s="43">
        <f t="shared" si="77"/>
        <v>737100</v>
      </c>
      <c r="AL76" s="43">
        <f t="shared" si="78"/>
        <v>79004.25</v>
      </c>
      <c r="AM76" s="43">
        <f t="shared" si="79"/>
        <v>15396.348240000003</v>
      </c>
      <c r="AN76" s="43">
        <f t="shared" si="80"/>
        <v>101125.44</v>
      </c>
      <c r="AO76" s="43">
        <f t="shared" si="30"/>
        <v>1865252.0764799998</v>
      </c>
      <c r="AP76" s="43">
        <v>0</v>
      </c>
      <c r="AQ76" s="43">
        <f t="shared" si="81"/>
        <v>0</v>
      </c>
      <c r="AR76" s="43">
        <f t="shared" si="82"/>
        <v>65836.875</v>
      </c>
      <c r="AS76" s="43">
        <f t="shared" si="83"/>
        <v>12830.290200000001</v>
      </c>
      <c r="AT76" s="43">
        <f t="shared" si="84"/>
        <v>84271.200000000012</v>
      </c>
      <c r="AU76" s="43">
        <f t="shared" si="35"/>
        <v>325876.7304</v>
      </c>
      <c r="AV76" s="46"/>
      <c r="AW76" s="46"/>
      <c r="AX76" s="46"/>
      <c r="AY76" s="46"/>
      <c r="AZ76" s="46"/>
      <c r="BA76" s="46"/>
      <c r="BB76" s="46"/>
      <c r="BC76" s="46"/>
      <c r="BD76" s="46"/>
      <c r="BE76" s="46"/>
      <c r="BF76" s="46"/>
      <c r="BG76" s="46"/>
      <c r="BH76" s="46"/>
      <c r="BI76" s="46"/>
      <c r="BJ76" s="46"/>
      <c r="BK76" s="46"/>
      <c r="BL76" s="46"/>
      <c r="BM76" s="46"/>
      <c r="BN76" s="46"/>
      <c r="BO76" s="46"/>
      <c r="BP76" s="46"/>
      <c r="BQ76" s="46"/>
      <c r="BR76" s="46"/>
    </row>
    <row r="77" spans="1:70" s="37" customFormat="1" x14ac:dyDescent="0.25">
      <c r="A77" s="35" t="s">
        <v>55</v>
      </c>
      <c r="B77" s="36">
        <v>1</v>
      </c>
      <c r="C77" s="36">
        <v>80</v>
      </c>
      <c r="D77" s="36">
        <v>0</v>
      </c>
      <c r="E77" s="36">
        <f t="shared" ref="E77:E90" si="100">C77+D77</f>
        <v>80</v>
      </c>
      <c r="F77" s="36">
        <v>10</v>
      </c>
      <c r="G77" s="43">
        <f t="shared" si="72"/>
        <v>819000</v>
      </c>
      <c r="H77" s="43">
        <f t="shared" si="85"/>
        <v>85587.9375</v>
      </c>
      <c r="I77" s="43">
        <f t="shared" si="86"/>
        <v>16679.377260000001</v>
      </c>
      <c r="J77" s="43">
        <f t="shared" si="87"/>
        <v>109552.56000000001</v>
      </c>
      <c r="K77" s="43">
        <f t="shared" ref="K77:K87" si="101">SUM(G77:J77)*B77</f>
        <v>1030819.87476</v>
      </c>
      <c r="L77" s="43">
        <v>20</v>
      </c>
      <c r="M77" s="43">
        <f t="shared" si="73"/>
        <v>1638000</v>
      </c>
      <c r="N77" s="43">
        <f t="shared" si="88"/>
        <v>197510.625</v>
      </c>
      <c r="O77" s="43">
        <f t="shared" si="89"/>
        <v>38490.870600000002</v>
      </c>
      <c r="P77" s="43">
        <f t="shared" si="90"/>
        <v>252813.6</v>
      </c>
      <c r="Q77" s="43">
        <f t="shared" ref="Q77:Q90" si="102">SUM(M77:P77)*B77</f>
        <v>2126815.0956000001</v>
      </c>
      <c r="R77" s="43">
        <v>19</v>
      </c>
      <c r="S77" s="43">
        <f t="shared" si="74"/>
        <v>1556100</v>
      </c>
      <c r="T77" s="43">
        <f t="shared" si="91"/>
        <v>197510.625</v>
      </c>
      <c r="U77" s="43">
        <f t="shared" si="92"/>
        <v>38490.870600000002</v>
      </c>
      <c r="V77" s="43">
        <f t="shared" si="93"/>
        <v>252813.6</v>
      </c>
      <c r="W77" s="43">
        <f t="shared" ref="W77:W90" si="103">SUM(S77:V77)*B77</f>
        <v>2044915.0956000001</v>
      </c>
      <c r="X77" s="43">
        <v>19</v>
      </c>
      <c r="Y77" s="43">
        <f t="shared" si="75"/>
        <v>1556100</v>
      </c>
      <c r="Z77" s="43">
        <f t="shared" si="94"/>
        <v>197510.625</v>
      </c>
      <c r="AA77" s="43">
        <f t="shared" si="95"/>
        <v>38490.870600000002</v>
      </c>
      <c r="AB77" s="43">
        <f t="shared" si="96"/>
        <v>252813.6</v>
      </c>
      <c r="AC77" s="43">
        <f t="shared" ref="AC77:AC90" si="104">SUM(Y77:AB77)*B77</f>
        <v>2044915.0956000001</v>
      </c>
      <c r="AD77" s="43">
        <v>19</v>
      </c>
      <c r="AE77" s="43">
        <f t="shared" si="76"/>
        <v>1556100</v>
      </c>
      <c r="AF77" s="43">
        <f t="shared" si="97"/>
        <v>197510.625</v>
      </c>
      <c r="AG77" s="43">
        <f t="shared" si="98"/>
        <v>38490.870600000002</v>
      </c>
      <c r="AH77" s="43">
        <f t="shared" si="99"/>
        <v>252813.6</v>
      </c>
      <c r="AI77" s="43">
        <f t="shared" ref="AI77:AI90" si="105">SUM(AE77:AH77)*B77</f>
        <v>2044915.0956000001</v>
      </c>
      <c r="AJ77" s="43">
        <v>9</v>
      </c>
      <c r="AK77" s="43">
        <f t="shared" si="77"/>
        <v>737100</v>
      </c>
      <c r="AL77" s="43">
        <f t="shared" si="78"/>
        <v>79004.25</v>
      </c>
      <c r="AM77" s="43">
        <f t="shared" si="79"/>
        <v>15396.348240000003</v>
      </c>
      <c r="AN77" s="43">
        <f t="shared" si="80"/>
        <v>101125.44</v>
      </c>
      <c r="AO77" s="43">
        <f t="shared" ref="AO77:AO90" si="106">SUM(AK77:AN77)*B77</f>
        <v>932626.03823999991</v>
      </c>
      <c r="AP77" s="43">
        <v>0</v>
      </c>
      <c r="AQ77" s="43">
        <f t="shared" si="81"/>
        <v>0</v>
      </c>
      <c r="AR77" s="43">
        <f t="shared" si="82"/>
        <v>65836.875</v>
      </c>
      <c r="AS77" s="43">
        <f t="shared" si="83"/>
        <v>12830.290200000001</v>
      </c>
      <c r="AT77" s="43">
        <f t="shared" si="84"/>
        <v>84271.200000000012</v>
      </c>
      <c r="AU77" s="43">
        <f t="shared" ref="AU77:AU90" si="107">SUM(AQ77:AT77)*B77</f>
        <v>162938.3652</v>
      </c>
      <c r="AV77" s="46"/>
      <c r="AW77" s="46"/>
      <c r="AX77" s="46"/>
      <c r="AY77" s="46"/>
      <c r="AZ77" s="46"/>
      <c r="BA77" s="46"/>
      <c r="BB77" s="46"/>
      <c r="BC77" s="46"/>
      <c r="BD77" s="46"/>
      <c r="BE77" s="46"/>
      <c r="BF77" s="46"/>
      <c r="BG77" s="46"/>
      <c r="BH77" s="46"/>
      <c r="BI77" s="46"/>
      <c r="BJ77" s="46"/>
      <c r="BK77" s="46"/>
      <c r="BL77" s="46"/>
      <c r="BM77" s="46"/>
      <c r="BN77" s="46"/>
      <c r="BO77" s="46"/>
      <c r="BP77" s="46"/>
      <c r="BQ77" s="46"/>
      <c r="BR77" s="46"/>
    </row>
    <row r="78" spans="1:70" s="37" customFormat="1" x14ac:dyDescent="0.25">
      <c r="A78" s="35" t="s">
        <v>60</v>
      </c>
      <c r="B78" s="36">
        <v>1</v>
      </c>
      <c r="C78" s="36">
        <v>46</v>
      </c>
      <c r="D78" s="36">
        <v>0</v>
      </c>
      <c r="E78" s="36">
        <f t="shared" si="100"/>
        <v>46</v>
      </c>
      <c r="F78" s="36">
        <v>10</v>
      </c>
      <c r="G78" s="43">
        <f t="shared" si="72"/>
        <v>819000</v>
      </c>
      <c r="H78" s="43">
        <f t="shared" si="85"/>
        <v>85587.9375</v>
      </c>
      <c r="I78" s="43">
        <f t="shared" si="86"/>
        <v>16679.377260000001</v>
      </c>
      <c r="J78" s="43">
        <f t="shared" si="87"/>
        <v>109552.56000000001</v>
      </c>
      <c r="K78" s="43">
        <f t="shared" si="101"/>
        <v>1030819.87476</v>
      </c>
      <c r="L78" s="43">
        <v>20</v>
      </c>
      <c r="M78" s="43">
        <f t="shared" si="73"/>
        <v>1638000</v>
      </c>
      <c r="N78" s="43">
        <f t="shared" si="88"/>
        <v>197510.625</v>
      </c>
      <c r="O78" s="43">
        <f t="shared" si="89"/>
        <v>38490.870600000002</v>
      </c>
      <c r="P78" s="43">
        <f t="shared" si="90"/>
        <v>252813.6</v>
      </c>
      <c r="Q78" s="43">
        <f t="shared" si="102"/>
        <v>2126815.0956000001</v>
      </c>
      <c r="R78" s="43">
        <v>19</v>
      </c>
      <c r="S78" s="43">
        <f t="shared" si="74"/>
        <v>1556100</v>
      </c>
      <c r="T78" s="43">
        <f t="shared" si="91"/>
        <v>197510.625</v>
      </c>
      <c r="U78" s="43">
        <f t="shared" si="92"/>
        <v>38490.870600000002</v>
      </c>
      <c r="V78" s="43">
        <f t="shared" si="93"/>
        <v>252813.6</v>
      </c>
      <c r="W78" s="43">
        <f t="shared" si="103"/>
        <v>2044915.0956000001</v>
      </c>
      <c r="X78" s="43">
        <v>19</v>
      </c>
      <c r="Y78" s="43">
        <f t="shared" si="75"/>
        <v>1556100</v>
      </c>
      <c r="Z78" s="43">
        <f t="shared" si="94"/>
        <v>197510.625</v>
      </c>
      <c r="AA78" s="43">
        <f t="shared" si="95"/>
        <v>38490.870600000002</v>
      </c>
      <c r="AB78" s="43">
        <f t="shared" si="96"/>
        <v>252813.6</v>
      </c>
      <c r="AC78" s="43">
        <f t="shared" si="104"/>
        <v>2044915.0956000001</v>
      </c>
      <c r="AD78" s="43">
        <v>19</v>
      </c>
      <c r="AE78" s="43">
        <f t="shared" si="76"/>
        <v>1556100</v>
      </c>
      <c r="AF78" s="43">
        <f t="shared" si="97"/>
        <v>197510.625</v>
      </c>
      <c r="AG78" s="43">
        <f t="shared" si="98"/>
        <v>38490.870600000002</v>
      </c>
      <c r="AH78" s="43">
        <f t="shared" si="99"/>
        <v>252813.6</v>
      </c>
      <c r="AI78" s="43">
        <f t="shared" si="105"/>
        <v>2044915.0956000001</v>
      </c>
      <c r="AJ78" s="43">
        <v>9</v>
      </c>
      <c r="AK78" s="43">
        <f t="shared" si="77"/>
        <v>737100</v>
      </c>
      <c r="AL78" s="43">
        <f t="shared" si="78"/>
        <v>79004.25</v>
      </c>
      <c r="AM78" s="43">
        <f t="shared" si="79"/>
        <v>15396.348240000003</v>
      </c>
      <c r="AN78" s="43">
        <f t="shared" si="80"/>
        <v>101125.44</v>
      </c>
      <c r="AO78" s="43">
        <f t="shared" si="106"/>
        <v>932626.03823999991</v>
      </c>
      <c r="AP78" s="43">
        <v>0</v>
      </c>
      <c r="AQ78" s="43">
        <f t="shared" si="81"/>
        <v>0</v>
      </c>
      <c r="AR78" s="43">
        <f t="shared" si="82"/>
        <v>65836.875</v>
      </c>
      <c r="AS78" s="43">
        <f t="shared" si="83"/>
        <v>12830.290200000001</v>
      </c>
      <c r="AT78" s="43">
        <f t="shared" si="84"/>
        <v>84271.200000000012</v>
      </c>
      <c r="AU78" s="43">
        <f t="shared" si="107"/>
        <v>162938.3652</v>
      </c>
      <c r="AV78" s="46"/>
      <c r="AW78" s="46"/>
      <c r="AX78" s="46"/>
      <c r="AY78" s="46"/>
      <c r="AZ78" s="46"/>
      <c r="BA78" s="46"/>
      <c r="BB78" s="46"/>
      <c r="BC78" s="46"/>
      <c r="BD78" s="46"/>
      <c r="BE78" s="46"/>
      <c r="BF78" s="46"/>
      <c r="BG78" s="46"/>
      <c r="BH78" s="46"/>
      <c r="BI78" s="46"/>
      <c r="BJ78" s="46"/>
      <c r="BK78" s="46"/>
      <c r="BL78" s="46"/>
      <c r="BM78" s="46"/>
      <c r="BN78" s="46"/>
      <c r="BO78" s="46"/>
      <c r="BP78" s="46"/>
      <c r="BQ78" s="46"/>
      <c r="BR78" s="46"/>
    </row>
    <row r="79" spans="1:70" s="37" customFormat="1" x14ac:dyDescent="0.25">
      <c r="A79" s="35" t="s">
        <v>64</v>
      </c>
      <c r="B79" s="36">
        <v>1</v>
      </c>
      <c r="C79" s="36">
        <v>44</v>
      </c>
      <c r="D79" s="36">
        <v>0</v>
      </c>
      <c r="E79" s="36">
        <f t="shared" si="100"/>
        <v>44</v>
      </c>
      <c r="F79" s="36">
        <v>10</v>
      </c>
      <c r="G79" s="43">
        <f t="shared" si="72"/>
        <v>819000</v>
      </c>
      <c r="H79" s="43">
        <f t="shared" si="85"/>
        <v>85587.9375</v>
      </c>
      <c r="I79" s="43">
        <f t="shared" si="86"/>
        <v>16679.377260000001</v>
      </c>
      <c r="J79" s="43">
        <f t="shared" si="87"/>
        <v>109552.56000000001</v>
      </c>
      <c r="K79" s="43">
        <f t="shared" si="101"/>
        <v>1030819.87476</v>
      </c>
      <c r="L79" s="43">
        <v>20</v>
      </c>
      <c r="M79" s="43">
        <f t="shared" si="73"/>
        <v>1638000</v>
      </c>
      <c r="N79" s="43">
        <f t="shared" si="88"/>
        <v>197510.625</v>
      </c>
      <c r="O79" s="43">
        <f t="shared" si="89"/>
        <v>38490.870600000002</v>
      </c>
      <c r="P79" s="43">
        <f t="shared" si="90"/>
        <v>252813.6</v>
      </c>
      <c r="Q79" s="43">
        <f t="shared" si="102"/>
        <v>2126815.0956000001</v>
      </c>
      <c r="R79" s="43">
        <v>19</v>
      </c>
      <c r="S79" s="43">
        <f t="shared" si="74"/>
        <v>1556100</v>
      </c>
      <c r="T79" s="43">
        <f t="shared" si="91"/>
        <v>197510.625</v>
      </c>
      <c r="U79" s="43">
        <f t="shared" si="92"/>
        <v>38490.870600000002</v>
      </c>
      <c r="V79" s="43">
        <f t="shared" si="93"/>
        <v>252813.6</v>
      </c>
      <c r="W79" s="43">
        <f t="shared" si="103"/>
        <v>2044915.0956000001</v>
      </c>
      <c r="X79" s="43">
        <v>19</v>
      </c>
      <c r="Y79" s="43">
        <f t="shared" si="75"/>
        <v>1556100</v>
      </c>
      <c r="Z79" s="43">
        <f t="shared" si="94"/>
        <v>197510.625</v>
      </c>
      <c r="AA79" s="43">
        <f t="shared" si="95"/>
        <v>38490.870600000002</v>
      </c>
      <c r="AB79" s="43">
        <f t="shared" si="96"/>
        <v>252813.6</v>
      </c>
      <c r="AC79" s="43">
        <f t="shared" si="104"/>
        <v>2044915.0956000001</v>
      </c>
      <c r="AD79" s="43">
        <v>19</v>
      </c>
      <c r="AE79" s="43">
        <f t="shared" si="76"/>
        <v>1556100</v>
      </c>
      <c r="AF79" s="43">
        <f t="shared" si="97"/>
        <v>197510.625</v>
      </c>
      <c r="AG79" s="43">
        <f t="shared" si="98"/>
        <v>38490.870600000002</v>
      </c>
      <c r="AH79" s="43">
        <f t="shared" si="99"/>
        <v>252813.6</v>
      </c>
      <c r="AI79" s="43">
        <f t="shared" si="105"/>
        <v>2044915.0956000001</v>
      </c>
      <c r="AJ79" s="43">
        <v>9</v>
      </c>
      <c r="AK79" s="43">
        <f t="shared" si="77"/>
        <v>737100</v>
      </c>
      <c r="AL79" s="43">
        <f t="shared" si="78"/>
        <v>79004.25</v>
      </c>
      <c r="AM79" s="43">
        <f t="shared" si="79"/>
        <v>15396.348240000003</v>
      </c>
      <c r="AN79" s="43">
        <f t="shared" si="80"/>
        <v>101125.44</v>
      </c>
      <c r="AO79" s="43">
        <f t="shared" si="106"/>
        <v>932626.03823999991</v>
      </c>
      <c r="AP79" s="43">
        <v>0</v>
      </c>
      <c r="AQ79" s="43">
        <f t="shared" si="81"/>
        <v>0</v>
      </c>
      <c r="AR79" s="43">
        <f t="shared" si="82"/>
        <v>65836.875</v>
      </c>
      <c r="AS79" s="43">
        <f t="shared" si="83"/>
        <v>12830.290200000001</v>
      </c>
      <c r="AT79" s="43">
        <f t="shared" si="84"/>
        <v>84271.200000000012</v>
      </c>
      <c r="AU79" s="43">
        <f t="shared" si="107"/>
        <v>162938.3652</v>
      </c>
      <c r="AV79" s="46"/>
      <c r="AW79" s="46"/>
      <c r="AX79" s="46"/>
      <c r="AY79" s="46"/>
      <c r="AZ79" s="46"/>
      <c r="BA79" s="46"/>
      <c r="BB79" s="46"/>
      <c r="BC79" s="46"/>
      <c r="BD79" s="46"/>
      <c r="BE79" s="46"/>
      <c r="BF79" s="46"/>
      <c r="BG79" s="46"/>
      <c r="BH79" s="46"/>
      <c r="BI79" s="46"/>
      <c r="BJ79" s="46"/>
      <c r="BK79" s="46"/>
      <c r="BL79" s="46"/>
      <c r="BM79" s="46"/>
      <c r="BN79" s="46"/>
      <c r="BO79" s="46"/>
      <c r="BP79" s="46"/>
      <c r="BQ79" s="46"/>
      <c r="BR79" s="46"/>
    </row>
    <row r="80" spans="1:70" s="37" customFormat="1" x14ac:dyDescent="0.25">
      <c r="A80" s="35" t="s">
        <v>65</v>
      </c>
      <c r="B80" s="36">
        <v>1</v>
      </c>
      <c r="C80" s="36">
        <v>68</v>
      </c>
      <c r="D80" s="36">
        <v>0</v>
      </c>
      <c r="E80" s="36">
        <f t="shared" si="100"/>
        <v>68</v>
      </c>
      <c r="F80" s="36">
        <v>10</v>
      </c>
      <c r="G80" s="43">
        <f t="shared" si="72"/>
        <v>819000</v>
      </c>
      <c r="H80" s="43">
        <f t="shared" si="85"/>
        <v>85587.9375</v>
      </c>
      <c r="I80" s="43">
        <f t="shared" si="86"/>
        <v>16679.377260000001</v>
      </c>
      <c r="J80" s="43">
        <f t="shared" si="87"/>
        <v>109552.56000000001</v>
      </c>
      <c r="K80" s="43">
        <f t="shared" si="101"/>
        <v>1030819.87476</v>
      </c>
      <c r="L80" s="43">
        <v>20</v>
      </c>
      <c r="M80" s="43">
        <f t="shared" si="73"/>
        <v>1638000</v>
      </c>
      <c r="N80" s="43">
        <f t="shared" si="88"/>
        <v>197510.625</v>
      </c>
      <c r="O80" s="43">
        <f t="shared" si="89"/>
        <v>38490.870600000002</v>
      </c>
      <c r="P80" s="43">
        <f t="shared" si="90"/>
        <v>252813.6</v>
      </c>
      <c r="Q80" s="43">
        <f t="shared" si="102"/>
        <v>2126815.0956000001</v>
      </c>
      <c r="R80" s="43">
        <v>19</v>
      </c>
      <c r="S80" s="43">
        <f t="shared" si="74"/>
        <v>1556100</v>
      </c>
      <c r="T80" s="43">
        <f t="shared" si="91"/>
        <v>197510.625</v>
      </c>
      <c r="U80" s="43">
        <f t="shared" si="92"/>
        <v>38490.870600000002</v>
      </c>
      <c r="V80" s="43">
        <f t="shared" si="93"/>
        <v>252813.6</v>
      </c>
      <c r="W80" s="43">
        <f t="shared" si="103"/>
        <v>2044915.0956000001</v>
      </c>
      <c r="X80" s="43">
        <v>19</v>
      </c>
      <c r="Y80" s="43">
        <f t="shared" si="75"/>
        <v>1556100</v>
      </c>
      <c r="Z80" s="43">
        <f t="shared" si="94"/>
        <v>197510.625</v>
      </c>
      <c r="AA80" s="43">
        <f t="shared" si="95"/>
        <v>38490.870600000002</v>
      </c>
      <c r="AB80" s="43">
        <f t="shared" si="96"/>
        <v>252813.6</v>
      </c>
      <c r="AC80" s="43">
        <f t="shared" si="104"/>
        <v>2044915.0956000001</v>
      </c>
      <c r="AD80" s="43">
        <v>19</v>
      </c>
      <c r="AE80" s="43">
        <f t="shared" si="76"/>
        <v>1556100</v>
      </c>
      <c r="AF80" s="43">
        <f t="shared" si="97"/>
        <v>197510.625</v>
      </c>
      <c r="AG80" s="43">
        <f t="shared" si="98"/>
        <v>38490.870600000002</v>
      </c>
      <c r="AH80" s="43">
        <f t="shared" si="99"/>
        <v>252813.6</v>
      </c>
      <c r="AI80" s="43">
        <f t="shared" si="105"/>
        <v>2044915.0956000001</v>
      </c>
      <c r="AJ80" s="43">
        <v>9</v>
      </c>
      <c r="AK80" s="43">
        <f t="shared" si="77"/>
        <v>737100</v>
      </c>
      <c r="AL80" s="43">
        <f t="shared" si="78"/>
        <v>79004.25</v>
      </c>
      <c r="AM80" s="43">
        <f t="shared" si="79"/>
        <v>15396.348240000003</v>
      </c>
      <c r="AN80" s="43">
        <f t="shared" si="80"/>
        <v>101125.44</v>
      </c>
      <c r="AO80" s="43">
        <f t="shared" si="106"/>
        <v>932626.03823999991</v>
      </c>
      <c r="AP80" s="43">
        <v>0</v>
      </c>
      <c r="AQ80" s="43">
        <f t="shared" si="81"/>
        <v>0</v>
      </c>
      <c r="AR80" s="43">
        <f t="shared" si="82"/>
        <v>65836.875</v>
      </c>
      <c r="AS80" s="43">
        <f t="shared" si="83"/>
        <v>12830.290200000001</v>
      </c>
      <c r="AT80" s="43">
        <f t="shared" si="84"/>
        <v>84271.200000000012</v>
      </c>
      <c r="AU80" s="43">
        <f t="shared" si="107"/>
        <v>162938.3652</v>
      </c>
      <c r="AV80" s="46"/>
      <c r="AW80" s="46"/>
      <c r="AX80" s="46"/>
      <c r="AY80" s="46"/>
      <c r="AZ80" s="46"/>
      <c r="BA80" s="46"/>
      <c r="BB80" s="46"/>
      <c r="BC80" s="46"/>
      <c r="BD80" s="46"/>
      <c r="BE80" s="46"/>
      <c r="BF80" s="46"/>
      <c r="BG80" s="46"/>
      <c r="BH80" s="46"/>
      <c r="BI80" s="46"/>
      <c r="BJ80" s="46"/>
      <c r="BK80" s="46"/>
      <c r="BL80" s="46"/>
      <c r="BM80" s="46"/>
      <c r="BN80" s="46"/>
      <c r="BO80" s="46"/>
      <c r="BP80" s="46"/>
      <c r="BQ80" s="46"/>
      <c r="BR80" s="46"/>
    </row>
    <row r="81" spans="1:70" s="37" customFormat="1" ht="30" x14ac:dyDescent="0.25">
      <c r="A81" s="35" t="s">
        <v>66</v>
      </c>
      <c r="B81" s="36">
        <v>2</v>
      </c>
      <c r="C81" s="36">
        <v>234</v>
      </c>
      <c r="D81" s="36">
        <v>0</v>
      </c>
      <c r="E81" s="36">
        <f t="shared" si="100"/>
        <v>234</v>
      </c>
      <c r="F81" s="36">
        <v>10</v>
      </c>
      <c r="G81" s="43">
        <f t="shared" si="72"/>
        <v>819000</v>
      </c>
      <c r="H81" s="43">
        <f t="shared" si="85"/>
        <v>85587.9375</v>
      </c>
      <c r="I81" s="43">
        <f t="shared" si="86"/>
        <v>16679.377260000001</v>
      </c>
      <c r="J81" s="43">
        <f t="shared" si="87"/>
        <v>109552.56000000001</v>
      </c>
      <c r="K81" s="43">
        <f t="shared" si="101"/>
        <v>2061639.7495200001</v>
      </c>
      <c r="L81" s="43">
        <v>20</v>
      </c>
      <c r="M81" s="43">
        <f t="shared" si="73"/>
        <v>1638000</v>
      </c>
      <c r="N81" s="43">
        <f t="shared" si="88"/>
        <v>197510.625</v>
      </c>
      <c r="O81" s="43">
        <f t="shared" si="89"/>
        <v>38490.870600000002</v>
      </c>
      <c r="P81" s="43">
        <f t="shared" si="90"/>
        <v>252813.6</v>
      </c>
      <c r="Q81" s="43">
        <f t="shared" si="102"/>
        <v>4253630.1912000002</v>
      </c>
      <c r="R81" s="43">
        <v>19</v>
      </c>
      <c r="S81" s="43">
        <f t="shared" si="74"/>
        <v>1556100</v>
      </c>
      <c r="T81" s="43">
        <f t="shared" si="91"/>
        <v>197510.625</v>
      </c>
      <c r="U81" s="43">
        <f t="shared" si="92"/>
        <v>38490.870600000002</v>
      </c>
      <c r="V81" s="43">
        <f t="shared" si="93"/>
        <v>252813.6</v>
      </c>
      <c r="W81" s="43">
        <f t="shared" si="103"/>
        <v>4089830.1912000002</v>
      </c>
      <c r="X81" s="43">
        <v>19</v>
      </c>
      <c r="Y81" s="43">
        <f t="shared" si="75"/>
        <v>1556100</v>
      </c>
      <c r="Z81" s="43">
        <f t="shared" si="94"/>
        <v>197510.625</v>
      </c>
      <c r="AA81" s="43">
        <f t="shared" si="95"/>
        <v>38490.870600000002</v>
      </c>
      <c r="AB81" s="43">
        <f t="shared" si="96"/>
        <v>252813.6</v>
      </c>
      <c r="AC81" s="43">
        <f t="shared" si="104"/>
        <v>4089830.1912000002</v>
      </c>
      <c r="AD81" s="43">
        <v>19</v>
      </c>
      <c r="AE81" s="43">
        <f t="shared" si="76"/>
        <v>1556100</v>
      </c>
      <c r="AF81" s="43">
        <f t="shared" si="97"/>
        <v>197510.625</v>
      </c>
      <c r="AG81" s="43">
        <f t="shared" si="98"/>
        <v>38490.870600000002</v>
      </c>
      <c r="AH81" s="43">
        <f t="shared" si="99"/>
        <v>252813.6</v>
      </c>
      <c r="AI81" s="43">
        <f t="shared" si="105"/>
        <v>4089830.1912000002</v>
      </c>
      <c r="AJ81" s="43">
        <v>9</v>
      </c>
      <c r="AK81" s="43">
        <f t="shared" si="77"/>
        <v>737100</v>
      </c>
      <c r="AL81" s="43">
        <f t="shared" si="78"/>
        <v>79004.25</v>
      </c>
      <c r="AM81" s="43">
        <f t="shared" si="79"/>
        <v>15396.348240000003</v>
      </c>
      <c r="AN81" s="43">
        <f t="shared" si="80"/>
        <v>101125.44</v>
      </c>
      <c r="AO81" s="43">
        <f t="shared" si="106"/>
        <v>1865252.0764799998</v>
      </c>
      <c r="AP81" s="43">
        <v>0</v>
      </c>
      <c r="AQ81" s="43">
        <f t="shared" si="81"/>
        <v>0</v>
      </c>
      <c r="AR81" s="43">
        <f t="shared" si="82"/>
        <v>65836.875</v>
      </c>
      <c r="AS81" s="43">
        <f t="shared" si="83"/>
        <v>12830.290200000001</v>
      </c>
      <c r="AT81" s="43">
        <f t="shared" si="84"/>
        <v>84271.200000000012</v>
      </c>
      <c r="AU81" s="43">
        <f t="shared" si="107"/>
        <v>325876.7304</v>
      </c>
      <c r="AV81" s="46"/>
      <c r="AW81" s="46"/>
      <c r="AX81" s="46"/>
      <c r="AY81" s="46"/>
      <c r="AZ81" s="46"/>
      <c r="BA81" s="46"/>
      <c r="BB81" s="46"/>
      <c r="BC81" s="46"/>
      <c r="BD81" s="46"/>
      <c r="BE81" s="46"/>
      <c r="BF81" s="46"/>
      <c r="BG81" s="46"/>
      <c r="BH81" s="46"/>
      <c r="BI81" s="46"/>
      <c r="BJ81" s="46"/>
      <c r="BK81" s="46"/>
      <c r="BL81" s="46"/>
      <c r="BM81" s="46"/>
      <c r="BN81" s="46"/>
      <c r="BO81" s="46"/>
      <c r="BP81" s="46"/>
      <c r="BQ81" s="46"/>
      <c r="BR81" s="46"/>
    </row>
    <row r="82" spans="1:70" s="37" customFormat="1" x14ac:dyDescent="0.25">
      <c r="A82" s="35" t="s">
        <v>67</v>
      </c>
      <c r="B82" s="36">
        <v>2</v>
      </c>
      <c r="C82" s="36">
        <v>329</v>
      </c>
      <c r="D82" s="36">
        <v>0</v>
      </c>
      <c r="E82" s="36">
        <f t="shared" si="100"/>
        <v>329</v>
      </c>
      <c r="F82" s="36">
        <v>10</v>
      </c>
      <c r="G82" s="43">
        <f t="shared" si="72"/>
        <v>819000</v>
      </c>
      <c r="H82" s="43">
        <f t="shared" si="85"/>
        <v>85587.9375</v>
      </c>
      <c r="I82" s="43">
        <f t="shared" si="86"/>
        <v>16679.377260000001</v>
      </c>
      <c r="J82" s="43">
        <f t="shared" si="87"/>
        <v>109552.56000000001</v>
      </c>
      <c r="K82" s="43">
        <f t="shared" si="101"/>
        <v>2061639.7495200001</v>
      </c>
      <c r="L82" s="43">
        <v>20</v>
      </c>
      <c r="M82" s="43">
        <f t="shared" si="73"/>
        <v>1638000</v>
      </c>
      <c r="N82" s="43">
        <f t="shared" si="88"/>
        <v>197510.625</v>
      </c>
      <c r="O82" s="43">
        <f t="shared" si="89"/>
        <v>38490.870600000002</v>
      </c>
      <c r="P82" s="43">
        <f t="shared" si="90"/>
        <v>252813.6</v>
      </c>
      <c r="Q82" s="43">
        <f t="shared" si="102"/>
        <v>4253630.1912000002</v>
      </c>
      <c r="R82" s="43">
        <v>19</v>
      </c>
      <c r="S82" s="43">
        <f t="shared" si="74"/>
        <v>1556100</v>
      </c>
      <c r="T82" s="43">
        <f t="shared" si="91"/>
        <v>197510.625</v>
      </c>
      <c r="U82" s="43">
        <f t="shared" si="92"/>
        <v>38490.870600000002</v>
      </c>
      <c r="V82" s="43">
        <f t="shared" si="93"/>
        <v>252813.6</v>
      </c>
      <c r="W82" s="43">
        <f t="shared" si="103"/>
        <v>4089830.1912000002</v>
      </c>
      <c r="X82" s="43">
        <v>19</v>
      </c>
      <c r="Y82" s="43">
        <f t="shared" si="75"/>
        <v>1556100</v>
      </c>
      <c r="Z82" s="43">
        <f t="shared" si="94"/>
        <v>197510.625</v>
      </c>
      <c r="AA82" s="43">
        <f t="shared" si="95"/>
        <v>38490.870600000002</v>
      </c>
      <c r="AB82" s="43">
        <f t="shared" si="96"/>
        <v>252813.6</v>
      </c>
      <c r="AC82" s="43">
        <f t="shared" si="104"/>
        <v>4089830.1912000002</v>
      </c>
      <c r="AD82" s="43">
        <v>19</v>
      </c>
      <c r="AE82" s="43">
        <f t="shared" si="76"/>
        <v>1556100</v>
      </c>
      <c r="AF82" s="43">
        <f t="shared" si="97"/>
        <v>197510.625</v>
      </c>
      <c r="AG82" s="43">
        <f t="shared" si="98"/>
        <v>38490.870600000002</v>
      </c>
      <c r="AH82" s="43">
        <f t="shared" si="99"/>
        <v>252813.6</v>
      </c>
      <c r="AI82" s="43">
        <f t="shared" si="105"/>
        <v>4089830.1912000002</v>
      </c>
      <c r="AJ82" s="43">
        <v>9</v>
      </c>
      <c r="AK82" s="43">
        <f t="shared" si="77"/>
        <v>737100</v>
      </c>
      <c r="AL82" s="43">
        <f>($D$4*12.5%)/30*12</f>
        <v>79004.25</v>
      </c>
      <c r="AM82" s="43">
        <f>($D$4*2.436%)/30*12</f>
        <v>15396.348240000003</v>
      </c>
      <c r="AN82" s="43">
        <f>($D$4*16%)/30*12</f>
        <v>101125.44</v>
      </c>
      <c r="AO82" s="43">
        <f t="shared" si="106"/>
        <v>1865252.0764799998</v>
      </c>
      <c r="AP82" s="43">
        <v>0</v>
      </c>
      <c r="AQ82" s="43">
        <f t="shared" si="81"/>
        <v>0</v>
      </c>
      <c r="AR82" s="43">
        <f t="shared" si="82"/>
        <v>65836.875</v>
      </c>
      <c r="AS82" s="43">
        <f t="shared" si="83"/>
        <v>12830.290200000001</v>
      </c>
      <c r="AT82" s="43">
        <f t="shared" si="84"/>
        <v>84271.200000000012</v>
      </c>
      <c r="AU82" s="43">
        <f t="shared" si="107"/>
        <v>325876.7304</v>
      </c>
      <c r="AV82" s="46"/>
      <c r="AW82" s="46"/>
      <c r="AX82" s="46"/>
      <c r="AY82" s="46"/>
      <c r="AZ82" s="46"/>
      <c r="BA82" s="46"/>
      <c r="BB82" s="46"/>
      <c r="BC82" s="46"/>
      <c r="BD82" s="46"/>
      <c r="BE82" s="46"/>
      <c r="BF82" s="46"/>
      <c r="BG82" s="46"/>
      <c r="BH82" s="46"/>
      <c r="BI82" s="46"/>
      <c r="BJ82" s="46"/>
      <c r="BK82" s="46"/>
      <c r="BL82" s="46"/>
      <c r="BM82" s="46"/>
      <c r="BN82" s="46"/>
      <c r="BO82" s="46"/>
      <c r="BP82" s="46"/>
      <c r="BQ82" s="46"/>
      <c r="BR82" s="46"/>
    </row>
    <row r="83" spans="1:70" s="37" customFormat="1" x14ac:dyDescent="0.25">
      <c r="A83" s="35" t="s">
        <v>82</v>
      </c>
      <c r="B83" s="36">
        <v>1</v>
      </c>
      <c r="C83" s="36">
        <v>44</v>
      </c>
      <c r="D83" s="36">
        <v>0</v>
      </c>
      <c r="E83" s="36">
        <f t="shared" si="100"/>
        <v>44</v>
      </c>
      <c r="F83" s="36">
        <v>10</v>
      </c>
      <c r="G83" s="43">
        <f t="shared" si="72"/>
        <v>819000</v>
      </c>
      <c r="H83" s="43">
        <f t="shared" si="85"/>
        <v>85587.9375</v>
      </c>
      <c r="I83" s="43">
        <f t="shared" si="86"/>
        <v>16679.377260000001</v>
      </c>
      <c r="J83" s="43">
        <f t="shared" si="87"/>
        <v>109552.56000000001</v>
      </c>
      <c r="K83" s="43">
        <f t="shared" si="101"/>
        <v>1030819.87476</v>
      </c>
      <c r="L83" s="43">
        <v>20</v>
      </c>
      <c r="M83" s="43">
        <f t="shared" si="73"/>
        <v>1638000</v>
      </c>
      <c r="N83" s="43">
        <f t="shared" si="88"/>
        <v>197510.625</v>
      </c>
      <c r="O83" s="43">
        <f t="shared" si="89"/>
        <v>38490.870600000002</v>
      </c>
      <c r="P83" s="43">
        <f t="shared" si="90"/>
        <v>252813.6</v>
      </c>
      <c r="Q83" s="43">
        <f t="shared" si="102"/>
        <v>2126815.0956000001</v>
      </c>
      <c r="R83" s="43">
        <v>19</v>
      </c>
      <c r="S83" s="43">
        <f t="shared" si="74"/>
        <v>1556100</v>
      </c>
      <c r="T83" s="43">
        <f t="shared" si="91"/>
        <v>197510.625</v>
      </c>
      <c r="U83" s="43">
        <f t="shared" si="92"/>
        <v>38490.870600000002</v>
      </c>
      <c r="V83" s="43">
        <f t="shared" si="93"/>
        <v>252813.6</v>
      </c>
      <c r="W83" s="43">
        <f t="shared" si="103"/>
        <v>2044915.0956000001</v>
      </c>
      <c r="X83" s="43">
        <v>19</v>
      </c>
      <c r="Y83" s="43">
        <f t="shared" si="75"/>
        <v>1556100</v>
      </c>
      <c r="Z83" s="43">
        <f t="shared" si="94"/>
        <v>197510.625</v>
      </c>
      <c r="AA83" s="43">
        <f t="shared" si="95"/>
        <v>38490.870600000002</v>
      </c>
      <c r="AB83" s="43">
        <f t="shared" si="96"/>
        <v>252813.6</v>
      </c>
      <c r="AC83" s="43">
        <f t="shared" si="104"/>
        <v>2044915.0956000001</v>
      </c>
      <c r="AD83" s="43">
        <v>19</v>
      </c>
      <c r="AE83" s="43">
        <f t="shared" si="76"/>
        <v>1556100</v>
      </c>
      <c r="AF83" s="43">
        <f t="shared" si="97"/>
        <v>197510.625</v>
      </c>
      <c r="AG83" s="43">
        <f t="shared" si="98"/>
        <v>38490.870600000002</v>
      </c>
      <c r="AH83" s="43">
        <f t="shared" si="99"/>
        <v>252813.6</v>
      </c>
      <c r="AI83" s="43">
        <f t="shared" si="105"/>
        <v>2044915.0956000001</v>
      </c>
      <c r="AJ83" s="43">
        <v>9</v>
      </c>
      <c r="AK83" s="43">
        <f t="shared" si="77"/>
        <v>737100</v>
      </c>
      <c r="AL83" s="43">
        <f t="shared" si="78"/>
        <v>79004.25</v>
      </c>
      <c r="AM83" s="43">
        <f t="shared" si="79"/>
        <v>15396.348240000003</v>
      </c>
      <c r="AN83" s="43">
        <f t="shared" si="80"/>
        <v>101125.44</v>
      </c>
      <c r="AO83" s="43">
        <f t="shared" si="106"/>
        <v>932626.03823999991</v>
      </c>
      <c r="AP83" s="43">
        <v>0</v>
      </c>
      <c r="AQ83" s="43">
        <f t="shared" si="81"/>
        <v>0</v>
      </c>
      <c r="AR83" s="43">
        <f t="shared" si="82"/>
        <v>65836.875</v>
      </c>
      <c r="AS83" s="43">
        <f t="shared" si="83"/>
        <v>12830.290200000001</v>
      </c>
      <c r="AT83" s="43">
        <f t="shared" si="84"/>
        <v>84271.200000000012</v>
      </c>
      <c r="AU83" s="43">
        <f t="shared" si="107"/>
        <v>162938.3652</v>
      </c>
      <c r="AV83" s="46"/>
      <c r="AW83" s="46"/>
      <c r="AX83" s="46"/>
      <c r="AY83" s="46"/>
      <c r="AZ83" s="46"/>
      <c r="BA83" s="46"/>
      <c r="BB83" s="46"/>
      <c r="BC83" s="46"/>
      <c r="BD83" s="46"/>
      <c r="BE83" s="46"/>
      <c r="BF83" s="46"/>
      <c r="BG83" s="46"/>
      <c r="BH83" s="46"/>
      <c r="BI83" s="46"/>
      <c r="BJ83" s="46"/>
      <c r="BK83" s="46"/>
      <c r="BL83" s="46"/>
      <c r="BM83" s="46"/>
      <c r="BN83" s="46"/>
      <c r="BO83" s="46"/>
      <c r="BP83" s="46"/>
      <c r="BQ83" s="46"/>
      <c r="BR83" s="46"/>
    </row>
    <row r="84" spans="1:70" s="37" customFormat="1" ht="30" x14ac:dyDescent="0.25">
      <c r="A84" s="35" t="s">
        <v>77</v>
      </c>
      <c r="B84" s="36">
        <v>4</v>
      </c>
      <c r="C84" s="36">
        <v>677</v>
      </c>
      <c r="D84" s="36">
        <v>0</v>
      </c>
      <c r="E84" s="36">
        <f t="shared" si="100"/>
        <v>677</v>
      </c>
      <c r="F84" s="36">
        <v>10</v>
      </c>
      <c r="G84" s="43">
        <f t="shared" si="72"/>
        <v>819000</v>
      </c>
      <c r="H84" s="43">
        <f t="shared" si="85"/>
        <v>85587.9375</v>
      </c>
      <c r="I84" s="43">
        <f t="shared" si="86"/>
        <v>16679.377260000001</v>
      </c>
      <c r="J84" s="43">
        <f t="shared" si="87"/>
        <v>109552.56000000001</v>
      </c>
      <c r="K84" s="43">
        <f t="shared" si="101"/>
        <v>4123279.4990400001</v>
      </c>
      <c r="L84" s="43">
        <v>20</v>
      </c>
      <c r="M84" s="43">
        <f t="shared" si="73"/>
        <v>1638000</v>
      </c>
      <c r="N84" s="43">
        <f t="shared" si="88"/>
        <v>197510.625</v>
      </c>
      <c r="O84" s="43">
        <f t="shared" si="89"/>
        <v>38490.870600000002</v>
      </c>
      <c r="P84" s="43">
        <f t="shared" si="90"/>
        <v>252813.6</v>
      </c>
      <c r="Q84" s="43">
        <f t="shared" si="102"/>
        <v>8507260.3824000005</v>
      </c>
      <c r="R84" s="43">
        <v>19</v>
      </c>
      <c r="S84" s="43">
        <f t="shared" si="74"/>
        <v>1556100</v>
      </c>
      <c r="T84" s="43">
        <f t="shared" si="91"/>
        <v>197510.625</v>
      </c>
      <c r="U84" s="43">
        <f t="shared" si="92"/>
        <v>38490.870600000002</v>
      </c>
      <c r="V84" s="43">
        <f t="shared" si="93"/>
        <v>252813.6</v>
      </c>
      <c r="W84" s="43">
        <f t="shared" si="103"/>
        <v>8179660.3824000005</v>
      </c>
      <c r="X84" s="43">
        <v>19</v>
      </c>
      <c r="Y84" s="43">
        <f t="shared" si="75"/>
        <v>1556100</v>
      </c>
      <c r="Z84" s="43">
        <f t="shared" si="94"/>
        <v>197510.625</v>
      </c>
      <c r="AA84" s="43">
        <f t="shared" si="95"/>
        <v>38490.870600000002</v>
      </c>
      <c r="AB84" s="43">
        <f t="shared" si="96"/>
        <v>252813.6</v>
      </c>
      <c r="AC84" s="43">
        <f t="shared" si="104"/>
        <v>8179660.3824000005</v>
      </c>
      <c r="AD84" s="43">
        <v>19</v>
      </c>
      <c r="AE84" s="43">
        <f t="shared" si="76"/>
        <v>1556100</v>
      </c>
      <c r="AF84" s="43">
        <f t="shared" si="97"/>
        <v>197510.625</v>
      </c>
      <c r="AG84" s="43">
        <f t="shared" si="98"/>
        <v>38490.870600000002</v>
      </c>
      <c r="AH84" s="43">
        <f t="shared" si="99"/>
        <v>252813.6</v>
      </c>
      <c r="AI84" s="43">
        <f t="shared" si="105"/>
        <v>8179660.3824000005</v>
      </c>
      <c r="AJ84" s="43">
        <v>9</v>
      </c>
      <c r="AK84" s="43">
        <f t="shared" si="77"/>
        <v>737100</v>
      </c>
      <c r="AL84" s="43">
        <f t="shared" si="78"/>
        <v>79004.25</v>
      </c>
      <c r="AM84" s="43">
        <f t="shared" si="79"/>
        <v>15396.348240000003</v>
      </c>
      <c r="AN84" s="43">
        <f t="shared" si="80"/>
        <v>101125.44</v>
      </c>
      <c r="AO84" s="43">
        <f t="shared" si="106"/>
        <v>3730504.1529599996</v>
      </c>
      <c r="AP84" s="43">
        <v>0</v>
      </c>
      <c r="AQ84" s="43">
        <f t="shared" si="81"/>
        <v>0</v>
      </c>
      <c r="AR84" s="43">
        <f t="shared" si="82"/>
        <v>65836.875</v>
      </c>
      <c r="AS84" s="43">
        <f t="shared" si="83"/>
        <v>12830.290200000001</v>
      </c>
      <c r="AT84" s="43">
        <f t="shared" si="84"/>
        <v>84271.200000000012</v>
      </c>
      <c r="AU84" s="43">
        <f t="shared" si="107"/>
        <v>651753.4608</v>
      </c>
      <c r="AV84" s="46"/>
      <c r="AW84" s="46"/>
      <c r="AX84" s="46"/>
      <c r="AY84" s="46"/>
      <c r="AZ84" s="46"/>
      <c r="BA84" s="46"/>
      <c r="BB84" s="46"/>
      <c r="BC84" s="46"/>
      <c r="BD84" s="46"/>
      <c r="BE84" s="46"/>
      <c r="BF84" s="46"/>
      <c r="BG84" s="46"/>
      <c r="BH84" s="46"/>
      <c r="BI84" s="46"/>
      <c r="BJ84" s="46"/>
      <c r="BK84" s="46"/>
      <c r="BL84" s="46"/>
      <c r="BM84" s="46"/>
      <c r="BN84" s="46"/>
      <c r="BO84" s="46"/>
      <c r="BP84" s="46"/>
      <c r="BQ84" s="46"/>
      <c r="BR84" s="46"/>
    </row>
    <row r="85" spans="1:70" s="37" customFormat="1" ht="30" x14ac:dyDescent="0.25">
      <c r="A85" s="35" t="s">
        <v>94</v>
      </c>
      <c r="B85" s="36">
        <v>4</v>
      </c>
      <c r="C85" s="36">
        <v>342</v>
      </c>
      <c r="D85" s="36">
        <v>0</v>
      </c>
      <c r="E85" s="36">
        <f t="shared" si="100"/>
        <v>342</v>
      </c>
      <c r="F85" s="36">
        <v>10</v>
      </c>
      <c r="G85" s="43">
        <f t="shared" si="72"/>
        <v>819000</v>
      </c>
      <c r="H85" s="43">
        <f t="shared" si="85"/>
        <v>85587.9375</v>
      </c>
      <c r="I85" s="43">
        <f t="shared" si="86"/>
        <v>16679.377260000001</v>
      </c>
      <c r="J85" s="43">
        <f t="shared" si="87"/>
        <v>109552.56000000001</v>
      </c>
      <c r="K85" s="43">
        <f t="shared" si="101"/>
        <v>4123279.4990400001</v>
      </c>
      <c r="L85" s="43">
        <v>20</v>
      </c>
      <c r="M85" s="43">
        <f t="shared" si="73"/>
        <v>1638000</v>
      </c>
      <c r="N85" s="43">
        <f t="shared" si="88"/>
        <v>197510.625</v>
      </c>
      <c r="O85" s="43">
        <f t="shared" si="89"/>
        <v>38490.870600000002</v>
      </c>
      <c r="P85" s="43">
        <f t="shared" si="90"/>
        <v>252813.6</v>
      </c>
      <c r="Q85" s="43">
        <f t="shared" si="102"/>
        <v>8507260.3824000005</v>
      </c>
      <c r="R85" s="43">
        <v>19</v>
      </c>
      <c r="S85" s="43">
        <f>$C$6*R85</f>
        <v>1556100</v>
      </c>
      <c r="T85" s="43">
        <f t="shared" si="91"/>
        <v>197510.625</v>
      </c>
      <c r="U85" s="43">
        <f t="shared" si="92"/>
        <v>38490.870600000002</v>
      </c>
      <c r="V85" s="43">
        <f t="shared" si="93"/>
        <v>252813.6</v>
      </c>
      <c r="W85" s="43">
        <f t="shared" si="103"/>
        <v>8179660.3824000005</v>
      </c>
      <c r="X85" s="43">
        <v>19</v>
      </c>
      <c r="Y85" s="43">
        <f t="shared" si="75"/>
        <v>1556100</v>
      </c>
      <c r="Z85" s="43">
        <f t="shared" si="94"/>
        <v>197510.625</v>
      </c>
      <c r="AA85" s="43">
        <f t="shared" si="95"/>
        <v>38490.870600000002</v>
      </c>
      <c r="AB85" s="43">
        <f t="shared" si="96"/>
        <v>252813.6</v>
      </c>
      <c r="AC85" s="43">
        <f t="shared" si="104"/>
        <v>8179660.3824000005</v>
      </c>
      <c r="AD85" s="43">
        <v>19</v>
      </c>
      <c r="AE85" s="43">
        <f t="shared" si="76"/>
        <v>1556100</v>
      </c>
      <c r="AF85" s="43">
        <f t="shared" si="97"/>
        <v>197510.625</v>
      </c>
      <c r="AG85" s="43">
        <f t="shared" si="98"/>
        <v>38490.870600000002</v>
      </c>
      <c r="AH85" s="43">
        <f t="shared" si="99"/>
        <v>252813.6</v>
      </c>
      <c r="AI85" s="43">
        <f t="shared" si="105"/>
        <v>8179660.3824000005</v>
      </c>
      <c r="AJ85" s="43">
        <v>9</v>
      </c>
      <c r="AK85" s="43">
        <f t="shared" si="77"/>
        <v>737100</v>
      </c>
      <c r="AL85" s="43">
        <f t="shared" si="78"/>
        <v>79004.25</v>
      </c>
      <c r="AM85" s="43">
        <f t="shared" si="79"/>
        <v>15396.348240000003</v>
      </c>
      <c r="AN85" s="43">
        <f t="shared" si="80"/>
        <v>101125.44</v>
      </c>
      <c r="AO85" s="43">
        <f t="shared" si="106"/>
        <v>3730504.1529599996</v>
      </c>
      <c r="AP85" s="43">
        <v>0</v>
      </c>
      <c r="AQ85" s="43">
        <f t="shared" si="81"/>
        <v>0</v>
      </c>
      <c r="AR85" s="43">
        <f>($D$4*12.5%)/30*10</f>
        <v>65836.875</v>
      </c>
      <c r="AS85" s="43">
        <f>($D$4*2.436%)/30*10</f>
        <v>12830.290200000001</v>
      </c>
      <c r="AT85" s="43">
        <f>($D$4*16%)/30*10</f>
        <v>84271.200000000012</v>
      </c>
      <c r="AU85" s="43">
        <f t="shared" si="107"/>
        <v>651753.4608</v>
      </c>
      <c r="AV85" s="46"/>
      <c r="AW85" s="46"/>
      <c r="AX85" s="46"/>
      <c r="AY85" s="46"/>
      <c r="AZ85" s="46"/>
      <c r="BA85" s="46"/>
      <c r="BB85" s="46"/>
      <c r="BC85" s="46"/>
      <c r="BD85" s="46"/>
      <c r="BE85" s="46"/>
      <c r="BF85" s="46"/>
      <c r="BG85" s="46"/>
      <c r="BH85" s="46"/>
      <c r="BI85" s="46"/>
      <c r="BJ85" s="46"/>
      <c r="BK85" s="46"/>
      <c r="BL85" s="46"/>
      <c r="BM85" s="46"/>
      <c r="BN85" s="46"/>
      <c r="BO85" s="46"/>
      <c r="BP85" s="46"/>
      <c r="BQ85" s="46"/>
      <c r="BR85" s="46"/>
    </row>
    <row r="86" spans="1:70" s="37" customFormat="1" ht="30" x14ac:dyDescent="0.25">
      <c r="A86" s="35" t="s">
        <v>95</v>
      </c>
      <c r="B86" s="36">
        <v>1</v>
      </c>
      <c r="C86" s="36">
        <v>53</v>
      </c>
      <c r="D86" s="36">
        <v>0</v>
      </c>
      <c r="E86" s="36">
        <f t="shared" si="100"/>
        <v>53</v>
      </c>
      <c r="F86" s="36">
        <v>10</v>
      </c>
      <c r="G86" s="43">
        <f t="shared" si="72"/>
        <v>819000</v>
      </c>
      <c r="H86" s="43">
        <f t="shared" si="85"/>
        <v>85587.9375</v>
      </c>
      <c r="I86" s="43">
        <f t="shared" si="86"/>
        <v>16679.377260000001</v>
      </c>
      <c r="J86" s="43">
        <f t="shared" si="87"/>
        <v>109552.56000000001</v>
      </c>
      <c r="K86" s="43">
        <f t="shared" si="101"/>
        <v>1030819.87476</v>
      </c>
      <c r="L86" s="43">
        <v>20</v>
      </c>
      <c r="M86" s="43">
        <f t="shared" si="73"/>
        <v>1638000</v>
      </c>
      <c r="N86" s="43">
        <f t="shared" si="88"/>
        <v>197510.625</v>
      </c>
      <c r="O86" s="43">
        <f t="shared" si="89"/>
        <v>38490.870600000002</v>
      </c>
      <c r="P86" s="43">
        <f t="shared" si="90"/>
        <v>252813.6</v>
      </c>
      <c r="Q86" s="43">
        <f t="shared" si="102"/>
        <v>2126815.0956000001</v>
      </c>
      <c r="R86" s="43">
        <v>19</v>
      </c>
      <c r="S86" s="43">
        <f t="shared" si="74"/>
        <v>1556100</v>
      </c>
      <c r="T86" s="43">
        <f t="shared" si="91"/>
        <v>197510.625</v>
      </c>
      <c r="U86" s="43">
        <f t="shared" si="92"/>
        <v>38490.870600000002</v>
      </c>
      <c r="V86" s="43">
        <f t="shared" si="93"/>
        <v>252813.6</v>
      </c>
      <c r="W86" s="43">
        <f t="shared" si="103"/>
        <v>2044915.0956000001</v>
      </c>
      <c r="X86" s="43">
        <v>19</v>
      </c>
      <c r="Y86" s="43">
        <f t="shared" si="75"/>
        <v>1556100</v>
      </c>
      <c r="Z86" s="43">
        <f t="shared" si="94"/>
        <v>197510.625</v>
      </c>
      <c r="AA86" s="43">
        <f t="shared" si="95"/>
        <v>38490.870600000002</v>
      </c>
      <c r="AB86" s="43">
        <f t="shared" si="96"/>
        <v>252813.6</v>
      </c>
      <c r="AC86" s="43">
        <f t="shared" si="104"/>
        <v>2044915.0956000001</v>
      </c>
      <c r="AD86" s="43">
        <v>19</v>
      </c>
      <c r="AE86" s="43">
        <f t="shared" si="76"/>
        <v>1556100</v>
      </c>
      <c r="AF86" s="43">
        <f t="shared" si="97"/>
        <v>197510.625</v>
      </c>
      <c r="AG86" s="43">
        <f t="shared" si="98"/>
        <v>38490.870600000002</v>
      </c>
      <c r="AH86" s="43">
        <f t="shared" si="99"/>
        <v>252813.6</v>
      </c>
      <c r="AI86" s="43">
        <f t="shared" si="105"/>
        <v>2044915.0956000001</v>
      </c>
      <c r="AJ86" s="43">
        <v>9</v>
      </c>
      <c r="AK86" s="43">
        <f t="shared" si="77"/>
        <v>737100</v>
      </c>
      <c r="AL86" s="43">
        <f t="shared" si="78"/>
        <v>79004.25</v>
      </c>
      <c r="AM86" s="43">
        <f t="shared" si="79"/>
        <v>15396.348240000003</v>
      </c>
      <c r="AN86" s="43">
        <f t="shared" si="80"/>
        <v>101125.44</v>
      </c>
      <c r="AO86" s="43">
        <f t="shared" si="106"/>
        <v>932626.03823999991</v>
      </c>
      <c r="AP86" s="43">
        <v>0</v>
      </c>
      <c r="AQ86" s="43">
        <f t="shared" si="81"/>
        <v>0</v>
      </c>
      <c r="AR86" s="43">
        <f t="shared" si="82"/>
        <v>65836.875</v>
      </c>
      <c r="AS86" s="43">
        <f t="shared" si="83"/>
        <v>12830.290200000001</v>
      </c>
      <c r="AT86" s="43">
        <f t="shared" si="84"/>
        <v>84271.200000000012</v>
      </c>
      <c r="AU86" s="43">
        <f t="shared" si="107"/>
        <v>162938.3652</v>
      </c>
      <c r="AV86" s="46"/>
      <c r="AW86" s="46"/>
      <c r="AX86" s="46"/>
      <c r="AY86" s="46"/>
      <c r="AZ86" s="46"/>
      <c r="BA86" s="46"/>
      <c r="BB86" s="46"/>
      <c r="BC86" s="46"/>
      <c r="BD86" s="46"/>
      <c r="BE86" s="46"/>
      <c r="BF86" s="46"/>
      <c r="BG86" s="46"/>
      <c r="BH86" s="46"/>
      <c r="BI86" s="46"/>
      <c r="BJ86" s="46"/>
      <c r="BK86" s="46"/>
      <c r="BL86" s="46"/>
      <c r="BM86" s="46"/>
      <c r="BN86" s="46"/>
      <c r="BO86" s="46"/>
      <c r="BP86" s="46"/>
      <c r="BQ86" s="46"/>
      <c r="BR86" s="46"/>
    </row>
    <row r="87" spans="1:70" s="37" customFormat="1" x14ac:dyDescent="0.25">
      <c r="A87" s="35" t="s">
        <v>103</v>
      </c>
      <c r="B87" s="36">
        <v>1</v>
      </c>
      <c r="C87" s="36">
        <v>50</v>
      </c>
      <c r="D87" s="36">
        <v>0</v>
      </c>
      <c r="E87" s="36">
        <f t="shared" si="100"/>
        <v>50</v>
      </c>
      <c r="F87" s="36">
        <v>10</v>
      </c>
      <c r="G87" s="43">
        <f t="shared" si="72"/>
        <v>819000</v>
      </c>
      <c r="H87" s="43">
        <f t="shared" si="85"/>
        <v>85587.9375</v>
      </c>
      <c r="I87" s="43">
        <f t="shared" si="86"/>
        <v>16679.377260000001</v>
      </c>
      <c r="J87" s="43">
        <f t="shared" si="87"/>
        <v>109552.56000000001</v>
      </c>
      <c r="K87" s="43">
        <f t="shared" si="101"/>
        <v>1030819.87476</v>
      </c>
      <c r="L87" s="43">
        <v>20</v>
      </c>
      <c r="M87" s="43">
        <f t="shared" si="73"/>
        <v>1638000</v>
      </c>
      <c r="N87" s="43">
        <f t="shared" si="88"/>
        <v>197510.625</v>
      </c>
      <c r="O87" s="43">
        <f t="shared" si="89"/>
        <v>38490.870600000002</v>
      </c>
      <c r="P87" s="43">
        <f t="shared" si="90"/>
        <v>252813.6</v>
      </c>
      <c r="Q87" s="43">
        <f t="shared" si="102"/>
        <v>2126815.0956000001</v>
      </c>
      <c r="R87" s="43">
        <v>19</v>
      </c>
      <c r="S87" s="43">
        <f t="shared" si="74"/>
        <v>1556100</v>
      </c>
      <c r="T87" s="43">
        <f t="shared" si="91"/>
        <v>197510.625</v>
      </c>
      <c r="U87" s="43">
        <f t="shared" si="92"/>
        <v>38490.870600000002</v>
      </c>
      <c r="V87" s="43">
        <f t="shared" si="93"/>
        <v>252813.6</v>
      </c>
      <c r="W87" s="43">
        <f t="shared" si="103"/>
        <v>2044915.0956000001</v>
      </c>
      <c r="X87" s="43">
        <v>19</v>
      </c>
      <c r="Y87" s="43">
        <f t="shared" si="75"/>
        <v>1556100</v>
      </c>
      <c r="Z87" s="43">
        <f t="shared" si="94"/>
        <v>197510.625</v>
      </c>
      <c r="AA87" s="43">
        <f t="shared" si="95"/>
        <v>38490.870600000002</v>
      </c>
      <c r="AB87" s="43">
        <f t="shared" si="96"/>
        <v>252813.6</v>
      </c>
      <c r="AC87" s="43">
        <f t="shared" si="104"/>
        <v>2044915.0956000001</v>
      </c>
      <c r="AD87" s="43">
        <v>19</v>
      </c>
      <c r="AE87" s="43">
        <f t="shared" si="76"/>
        <v>1556100</v>
      </c>
      <c r="AF87" s="43">
        <f t="shared" si="97"/>
        <v>197510.625</v>
      </c>
      <c r="AG87" s="43">
        <f t="shared" si="98"/>
        <v>38490.870600000002</v>
      </c>
      <c r="AH87" s="43">
        <f t="shared" si="99"/>
        <v>252813.6</v>
      </c>
      <c r="AI87" s="43">
        <f t="shared" si="105"/>
        <v>2044915.0956000001</v>
      </c>
      <c r="AJ87" s="43">
        <v>9</v>
      </c>
      <c r="AK87" s="43">
        <f t="shared" si="77"/>
        <v>737100</v>
      </c>
      <c r="AL87" s="43">
        <f t="shared" si="78"/>
        <v>79004.25</v>
      </c>
      <c r="AM87" s="43">
        <f t="shared" si="79"/>
        <v>15396.348240000003</v>
      </c>
      <c r="AN87" s="43">
        <f t="shared" si="80"/>
        <v>101125.44</v>
      </c>
      <c r="AO87" s="43">
        <f t="shared" si="106"/>
        <v>932626.03823999991</v>
      </c>
      <c r="AP87" s="43">
        <v>0</v>
      </c>
      <c r="AQ87" s="43">
        <f t="shared" si="81"/>
        <v>0</v>
      </c>
      <c r="AR87" s="43">
        <f t="shared" si="82"/>
        <v>65836.875</v>
      </c>
      <c r="AS87" s="43">
        <f t="shared" si="83"/>
        <v>12830.290200000001</v>
      </c>
      <c r="AT87" s="43">
        <f t="shared" si="84"/>
        <v>84271.200000000012</v>
      </c>
      <c r="AU87" s="43">
        <f t="shared" si="107"/>
        <v>162938.3652</v>
      </c>
      <c r="AV87" s="46"/>
      <c r="AW87" s="46"/>
      <c r="AX87" s="46"/>
      <c r="AY87" s="46"/>
      <c r="AZ87" s="46"/>
      <c r="BA87" s="46"/>
      <c r="BB87" s="46"/>
      <c r="BC87" s="46"/>
      <c r="BD87" s="46"/>
      <c r="BE87" s="46"/>
      <c r="BF87" s="46"/>
      <c r="BG87" s="46"/>
      <c r="BH87" s="46"/>
      <c r="BI87" s="46"/>
      <c r="BJ87" s="46"/>
      <c r="BK87" s="46"/>
      <c r="BL87" s="46"/>
      <c r="BM87" s="46"/>
      <c r="BN87" s="46"/>
      <c r="BO87" s="46"/>
      <c r="BP87" s="46"/>
      <c r="BQ87" s="46"/>
      <c r="BR87" s="46"/>
    </row>
    <row r="88" spans="1:70" s="37" customFormat="1" x14ac:dyDescent="0.25">
      <c r="A88" s="35" t="s">
        <v>110</v>
      </c>
      <c r="B88" s="36">
        <v>3</v>
      </c>
      <c r="C88" s="36">
        <v>343</v>
      </c>
      <c r="D88" s="36">
        <v>0</v>
      </c>
      <c r="E88" s="36">
        <f t="shared" si="100"/>
        <v>343</v>
      </c>
      <c r="F88" s="36">
        <v>10</v>
      </c>
      <c r="G88" s="43">
        <f t="shared" si="72"/>
        <v>819000</v>
      </c>
      <c r="H88" s="43">
        <f t="shared" si="85"/>
        <v>85587.9375</v>
      </c>
      <c r="I88" s="43">
        <f t="shared" si="86"/>
        <v>16679.377260000001</v>
      </c>
      <c r="J88" s="43">
        <f t="shared" si="87"/>
        <v>109552.56000000001</v>
      </c>
      <c r="K88" s="43">
        <f>SUM(G88:J88)*B88</f>
        <v>3092459.6242800001</v>
      </c>
      <c r="L88" s="43">
        <v>20</v>
      </c>
      <c r="M88" s="43">
        <f t="shared" si="73"/>
        <v>1638000</v>
      </c>
      <c r="N88" s="43">
        <f t="shared" si="88"/>
        <v>197510.625</v>
      </c>
      <c r="O88" s="43">
        <f t="shared" si="89"/>
        <v>38490.870600000002</v>
      </c>
      <c r="P88" s="43">
        <f t="shared" si="90"/>
        <v>252813.6</v>
      </c>
      <c r="Q88" s="43">
        <f t="shared" si="102"/>
        <v>6380445.2868000008</v>
      </c>
      <c r="R88" s="43">
        <v>19</v>
      </c>
      <c r="S88" s="43">
        <f t="shared" si="74"/>
        <v>1556100</v>
      </c>
      <c r="T88" s="43">
        <f t="shared" si="91"/>
        <v>197510.625</v>
      </c>
      <c r="U88" s="43">
        <f t="shared" si="92"/>
        <v>38490.870600000002</v>
      </c>
      <c r="V88" s="43">
        <f t="shared" si="93"/>
        <v>252813.6</v>
      </c>
      <c r="W88" s="43">
        <f t="shared" si="103"/>
        <v>6134745.2868000008</v>
      </c>
      <c r="X88" s="43">
        <v>19</v>
      </c>
      <c r="Y88" s="43">
        <f t="shared" si="75"/>
        <v>1556100</v>
      </c>
      <c r="Z88" s="43">
        <f t="shared" si="94"/>
        <v>197510.625</v>
      </c>
      <c r="AA88" s="43">
        <f t="shared" si="95"/>
        <v>38490.870600000002</v>
      </c>
      <c r="AB88" s="43">
        <f t="shared" si="96"/>
        <v>252813.6</v>
      </c>
      <c r="AC88" s="43">
        <f t="shared" si="104"/>
        <v>6134745.2868000008</v>
      </c>
      <c r="AD88" s="43">
        <v>19</v>
      </c>
      <c r="AE88" s="43">
        <f t="shared" si="76"/>
        <v>1556100</v>
      </c>
      <c r="AF88" s="43">
        <f t="shared" si="97"/>
        <v>197510.625</v>
      </c>
      <c r="AG88" s="43">
        <f t="shared" si="98"/>
        <v>38490.870600000002</v>
      </c>
      <c r="AH88" s="43">
        <f t="shared" si="99"/>
        <v>252813.6</v>
      </c>
      <c r="AI88" s="43">
        <f t="shared" si="105"/>
        <v>6134745.2868000008</v>
      </c>
      <c r="AJ88" s="43">
        <v>9</v>
      </c>
      <c r="AK88" s="43">
        <f t="shared" si="77"/>
        <v>737100</v>
      </c>
      <c r="AL88" s="43">
        <f t="shared" si="78"/>
        <v>79004.25</v>
      </c>
      <c r="AM88" s="43">
        <f t="shared" si="79"/>
        <v>15396.348240000003</v>
      </c>
      <c r="AN88" s="43">
        <f t="shared" si="80"/>
        <v>101125.44</v>
      </c>
      <c r="AO88" s="43">
        <f t="shared" si="106"/>
        <v>2797878.11472</v>
      </c>
      <c r="AP88" s="43">
        <v>0</v>
      </c>
      <c r="AQ88" s="43">
        <f t="shared" si="81"/>
        <v>0</v>
      </c>
      <c r="AR88" s="43">
        <f t="shared" si="82"/>
        <v>65836.875</v>
      </c>
      <c r="AS88" s="43">
        <f t="shared" si="83"/>
        <v>12830.290200000001</v>
      </c>
      <c r="AT88" s="43">
        <f t="shared" si="84"/>
        <v>84271.200000000012</v>
      </c>
      <c r="AU88" s="43">
        <f t="shared" si="107"/>
        <v>488815.0956</v>
      </c>
      <c r="AV88" s="46"/>
      <c r="AW88" s="46"/>
      <c r="AX88" s="46"/>
      <c r="AY88" s="46"/>
      <c r="AZ88" s="46"/>
      <c r="BA88" s="46"/>
      <c r="BB88" s="46"/>
      <c r="BC88" s="46"/>
      <c r="BD88" s="46"/>
      <c r="BE88" s="46"/>
      <c r="BF88" s="46"/>
      <c r="BG88" s="46"/>
      <c r="BH88" s="46"/>
      <c r="BI88" s="46"/>
      <c r="BJ88" s="46"/>
      <c r="BK88" s="46"/>
      <c r="BL88" s="46"/>
      <c r="BM88" s="46"/>
      <c r="BN88" s="46"/>
      <c r="BO88" s="46"/>
      <c r="BP88" s="46"/>
      <c r="BQ88" s="46"/>
      <c r="BR88" s="46"/>
    </row>
    <row r="89" spans="1:70" s="37" customFormat="1" ht="30" x14ac:dyDescent="0.25">
      <c r="A89" s="35" t="s">
        <v>111</v>
      </c>
      <c r="B89" s="36">
        <v>2</v>
      </c>
      <c r="C89" s="36">
        <v>249</v>
      </c>
      <c r="D89" s="36">
        <v>0</v>
      </c>
      <c r="E89" s="36">
        <f t="shared" si="100"/>
        <v>249</v>
      </c>
      <c r="F89" s="36">
        <v>10</v>
      </c>
      <c r="G89" s="43">
        <f t="shared" si="72"/>
        <v>819000</v>
      </c>
      <c r="H89" s="43">
        <f t="shared" si="85"/>
        <v>85587.9375</v>
      </c>
      <c r="I89" s="43">
        <f t="shared" si="86"/>
        <v>16679.377260000001</v>
      </c>
      <c r="J89" s="43">
        <f t="shared" si="87"/>
        <v>109552.56000000001</v>
      </c>
      <c r="K89" s="43">
        <f>SUM(G89:J89)*B89</f>
        <v>2061639.7495200001</v>
      </c>
      <c r="L89" s="43">
        <v>20</v>
      </c>
      <c r="M89" s="43">
        <f>$C$6*L89</f>
        <v>1638000</v>
      </c>
      <c r="N89" s="43">
        <f t="shared" si="88"/>
        <v>197510.625</v>
      </c>
      <c r="O89" s="43">
        <f t="shared" si="89"/>
        <v>38490.870600000002</v>
      </c>
      <c r="P89" s="43">
        <f t="shared" si="90"/>
        <v>252813.6</v>
      </c>
      <c r="Q89" s="43">
        <f t="shared" si="102"/>
        <v>4253630.1912000002</v>
      </c>
      <c r="R89" s="43">
        <v>19</v>
      </c>
      <c r="S89" s="43">
        <f t="shared" si="74"/>
        <v>1556100</v>
      </c>
      <c r="T89" s="43">
        <f t="shared" si="91"/>
        <v>197510.625</v>
      </c>
      <c r="U89" s="43">
        <f t="shared" si="92"/>
        <v>38490.870600000002</v>
      </c>
      <c r="V89" s="43">
        <f t="shared" si="93"/>
        <v>252813.6</v>
      </c>
      <c r="W89" s="43">
        <f t="shared" si="103"/>
        <v>4089830.1912000002</v>
      </c>
      <c r="X89" s="43">
        <v>19</v>
      </c>
      <c r="Y89" s="43">
        <f t="shared" si="75"/>
        <v>1556100</v>
      </c>
      <c r="Z89" s="43">
        <f t="shared" si="94"/>
        <v>197510.625</v>
      </c>
      <c r="AA89" s="43">
        <f t="shared" si="95"/>
        <v>38490.870600000002</v>
      </c>
      <c r="AB89" s="43">
        <f t="shared" si="96"/>
        <v>252813.6</v>
      </c>
      <c r="AC89" s="43">
        <f t="shared" si="104"/>
        <v>4089830.1912000002</v>
      </c>
      <c r="AD89" s="43">
        <v>19</v>
      </c>
      <c r="AE89" s="43">
        <f t="shared" si="76"/>
        <v>1556100</v>
      </c>
      <c r="AF89" s="43">
        <f t="shared" si="97"/>
        <v>197510.625</v>
      </c>
      <c r="AG89" s="43">
        <f t="shared" si="98"/>
        <v>38490.870600000002</v>
      </c>
      <c r="AH89" s="43">
        <f t="shared" si="99"/>
        <v>252813.6</v>
      </c>
      <c r="AI89" s="43">
        <f t="shared" si="105"/>
        <v>4089830.1912000002</v>
      </c>
      <c r="AJ89" s="43">
        <v>9</v>
      </c>
      <c r="AK89" s="43">
        <f t="shared" si="77"/>
        <v>737100</v>
      </c>
      <c r="AL89" s="43">
        <f t="shared" si="78"/>
        <v>79004.25</v>
      </c>
      <c r="AM89" s="43">
        <f t="shared" si="79"/>
        <v>15396.348240000003</v>
      </c>
      <c r="AN89" s="43">
        <f t="shared" si="80"/>
        <v>101125.44</v>
      </c>
      <c r="AO89" s="43">
        <f t="shared" si="106"/>
        <v>1865252.0764799998</v>
      </c>
      <c r="AP89" s="43">
        <v>0</v>
      </c>
      <c r="AQ89" s="43">
        <f t="shared" si="81"/>
        <v>0</v>
      </c>
      <c r="AR89" s="43">
        <f t="shared" si="82"/>
        <v>65836.875</v>
      </c>
      <c r="AS89" s="43">
        <f t="shared" si="83"/>
        <v>12830.290200000001</v>
      </c>
      <c r="AT89" s="43">
        <f t="shared" si="84"/>
        <v>84271.200000000012</v>
      </c>
      <c r="AU89" s="43">
        <f>SUM(AQ89:AT89)*B89</f>
        <v>325876.7304</v>
      </c>
      <c r="AV89" s="46"/>
      <c r="AW89" s="46"/>
      <c r="AX89" s="46"/>
      <c r="AY89" s="46"/>
      <c r="AZ89" s="46"/>
      <c r="BA89" s="46"/>
      <c r="BB89" s="46"/>
      <c r="BC89" s="46"/>
      <c r="BD89" s="46"/>
      <c r="BE89" s="46"/>
      <c r="BF89" s="46"/>
      <c r="BG89" s="46"/>
      <c r="BH89" s="46"/>
      <c r="BI89" s="46"/>
      <c r="BJ89" s="46"/>
      <c r="BK89" s="46"/>
      <c r="BL89" s="46"/>
      <c r="BM89" s="46"/>
      <c r="BN89" s="46"/>
      <c r="BO89" s="46"/>
      <c r="BP89" s="46"/>
      <c r="BQ89" s="46"/>
      <c r="BR89" s="46"/>
    </row>
    <row r="90" spans="1:70" s="37" customFormat="1" x14ac:dyDescent="0.25">
      <c r="A90" s="38" t="s">
        <v>113</v>
      </c>
      <c r="B90" s="36">
        <v>1</v>
      </c>
      <c r="C90" s="36">
        <v>0</v>
      </c>
      <c r="D90" s="36">
        <v>0</v>
      </c>
      <c r="E90" s="36">
        <f t="shared" si="100"/>
        <v>0</v>
      </c>
      <c r="F90" s="36">
        <v>10</v>
      </c>
      <c r="G90" s="43">
        <f>$C$6*F90</f>
        <v>819000</v>
      </c>
      <c r="H90" s="43">
        <f>($D$4*12.5%)/30*13</f>
        <v>85587.9375</v>
      </c>
      <c r="I90" s="43">
        <f t="shared" si="86"/>
        <v>16679.377260000001</v>
      </c>
      <c r="J90" s="43">
        <f t="shared" si="87"/>
        <v>109552.56000000001</v>
      </c>
      <c r="K90" s="43">
        <f>SUM(G90:J90)*B90</f>
        <v>1030819.87476</v>
      </c>
      <c r="L90" s="43">
        <v>20</v>
      </c>
      <c r="M90" s="43">
        <f t="shared" si="73"/>
        <v>1638000</v>
      </c>
      <c r="N90" s="43">
        <f t="shared" si="88"/>
        <v>197510.625</v>
      </c>
      <c r="O90" s="43">
        <f t="shared" si="89"/>
        <v>38490.870600000002</v>
      </c>
      <c r="P90" s="43">
        <f t="shared" si="90"/>
        <v>252813.6</v>
      </c>
      <c r="Q90" s="43">
        <f t="shared" si="102"/>
        <v>2126815.0956000001</v>
      </c>
      <c r="R90" s="43">
        <v>19</v>
      </c>
      <c r="S90" s="43">
        <f t="shared" si="74"/>
        <v>1556100</v>
      </c>
      <c r="T90" s="43">
        <f t="shared" si="91"/>
        <v>197510.625</v>
      </c>
      <c r="U90" s="43">
        <f t="shared" si="92"/>
        <v>38490.870600000002</v>
      </c>
      <c r="V90" s="43">
        <f t="shared" si="93"/>
        <v>252813.6</v>
      </c>
      <c r="W90" s="43">
        <f t="shared" si="103"/>
        <v>2044915.0956000001</v>
      </c>
      <c r="X90" s="43">
        <v>19</v>
      </c>
      <c r="Y90" s="43">
        <f t="shared" si="75"/>
        <v>1556100</v>
      </c>
      <c r="Z90" s="43">
        <f t="shared" si="94"/>
        <v>197510.625</v>
      </c>
      <c r="AA90" s="43">
        <f t="shared" si="95"/>
        <v>38490.870600000002</v>
      </c>
      <c r="AB90" s="43">
        <f t="shared" si="96"/>
        <v>252813.6</v>
      </c>
      <c r="AC90" s="43">
        <f t="shared" si="104"/>
        <v>2044915.0956000001</v>
      </c>
      <c r="AD90" s="43">
        <v>19</v>
      </c>
      <c r="AE90" s="43">
        <f t="shared" si="76"/>
        <v>1556100</v>
      </c>
      <c r="AF90" s="43">
        <f t="shared" si="97"/>
        <v>197510.625</v>
      </c>
      <c r="AG90" s="43">
        <f t="shared" si="98"/>
        <v>38490.870600000002</v>
      </c>
      <c r="AH90" s="43">
        <f t="shared" si="99"/>
        <v>252813.6</v>
      </c>
      <c r="AI90" s="43">
        <f t="shared" si="105"/>
        <v>2044915.0956000001</v>
      </c>
      <c r="AJ90" s="43">
        <v>9</v>
      </c>
      <c r="AK90" s="43">
        <f t="shared" si="77"/>
        <v>737100</v>
      </c>
      <c r="AL90" s="43">
        <f>($D$4*12.5%)/30*12</f>
        <v>79004.25</v>
      </c>
      <c r="AM90" s="43">
        <f>($D$4*2.436%)/30*12</f>
        <v>15396.348240000003</v>
      </c>
      <c r="AN90" s="43">
        <f>($D$4*16%)/30*12</f>
        <v>101125.44</v>
      </c>
      <c r="AO90" s="43">
        <f t="shared" si="106"/>
        <v>932626.03823999991</v>
      </c>
      <c r="AP90" s="43">
        <v>0</v>
      </c>
      <c r="AQ90" s="43">
        <f t="shared" si="81"/>
        <v>0</v>
      </c>
      <c r="AR90" s="43">
        <f t="shared" si="82"/>
        <v>65836.875</v>
      </c>
      <c r="AS90" s="43">
        <f t="shared" si="83"/>
        <v>12830.290200000001</v>
      </c>
      <c r="AT90" s="43">
        <f t="shared" si="84"/>
        <v>84271.200000000012</v>
      </c>
      <c r="AU90" s="43">
        <f t="shared" si="107"/>
        <v>162938.3652</v>
      </c>
      <c r="AV90" s="46"/>
      <c r="AW90" s="46"/>
      <c r="AX90" s="46"/>
      <c r="AY90" s="46"/>
      <c r="AZ90" s="46"/>
      <c r="BA90" s="46"/>
      <c r="BB90" s="46"/>
      <c r="BC90" s="46"/>
      <c r="BD90" s="46"/>
      <c r="BE90" s="46"/>
      <c r="BF90" s="46"/>
      <c r="BG90" s="46"/>
      <c r="BH90" s="46"/>
      <c r="BI90" s="46"/>
      <c r="BJ90" s="46"/>
      <c r="BK90" s="46"/>
      <c r="BL90" s="46"/>
      <c r="BM90" s="46"/>
      <c r="BN90" s="46"/>
      <c r="BO90" s="46"/>
      <c r="BP90" s="46"/>
      <c r="BQ90" s="46"/>
      <c r="BR90" s="46"/>
    </row>
    <row r="91" spans="1:70" x14ac:dyDescent="0.25">
      <c r="A91" s="21" t="s">
        <v>120</v>
      </c>
      <c r="B91" s="7">
        <f>SUM(B11:B90)</f>
        <v>103</v>
      </c>
      <c r="C91" s="47"/>
      <c r="D91" s="48">
        <f>SUM(D11:D90)</f>
        <v>166</v>
      </c>
      <c r="E91" s="47"/>
      <c r="F91" s="47"/>
      <c r="G91" s="49"/>
      <c r="H91" s="49"/>
      <c r="I91" s="49"/>
      <c r="J91" s="49"/>
      <c r="K91" s="50">
        <f>SUM(K11:K90)</f>
        <v>89951947.100280106</v>
      </c>
      <c r="L91" s="49"/>
      <c r="M91" s="49"/>
      <c r="N91" s="49"/>
      <c r="O91" s="49"/>
      <c r="P91" s="49"/>
      <c r="Q91" s="50">
        <f>SUM(Q11:Q90)</f>
        <v>186616954.8468</v>
      </c>
      <c r="R91" s="49"/>
      <c r="S91" s="49"/>
      <c r="T91" s="49"/>
      <c r="U91" s="49"/>
      <c r="V91" s="49"/>
      <c r="W91" s="50">
        <f>SUM(W11:W90)</f>
        <v>179803504.84679997</v>
      </c>
      <c r="X91" s="49"/>
      <c r="Y91" s="49"/>
      <c r="Z91" s="49"/>
      <c r="AA91" s="49"/>
      <c r="AB91" s="49"/>
      <c r="AC91" s="50">
        <f>SUM(AC11:AC90)</f>
        <v>179803504.84679997</v>
      </c>
      <c r="AD91" s="49"/>
      <c r="AE91" s="49"/>
      <c r="AF91" s="49"/>
      <c r="AG91" s="49"/>
      <c r="AH91" s="49"/>
      <c r="AI91" s="50">
        <f>SUM(AI11:AI90)</f>
        <v>179803504.84679997</v>
      </c>
      <c r="AJ91" s="6"/>
      <c r="AK91" s="2"/>
      <c r="AL91" s="2"/>
      <c r="AM91" s="2"/>
      <c r="AN91" s="2"/>
      <c r="AO91" s="15">
        <f>SUM(AO11:AO90)</f>
        <v>81460231.938720047</v>
      </c>
      <c r="AP91" s="2"/>
      <c r="AQ91" s="2"/>
      <c r="AR91" s="2"/>
      <c r="AS91" s="2"/>
      <c r="AT91" s="2"/>
      <c r="AU91" s="15">
        <f>SUM(AU11:AU90)</f>
        <v>16782651.61559999</v>
      </c>
    </row>
    <row r="92" spans="1:70" x14ac:dyDescent="0.25">
      <c r="H92" s="238"/>
      <c r="I92" s="238"/>
      <c r="J92" s="238"/>
    </row>
    <row r="93" spans="1:70" x14ac:dyDescent="0.25">
      <c r="H93" s="51"/>
      <c r="I93" s="51"/>
      <c r="J93" s="51"/>
    </row>
    <row r="94" spans="1:70" x14ac:dyDescent="0.25">
      <c r="A94" s="200" t="s">
        <v>140</v>
      </c>
      <c r="B94" s="200"/>
      <c r="C94" s="200"/>
      <c r="D94" s="200"/>
      <c r="E94" s="200"/>
      <c r="F94" s="200"/>
      <c r="G94" s="200"/>
      <c r="H94" s="200"/>
      <c r="I94" s="51"/>
      <c r="J94" s="51"/>
    </row>
    <row r="95" spans="1:70" x14ac:dyDescent="0.25">
      <c r="A95" s="233"/>
      <c r="B95" s="233"/>
      <c r="C95" s="233"/>
      <c r="D95" s="233"/>
      <c r="E95" s="233"/>
      <c r="F95" s="233"/>
      <c r="G95" s="233"/>
      <c r="H95" s="233"/>
    </row>
    <row r="96" spans="1:70" x14ac:dyDescent="0.25">
      <c r="A96" s="188" t="s">
        <v>138</v>
      </c>
      <c r="B96" s="188" t="s">
        <v>139</v>
      </c>
      <c r="C96" s="195" t="s">
        <v>122</v>
      </c>
      <c r="D96" s="232" t="s">
        <v>142</v>
      </c>
      <c r="E96" s="232"/>
      <c r="F96" s="232"/>
      <c r="G96" s="232"/>
      <c r="H96" s="232"/>
      <c r="I96" s="237"/>
      <c r="J96" s="237"/>
      <c r="K96" s="237"/>
      <c r="L96" s="237"/>
      <c r="M96" s="237"/>
    </row>
    <row r="97" spans="1:13" ht="30" x14ac:dyDescent="0.25">
      <c r="A97" s="188"/>
      <c r="B97" s="188"/>
      <c r="C97" s="195"/>
      <c r="D97" s="13" t="s">
        <v>127</v>
      </c>
      <c r="E97" s="13" t="s">
        <v>141</v>
      </c>
      <c r="F97" s="13" t="s">
        <v>120</v>
      </c>
      <c r="G97" s="53" t="s">
        <v>143</v>
      </c>
      <c r="H97" s="53" t="s">
        <v>144</v>
      </c>
      <c r="I97" s="54"/>
      <c r="J97" s="54"/>
      <c r="K97" s="54"/>
      <c r="L97" s="55"/>
      <c r="M97" s="55"/>
    </row>
    <row r="98" spans="1:13" x14ac:dyDescent="0.25">
      <c r="A98" s="25" t="s">
        <v>146</v>
      </c>
      <c r="B98" s="6">
        <f>SUM(B11:B27)</f>
        <v>17</v>
      </c>
      <c r="C98" s="2">
        <f>C4</f>
        <v>40950</v>
      </c>
      <c r="D98" s="2">
        <v>10</v>
      </c>
      <c r="E98" s="2">
        <f>C98*D98</f>
        <v>409500</v>
      </c>
      <c r="F98" s="2">
        <f>E98*B98</f>
        <v>6961500</v>
      </c>
      <c r="G98" s="2">
        <f>H90+I90+J90</f>
        <v>211819.87476000004</v>
      </c>
      <c r="H98" s="2">
        <f>G98*B98</f>
        <v>3600937.8709200006</v>
      </c>
      <c r="I98" s="56"/>
      <c r="J98" s="56"/>
      <c r="K98" s="56"/>
      <c r="L98" s="56"/>
      <c r="M98" s="56"/>
    </row>
    <row r="99" spans="1:13" x14ac:dyDescent="0.25">
      <c r="A99" s="26" t="s">
        <v>147</v>
      </c>
      <c r="B99" s="6">
        <f>SUM(B28:B69)</f>
        <v>42</v>
      </c>
      <c r="C99" s="2">
        <f>C5</f>
        <v>59850</v>
      </c>
      <c r="D99" s="2">
        <v>10</v>
      </c>
      <c r="E99" s="2">
        <f>C99*D99</f>
        <v>598500</v>
      </c>
      <c r="F99" s="2">
        <f>E99*B99</f>
        <v>25137000</v>
      </c>
      <c r="G99" s="2">
        <f>SUM(H90:J90)</f>
        <v>211819.87476000004</v>
      </c>
      <c r="H99" s="2">
        <f>G99*B99</f>
        <v>8896434.7399200015</v>
      </c>
      <c r="I99" s="56"/>
      <c r="J99" s="56"/>
      <c r="K99" s="56"/>
      <c r="L99" s="56"/>
      <c r="M99" s="56"/>
    </row>
    <row r="100" spans="1:13" x14ac:dyDescent="0.25">
      <c r="A100" s="27" t="s">
        <v>148</v>
      </c>
      <c r="B100" s="6">
        <v>45</v>
      </c>
      <c r="C100" s="2">
        <f>C6</f>
        <v>81900</v>
      </c>
      <c r="D100" s="2">
        <v>10</v>
      </c>
      <c r="E100" s="2">
        <f>C100*D100</f>
        <v>819000</v>
      </c>
      <c r="F100" s="2">
        <f>E100*B100</f>
        <v>36855000</v>
      </c>
      <c r="G100" s="2">
        <f>SUM(H90:J90)</f>
        <v>211819.87476000004</v>
      </c>
      <c r="H100" s="2">
        <f>G100*B100</f>
        <v>9531894.3642000016</v>
      </c>
      <c r="I100" s="56"/>
      <c r="J100" s="56"/>
      <c r="K100" s="56"/>
      <c r="L100" s="56"/>
      <c r="M100" s="56"/>
    </row>
    <row r="101" spans="1:13" x14ac:dyDescent="0.25">
      <c r="B101">
        <f>SUM(B98:B100)</f>
        <v>104</v>
      </c>
      <c r="F101" s="15">
        <f>SUM(F98:F100)</f>
        <v>68953500</v>
      </c>
      <c r="H101" s="15">
        <f>SUM(H98:H100)</f>
        <v>22029266.975040004</v>
      </c>
      <c r="I101" s="22"/>
      <c r="J101" s="22"/>
      <c r="K101" s="57"/>
      <c r="L101" s="56"/>
      <c r="M101" s="57"/>
    </row>
    <row r="102" spans="1:13" x14ac:dyDescent="0.25">
      <c r="I102" s="56"/>
      <c r="J102" s="56"/>
      <c r="K102" s="56"/>
      <c r="L102" s="56"/>
      <c r="M102" s="56"/>
    </row>
    <row r="104" spans="1:13" x14ac:dyDescent="0.25">
      <c r="C104" s="243" t="s">
        <v>145</v>
      </c>
      <c r="D104" s="243"/>
      <c r="E104" s="243"/>
      <c r="F104" s="243"/>
      <c r="G104" s="243"/>
      <c r="H104" s="243"/>
    </row>
    <row r="105" spans="1:13" ht="30" x14ac:dyDescent="0.25">
      <c r="C105" s="28" t="s">
        <v>138</v>
      </c>
      <c r="D105" s="52" t="s">
        <v>127</v>
      </c>
      <c r="E105" s="52" t="s">
        <v>141</v>
      </c>
      <c r="F105" s="52" t="s">
        <v>120</v>
      </c>
      <c r="G105" s="53" t="s">
        <v>143</v>
      </c>
      <c r="H105" s="53" t="s">
        <v>144</v>
      </c>
    </row>
    <row r="106" spans="1:13" x14ac:dyDescent="0.25">
      <c r="C106" s="25" t="s">
        <v>146</v>
      </c>
      <c r="D106" s="2">
        <v>20</v>
      </c>
      <c r="E106" s="2">
        <f>C98*D106</f>
        <v>819000</v>
      </c>
      <c r="F106" s="2">
        <f>E106*B98</f>
        <v>13923000</v>
      </c>
      <c r="G106" s="2">
        <f>N90+O90+P90</f>
        <v>488815.0956</v>
      </c>
      <c r="H106" s="2">
        <f>G106*B98</f>
        <v>8309856.6251999997</v>
      </c>
    </row>
    <row r="107" spans="1:13" x14ac:dyDescent="0.25">
      <c r="C107" s="26" t="s">
        <v>147</v>
      </c>
      <c r="D107" s="2">
        <v>20</v>
      </c>
      <c r="E107" s="2">
        <f>C99*D107</f>
        <v>1197000</v>
      </c>
      <c r="F107" s="2">
        <f>E107*B99</f>
        <v>50274000</v>
      </c>
      <c r="G107" s="2">
        <v>488815.0956</v>
      </c>
      <c r="H107" s="2">
        <f>G107*B99</f>
        <v>20530234.0152</v>
      </c>
    </row>
    <row r="108" spans="1:13" x14ac:dyDescent="0.25">
      <c r="C108" s="27" t="s">
        <v>148</v>
      </c>
      <c r="D108" s="2">
        <v>20</v>
      </c>
      <c r="E108" s="2">
        <f>C100*D108</f>
        <v>1638000</v>
      </c>
      <c r="F108" s="2">
        <f>E108*B100</f>
        <v>73710000</v>
      </c>
      <c r="G108" s="2">
        <v>488815.0956</v>
      </c>
      <c r="H108" s="2">
        <f>G108*B100</f>
        <v>21996679.302000001</v>
      </c>
    </row>
    <row r="109" spans="1:13" x14ac:dyDescent="0.25">
      <c r="F109" s="15">
        <f>SUM(F106:F108)</f>
        <v>137907000</v>
      </c>
      <c r="H109" s="15">
        <f>SUM(H106:H108)</f>
        <v>50836769.942400001</v>
      </c>
    </row>
    <row r="112" spans="1:13" x14ac:dyDescent="0.25">
      <c r="C112" s="244" t="s">
        <v>149</v>
      </c>
      <c r="D112" s="244"/>
      <c r="E112" s="244"/>
      <c r="F112" s="244"/>
      <c r="G112" s="244"/>
      <c r="H112" s="244"/>
    </row>
    <row r="113" spans="3:8" ht="30" x14ac:dyDescent="0.25">
      <c r="C113" s="28" t="s">
        <v>138</v>
      </c>
      <c r="D113" s="52" t="s">
        <v>127</v>
      </c>
      <c r="E113" s="52" t="s">
        <v>141</v>
      </c>
      <c r="F113" s="52" t="s">
        <v>120</v>
      </c>
      <c r="G113" s="53" t="s">
        <v>143</v>
      </c>
      <c r="H113" s="53" t="s">
        <v>144</v>
      </c>
    </row>
    <row r="114" spans="3:8" x14ac:dyDescent="0.25">
      <c r="C114" s="25" t="s">
        <v>146</v>
      </c>
      <c r="D114" s="2">
        <v>19</v>
      </c>
      <c r="E114" s="2">
        <f>C98*D114</f>
        <v>778050</v>
      </c>
      <c r="F114" s="2">
        <f>E114*B98</f>
        <v>13226850</v>
      </c>
      <c r="G114" s="2">
        <f>SUM(T90:V90)</f>
        <v>488815.0956</v>
      </c>
      <c r="H114" s="2">
        <f>G114*B98</f>
        <v>8309856.6251999997</v>
      </c>
    </row>
    <row r="115" spans="3:8" x14ac:dyDescent="0.25">
      <c r="C115" s="26" t="s">
        <v>147</v>
      </c>
      <c r="D115" s="2">
        <v>19</v>
      </c>
      <c r="E115" s="2">
        <f t="shared" ref="E115" si="108">C99*D115</f>
        <v>1137150</v>
      </c>
      <c r="F115" s="2">
        <f t="shared" ref="F115:F116" si="109">E115*B99</f>
        <v>47760300</v>
      </c>
      <c r="G115" s="2">
        <v>488815</v>
      </c>
      <c r="H115" s="2">
        <f t="shared" ref="H115:H116" si="110">G115*B99</f>
        <v>20530230</v>
      </c>
    </row>
    <row r="116" spans="3:8" x14ac:dyDescent="0.25">
      <c r="C116" s="27" t="s">
        <v>148</v>
      </c>
      <c r="D116" s="2">
        <v>19</v>
      </c>
      <c r="E116" s="2">
        <f>C100*D116</f>
        <v>1556100</v>
      </c>
      <c r="F116" s="2">
        <f t="shared" si="109"/>
        <v>70024500</v>
      </c>
      <c r="G116" s="2">
        <v>488815</v>
      </c>
      <c r="H116" s="2">
        <f t="shared" si="110"/>
        <v>21996675</v>
      </c>
    </row>
    <row r="117" spans="3:8" x14ac:dyDescent="0.25">
      <c r="F117" s="15">
        <f>SUM(F114:F116)</f>
        <v>131011650</v>
      </c>
      <c r="H117" s="15">
        <f>SUM(H114:H116)</f>
        <v>50836761.625200003</v>
      </c>
    </row>
    <row r="120" spans="3:8" x14ac:dyDescent="0.25">
      <c r="C120" s="245" t="s">
        <v>150</v>
      </c>
      <c r="D120" s="245"/>
      <c r="E120" s="245"/>
      <c r="F120" s="245"/>
      <c r="G120" s="245"/>
      <c r="H120" s="245"/>
    </row>
    <row r="121" spans="3:8" ht="30" x14ac:dyDescent="0.25">
      <c r="C121" s="58" t="s">
        <v>138</v>
      </c>
      <c r="D121" s="59" t="s">
        <v>127</v>
      </c>
      <c r="E121" s="59" t="s">
        <v>141</v>
      </c>
      <c r="F121" s="59" t="s">
        <v>120</v>
      </c>
      <c r="G121" s="53" t="s">
        <v>143</v>
      </c>
      <c r="H121" s="53" t="s">
        <v>144</v>
      </c>
    </row>
    <row r="122" spans="3:8" x14ac:dyDescent="0.25">
      <c r="C122" s="25" t="s">
        <v>146</v>
      </c>
      <c r="D122" s="2">
        <v>19</v>
      </c>
      <c r="E122" s="2">
        <f>C98*D122</f>
        <v>778050</v>
      </c>
      <c r="F122" s="2">
        <f>E122*B98</f>
        <v>13226850</v>
      </c>
      <c r="G122" s="2">
        <f>SUM(Z90:AB90)</f>
        <v>488815.0956</v>
      </c>
      <c r="H122" s="2">
        <f>G122*B98</f>
        <v>8309856.6251999997</v>
      </c>
    </row>
    <row r="123" spans="3:8" x14ac:dyDescent="0.25">
      <c r="C123" s="26" t="s">
        <v>147</v>
      </c>
      <c r="D123" s="2">
        <v>19</v>
      </c>
      <c r="E123" s="2">
        <f t="shared" ref="E123:E124" si="111">C99*D123</f>
        <v>1137150</v>
      </c>
      <c r="F123" s="2">
        <f t="shared" ref="F123:F124" si="112">E123*B99</f>
        <v>47760300</v>
      </c>
      <c r="G123" s="2">
        <v>488815</v>
      </c>
      <c r="H123" s="2">
        <f t="shared" ref="H123:H124" si="113">G123*B99</f>
        <v>20530230</v>
      </c>
    </row>
    <row r="124" spans="3:8" x14ac:dyDescent="0.25">
      <c r="C124" s="27" t="s">
        <v>148</v>
      </c>
      <c r="D124" s="2">
        <v>19</v>
      </c>
      <c r="E124" s="2">
        <f t="shared" si="111"/>
        <v>1556100</v>
      </c>
      <c r="F124" s="2">
        <f t="shared" si="112"/>
        <v>70024500</v>
      </c>
      <c r="G124" s="2">
        <v>488815</v>
      </c>
      <c r="H124" s="2">
        <f t="shared" si="113"/>
        <v>21996675</v>
      </c>
    </row>
    <row r="125" spans="3:8" x14ac:dyDescent="0.25">
      <c r="F125" s="15">
        <f>SUM(F122:F124)</f>
        <v>131011650</v>
      </c>
      <c r="H125" s="15">
        <f>SUM(H122:H124)</f>
        <v>50836761.625200003</v>
      </c>
    </row>
    <row r="128" spans="3:8" x14ac:dyDescent="0.25">
      <c r="C128" s="246" t="s">
        <v>151</v>
      </c>
      <c r="D128" s="246"/>
      <c r="E128" s="246"/>
      <c r="F128" s="246"/>
      <c r="G128" s="246"/>
      <c r="H128" s="246"/>
    </row>
    <row r="129" spans="3:8" ht="30" x14ac:dyDescent="0.25">
      <c r="C129" s="58" t="s">
        <v>138</v>
      </c>
      <c r="D129" s="59" t="s">
        <v>127</v>
      </c>
      <c r="E129" s="59" t="s">
        <v>141</v>
      </c>
      <c r="F129" s="59" t="s">
        <v>120</v>
      </c>
      <c r="G129" s="53" t="s">
        <v>143</v>
      </c>
      <c r="H129" s="53" t="s">
        <v>144</v>
      </c>
    </row>
    <row r="130" spans="3:8" x14ac:dyDescent="0.25">
      <c r="C130" s="25" t="s">
        <v>146</v>
      </c>
      <c r="D130" s="2">
        <v>19</v>
      </c>
      <c r="E130" s="2">
        <f>C98*D130</f>
        <v>778050</v>
      </c>
      <c r="F130" s="2">
        <f>E130*B98</f>
        <v>13226850</v>
      </c>
      <c r="G130" s="2">
        <f>SUM(AF90:AH90)</f>
        <v>488815.0956</v>
      </c>
      <c r="H130" s="2">
        <f>G130*B98</f>
        <v>8309856.6251999997</v>
      </c>
    </row>
    <row r="131" spans="3:8" x14ac:dyDescent="0.25">
      <c r="C131" s="26" t="s">
        <v>147</v>
      </c>
      <c r="D131" s="2">
        <v>19</v>
      </c>
      <c r="E131" s="2">
        <f t="shared" ref="E131:E132" si="114">C99*D131</f>
        <v>1137150</v>
      </c>
      <c r="F131" s="2">
        <f t="shared" ref="F131:F132" si="115">E131*B99</f>
        <v>47760300</v>
      </c>
      <c r="G131" s="2">
        <v>488815</v>
      </c>
      <c r="H131" s="2">
        <f t="shared" ref="H131:H132" si="116">G131*B99</f>
        <v>20530230</v>
      </c>
    </row>
    <row r="132" spans="3:8" x14ac:dyDescent="0.25">
      <c r="C132" s="27" t="s">
        <v>148</v>
      </c>
      <c r="D132" s="2">
        <v>19</v>
      </c>
      <c r="E132" s="2">
        <f t="shared" si="114"/>
        <v>1556100</v>
      </c>
      <c r="F132" s="2">
        <f t="shared" si="115"/>
        <v>70024500</v>
      </c>
      <c r="G132" s="2">
        <v>488815</v>
      </c>
      <c r="H132" s="2">
        <f t="shared" si="116"/>
        <v>21996675</v>
      </c>
    </row>
    <row r="133" spans="3:8" x14ac:dyDescent="0.25">
      <c r="F133" s="15">
        <f>SUM(F130:F132)</f>
        <v>131011650</v>
      </c>
      <c r="H133" s="15">
        <f>SUM(H130:H132)</f>
        <v>50836761.625200003</v>
      </c>
    </row>
    <row r="136" spans="3:8" x14ac:dyDescent="0.25">
      <c r="C136" s="247" t="s">
        <v>152</v>
      </c>
      <c r="D136" s="247"/>
      <c r="E136" s="247"/>
      <c r="F136" s="247"/>
      <c r="G136" s="247"/>
      <c r="H136" s="247"/>
    </row>
    <row r="137" spans="3:8" ht="30" x14ac:dyDescent="0.25">
      <c r="C137" s="58" t="s">
        <v>138</v>
      </c>
      <c r="D137" s="59" t="s">
        <v>127</v>
      </c>
      <c r="E137" s="59" t="s">
        <v>141</v>
      </c>
      <c r="F137" s="59" t="s">
        <v>120</v>
      </c>
      <c r="G137" s="53" t="s">
        <v>143</v>
      </c>
      <c r="H137" s="53" t="s">
        <v>144</v>
      </c>
    </row>
    <row r="138" spans="3:8" x14ac:dyDescent="0.25">
      <c r="C138" s="25" t="s">
        <v>146</v>
      </c>
      <c r="D138" s="2">
        <v>9</v>
      </c>
      <c r="E138" s="2">
        <f>C98*D138</f>
        <v>368550</v>
      </c>
      <c r="F138" s="2">
        <f>E138*B98</f>
        <v>6265350</v>
      </c>
      <c r="G138" s="2">
        <f>SUM(AL90:AN90)</f>
        <v>195526.03824000002</v>
      </c>
      <c r="H138" s="2">
        <f>G138*B98</f>
        <v>3323942.6500800005</v>
      </c>
    </row>
    <row r="139" spans="3:8" x14ac:dyDescent="0.25">
      <c r="C139" s="26" t="s">
        <v>147</v>
      </c>
      <c r="D139" s="2">
        <v>9</v>
      </c>
      <c r="E139" s="2">
        <f t="shared" ref="E139:E140" si="117">C99*D139</f>
        <v>538650</v>
      </c>
      <c r="F139" s="2">
        <f t="shared" ref="F139:F140" si="118">E139*B99</f>
        <v>22623300</v>
      </c>
      <c r="G139" s="2">
        <v>195526.03824000002</v>
      </c>
      <c r="H139" s="2">
        <f t="shared" ref="H139:H140" si="119">G139*B99</f>
        <v>8212093.6060800012</v>
      </c>
    </row>
    <row r="140" spans="3:8" x14ac:dyDescent="0.25">
      <c r="C140" s="27" t="s">
        <v>148</v>
      </c>
      <c r="D140" s="2">
        <v>9</v>
      </c>
      <c r="E140" s="2">
        <f t="shared" si="117"/>
        <v>737100</v>
      </c>
      <c r="F140" s="2">
        <f t="shared" si="118"/>
        <v>33169500</v>
      </c>
      <c r="G140" s="2">
        <v>195526.03824000002</v>
      </c>
      <c r="H140" s="2">
        <f t="shared" si="119"/>
        <v>8798671.7208000012</v>
      </c>
    </row>
    <row r="141" spans="3:8" x14ac:dyDescent="0.25">
      <c r="F141" s="15">
        <f>SUM(F138:F140)</f>
        <v>62058150</v>
      </c>
      <c r="H141" s="15">
        <f>SUM(H138:H140)</f>
        <v>20334707.976960003</v>
      </c>
    </row>
    <row r="144" spans="3:8" x14ac:dyDescent="0.25">
      <c r="C144" s="231" t="s">
        <v>213</v>
      </c>
      <c r="D144" s="231"/>
      <c r="E144" s="231"/>
      <c r="F144" s="231"/>
      <c r="G144" s="231"/>
      <c r="H144" s="231"/>
    </row>
    <row r="145" spans="1:15" ht="30" x14ac:dyDescent="0.25">
      <c r="C145" s="58" t="s">
        <v>138</v>
      </c>
      <c r="D145" s="59" t="s">
        <v>127</v>
      </c>
      <c r="E145" s="59" t="s">
        <v>141</v>
      </c>
      <c r="F145" s="59" t="s">
        <v>120</v>
      </c>
      <c r="G145" s="53" t="s">
        <v>143</v>
      </c>
      <c r="H145" s="53" t="s">
        <v>144</v>
      </c>
    </row>
    <row r="146" spans="1:15" x14ac:dyDescent="0.25">
      <c r="C146" s="25" t="s">
        <v>146</v>
      </c>
      <c r="D146" s="2">
        <v>0</v>
      </c>
      <c r="E146" s="2">
        <f>C98*D146</f>
        <v>0</v>
      </c>
      <c r="F146" s="2">
        <f>E146*B98</f>
        <v>0</v>
      </c>
      <c r="G146" s="2">
        <v>0</v>
      </c>
      <c r="H146" s="2">
        <f>G146*B98</f>
        <v>0</v>
      </c>
    </row>
    <row r="147" spans="1:15" x14ac:dyDescent="0.25">
      <c r="C147" s="26" t="s">
        <v>147</v>
      </c>
      <c r="D147" s="2">
        <v>0</v>
      </c>
      <c r="E147" s="2">
        <f t="shared" ref="E147:E148" si="120">C99*D147</f>
        <v>0</v>
      </c>
      <c r="F147" s="2">
        <f t="shared" ref="F147:F148" si="121">E147*B99</f>
        <v>0</v>
      </c>
      <c r="G147" s="2">
        <v>0</v>
      </c>
      <c r="H147" s="2">
        <f t="shared" ref="H147:H148" si="122">G147*B99</f>
        <v>0</v>
      </c>
    </row>
    <row r="148" spans="1:15" x14ac:dyDescent="0.25">
      <c r="C148" s="27" t="s">
        <v>148</v>
      </c>
      <c r="D148" s="2">
        <v>0</v>
      </c>
      <c r="E148" s="2">
        <f t="shared" si="120"/>
        <v>0</v>
      </c>
      <c r="F148" s="2">
        <f t="shared" si="121"/>
        <v>0</v>
      </c>
      <c r="G148" s="2">
        <v>0</v>
      </c>
      <c r="H148" s="2">
        <f t="shared" si="122"/>
        <v>0</v>
      </c>
    </row>
    <row r="149" spans="1:15" x14ac:dyDescent="0.25">
      <c r="F149" s="15">
        <f>SUM(F146:F148)</f>
        <v>0</v>
      </c>
      <c r="H149" s="15">
        <f>SUM(H146:H148)</f>
        <v>0</v>
      </c>
    </row>
    <row r="152" spans="1:15" x14ac:dyDescent="0.25">
      <c r="A152" s="8" t="s">
        <v>153</v>
      </c>
    </row>
    <row r="153" spans="1:15" x14ac:dyDescent="0.25">
      <c r="A153" s="188" t="s">
        <v>138</v>
      </c>
      <c r="B153" s="224" t="s">
        <v>126</v>
      </c>
      <c r="C153" s="224"/>
      <c r="D153" s="251" t="s">
        <v>133</v>
      </c>
      <c r="E153" s="251"/>
      <c r="F153" s="252" t="s">
        <v>134</v>
      </c>
      <c r="G153" s="252"/>
      <c r="H153" s="241" t="s">
        <v>135</v>
      </c>
      <c r="I153" s="241"/>
      <c r="J153" s="242" t="s">
        <v>136</v>
      </c>
      <c r="K153" s="242"/>
      <c r="L153" s="249" t="s">
        <v>137</v>
      </c>
      <c r="M153" s="249"/>
      <c r="N153" s="250" t="s">
        <v>157</v>
      </c>
      <c r="O153" s="250"/>
    </row>
    <row r="154" spans="1:15" x14ac:dyDescent="0.25">
      <c r="A154" s="188"/>
      <c r="B154" s="58" t="s">
        <v>128</v>
      </c>
      <c r="C154" s="58" t="s">
        <v>154</v>
      </c>
      <c r="D154" s="61" t="s">
        <v>128</v>
      </c>
      <c r="E154" s="61" t="s">
        <v>154</v>
      </c>
      <c r="F154" s="61" t="s">
        <v>128</v>
      </c>
      <c r="G154" s="61" t="s">
        <v>154</v>
      </c>
      <c r="H154" s="61" t="s">
        <v>128</v>
      </c>
      <c r="I154" s="61" t="s">
        <v>154</v>
      </c>
      <c r="J154" s="61" t="s">
        <v>128</v>
      </c>
      <c r="K154" s="61" t="s">
        <v>154</v>
      </c>
      <c r="L154" s="61" t="s">
        <v>128</v>
      </c>
      <c r="M154" s="61" t="s">
        <v>154</v>
      </c>
      <c r="N154" s="61" t="s">
        <v>128</v>
      </c>
      <c r="O154" s="61" t="s">
        <v>154</v>
      </c>
    </row>
    <row r="155" spans="1:15" x14ac:dyDescent="0.25">
      <c r="A155" s="25" t="s">
        <v>146</v>
      </c>
      <c r="B155" s="2">
        <f>F98</f>
        <v>6961500</v>
      </c>
      <c r="C155" s="2">
        <f>H98</f>
        <v>3600937.8709200006</v>
      </c>
      <c r="D155" s="2">
        <f>F106</f>
        <v>13923000</v>
      </c>
      <c r="E155" s="2">
        <f>H106</f>
        <v>8309856.6251999997</v>
      </c>
      <c r="F155" s="2">
        <f>F114</f>
        <v>13226850</v>
      </c>
      <c r="G155" s="2">
        <f>H114</f>
        <v>8309856.6251999997</v>
      </c>
      <c r="H155" s="2">
        <f>F122</f>
        <v>13226850</v>
      </c>
      <c r="I155" s="2">
        <f>H122</f>
        <v>8309856.6251999997</v>
      </c>
      <c r="J155" s="2">
        <f>F130</f>
        <v>13226850</v>
      </c>
      <c r="K155" s="2">
        <f>H130</f>
        <v>8309856.6251999997</v>
      </c>
      <c r="L155" s="2">
        <f>F138</f>
        <v>6265350</v>
      </c>
      <c r="M155" s="2">
        <f>H138</f>
        <v>3323942.6500800005</v>
      </c>
      <c r="N155" s="2">
        <f>F146</f>
        <v>0</v>
      </c>
      <c r="O155" s="2">
        <f>H146</f>
        <v>0</v>
      </c>
    </row>
    <row r="156" spans="1:15" x14ac:dyDescent="0.25">
      <c r="A156" s="26" t="s">
        <v>147</v>
      </c>
      <c r="B156" s="2">
        <f>F99</f>
        <v>25137000</v>
      </c>
      <c r="C156" s="2">
        <f t="shared" ref="C156:C157" si="123">H99</f>
        <v>8896434.7399200015</v>
      </c>
      <c r="D156" s="2">
        <f t="shared" ref="D156:D157" si="124">F107</f>
        <v>50274000</v>
      </c>
      <c r="E156" s="2">
        <f t="shared" ref="E156:E157" si="125">H107</f>
        <v>20530234.0152</v>
      </c>
      <c r="F156" s="2">
        <f t="shared" ref="F156:F157" si="126">F115</f>
        <v>47760300</v>
      </c>
      <c r="G156" s="2">
        <f t="shared" ref="G156:G157" si="127">H115</f>
        <v>20530230</v>
      </c>
      <c r="H156" s="2">
        <f t="shared" ref="H156:H157" si="128">F123</f>
        <v>47760300</v>
      </c>
      <c r="I156" s="2">
        <f t="shared" ref="I156:I157" si="129">H123</f>
        <v>20530230</v>
      </c>
      <c r="J156" s="2">
        <f t="shared" ref="J156:J157" si="130">F131</f>
        <v>47760300</v>
      </c>
      <c r="K156" s="2">
        <f t="shared" ref="K156:K157" si="131">H131</f>
        <v>20530230</v>
      </c>
      <c r="L156" s="2">
        <f t="shared" ref="L156:L157" si="132">F139</f>
        <v>22623300</v>
      </c>
      <c r="M156" s="2">
        <f t="shared" ref="M156:M157" si="133">H139</f>
        <v>8212093.6060800012</v>
      </c>
      <c r="N156" s="2">
        <f>F147</f>
        <v>0</v>
      </c>
      <c r="O156" s="2">
        <f>H147</f>
        <v>0</v>
      </c>
    </row>
    <row r="157" spans="1:15" x14ac:dyDescent="0.25">
      <c r="A157" s="27" t="s">
        <v>148</v>
      </c>
      <c r="B157" s="2">
        <f>F100</f>
        <v>36855000</v>
      </c>
      <c r="C157" s="2">
        <f t="shared" si="123"/>
        <v>9531894.3642000016</v>
      </c>
      <c r="D157" s="2">
        <f t="shared" si="124"/>
        <v>73710000</v>
      </c>
      <c r="E157" s="2">
        <f t="shared" si="125"/>
        <v>21996679.302000001</v>
      </c>
      <c r="F157" s="2">
        <f t="shared" si="126"/>
        <v>70024500</v>
      </c>
      <c r="G157" s="2">
        <f t="shared" si="127"/>
        <v>21996675</v>
      </c>
      <c r="H157" s="2">
        <f t="shared" si="128"/>
        <v>70024500</v>
      </c>
      <c r="I157" s="2">
        <f t="shared" si="129"/>
        <v>21996675</v>
      </c>
      <c r="J157" s="2">
        <f t="shared" si="130"/>
        <v>70024500</v>
      </c>
      <c r="K157" s="2">
        <f t="shared" si="131"/>
        <v>21996675</v>
      </c>
      <c r="L157" s="2">
        <f t="shared" si="132"/>
        <v>33169500</v>
      </c>
      <c r="M157" s="2">
        <f t="shared" si="133"/>
        <v>8798671.7208000012</v>
      </c>
      <c r="N157" s="2">
        <f>F148</f>
        <v>0</v>
      </c>
      <c r="O157" s="2">
        <f>H148</f>
        <v>0</v>
      </c>
    </row>
    <row r="158" spans="1:15" x14ac:dyDescent="0.25">
      <c r="A158" s="60" t="s">
        <v>156</v>
      </c>
      <c r="B158" s="15">
        <f t="shared" ref="B158:O158" si="134">SUM(B155:B157)</f>
        <v>68953500</v>
      </c>
      <c r="C158" s="15">
        <f t="shared" si="134"/>
        <v>22029266.975040004</v>
      </c>
      <c r="D158" s="15">
        <f t="shared" si="134"/>
        <v>137907000</v>
      </c>
      <c r="E158" s="15">
        <f t="shared" si="134"/>
        <v>50836769.942400001</v>
      </c>
      <c r="F158" s="15">
        <f t="shared" si="134"/>
        <v>131011650</v>
      </c>
      <c r="G158" s="15">
        <f t="shared" si="134"/>
        <v>50836761.625200003</v>
      </c>
      <c r="H158" s="15">
        <f t="shared" si="134"/>
        <v>131011650</v>
      </c>
      <c r="I158" s="15">
        <f t="shared" si="134"/>
        <v>50836761.625200003</v>
      </c>
      <c r="J158" s="15">
        <f t="shared" si="134"/>
        <v>131011650</v>
      </c>
      <c r="K158" s="15">
        <f t="shared" si="134"/>
        <v>50836761.625200003</v>
      </c>
      <c r="L158" s="15">
        <f t="shared" si="134"/>
        <v>62058150</v>
      </c>
      <c r="M158" s="15">
        <f t="shared" si="134"/>
        <v>20334707.976960003</v>
      </c>
      <c r="N158" s="15">
        <f t="shared" si="134"/>
        <v>0</v>
      </c>
      <c r="O158" s="15">
        <f t="shared" si="134"/>
        <v>0</v>
      </c>
    </row>
    <row r="159" spans="1:15" x14ac:dyDescent="0.25">
      <c r="A159" s="60" t="s">
        <v>155</v>
      </c>
      <c r="B159" s="190">
        <f>SUM(B158:C158)</f>
        <v>90982766.975040004</v>
      </c>
      <c r="C159" s="226"/>
      <c r="D159" s="190">
        <f>D158+E158</f>
        <v>188743769.94240001</v>
      </c>
      <c r="E159" s="226"/>
      <c r="F159" s="190">
        <f>F158+G158</f>
        <v>181848411.6252</v>
      </c>
      <c r="G159" s="226"/>
      <c r="H159" s="190">
        <f>H158+I158</f>
        <v>181848411.6252</v>
      </c>
      <c r="I159" s="226"/>
      <c r="J159" s="190">
        <f>J158+K158</f>
        <v>181848411.6252</v>
      </c>
      <c r="K159" s="226"/>
      <c r="L159" s="190">
        <f>L158+M158</f>
        <v>82392857.976960003</v>
      </c>
      <c r="M159" s="226"/>
      <c r="N159" s="190">
        <f>N158+O158</f>
        <v>0</v>
      </c>
      <c r="O159" s="226"/>
    </row>
    <row r="161" spans="1:6" x14ac:dyDescent="0.25">
      <c r="A161" s="200" t="s">
        <v>158</v>
      </c>
      <c r="B161" s="200"/>
    </row>
    <row r="162" spans="1:6" x14ac:dyDescent="0.25">
      <c r="A162" s="62" t="s">
        <v>128</v>
      </c>
      <c r="B162" s="2">
        <f>B158++D158+F158+H158+J158+L158+N158</f>
        <v>661953600</v>
      </c>
      <c r="C162" s="227"/>
    </row>
    <row r="163" spans="1:6" x14ac:dyDescent="0.25">
      <c r="A163" s="62" t="s">
        <v>159</v>
      </c>
      <c r="B163" s="2">
        <f>C158+E158+G158+I158+K158+M158+O158</f>
        <v>245711029.77000001</v>
      </c>
      <c r="C163" s="228"/>
    </row>
    <row r="164" spans="1:6" x14ac:dyDescent="0.25">
      <c r="A164" s="63" t="s">
        <v>173</v>
      </c>
      <c r="B164" s="15">
        <f>SUM(B162:B163)</f>
        <v>907664629.76999998</v>
      </c>
    </row>
    <row r="167" spans="1:6" x14ac:dyDescent="0.25">
      <c r="B167" s="1"/>
      <c r="C167" s="1"/>
      <c r="D167" s="1"/>
      <c r="E167" s="1"/>
      <c r="F167" s="1"/>
    </row>
    <row r="168" spans="1:6" x14ac:dyDescent="0.25">
      <c r="A168" s="200" t="s">
        <v>174</v>
      </c>
      <c r="B168" s="200"/>
      <c r="C168" s="1"/>
      <c r="D168" s="1"/>
      <c r="E168" s="1"/>
      <c r="F168" s="1"/>
    </row>
    <row r="169" spans="1:6" x14ac:dyDescent="0.25">
      <c r="A169" s="62" t="s">
        <v>128</v>
      </c>
      <c r="B169" s="2">
        <f>B162</f>
        <v>661953600</v>
      </c>
      <c r="C169" s="1"/>
      <c r="D169" s="1"/>
      <c r="E169" s="1"/>
      <c r="F169" s="1"/>
    </row>
    <row r="170" spans="1:6" x14ac:dyDescent="0.25">
      <c r="A170" s="62" t="s">
        <v>159</v>
      </c>
      <c r="B170" s="2">
        <f>B163</f>
        <v>245711029.77000001</v>
      </c>
      <c r="C170" s="1"/>
      <c r="D170" s="1"/>
      <c r="E170" s="1"/>
      <c r="F170" s="1"/>
    </row>
    <row r="171" spans="1:6" x14ac:dyDescent="0.25">
      <c r="A171" s="62" t="s">
        <v>206</v>
      </c>
      <c r="B171" s="2">
        <f>'proyección general Inicial'!M30</f>
        <v>13220000</v>
      </c>
      <c r="C171" s="1" t="s">
        <v>215</v>
      </c>
      <c r="D171" s="1"/>
      <c r="E171" s="1"/>
      <c r="F171" s="1"/>
    </row>
    <row r="172" spans="1:6" x14ac:dyDescent="0.25">
      <c r="A172" s="63" t="s">
        <v>120</v>
      </c>
      <c r="B172" s="15">
        <f>SUM(B169:B171)</f>
        <v>920884629.76999998</v>
      </c>
      <c r="C172" s="1">
        <f>B172*5%</f>
        <v>46044231.488499999</v>
      </c>
      <c r="D172" s="1"/>
      <c r="E172" s="1"/>
      <c r="F172" s="1"/>
    </row>
    <row r="173" spans="1:6" x14ac:dyDescent="0.25">
      <c r="A173" s="63" t="s">
        <v>217</v>
      </c>
      <c r="B173" s="15">
        <f>B172*26.1%</f>
        <v>240350888.36996999</v>
      </c>
      <c r="C173" s="1"/>
      <c r="D173" s="1" t="s">
        <v>215</v>
      </c>
      <c r="E173" s="1"/>
      <c r="F173" s="1"/>
    </row>
    <row r="174" spans="1:6" x14ac:dyDescent="0.25">
      <c r="A174" s="87" t="s">
        <v>214</v>
      </c>
      <c r="B174" s="57">
        <f>SUM(B172:B173)</f>
        <v>1161235518.1399701</v>
      </c>
      <c r="C174" s="1">
        <f>B174-E179</f>
        <v>967048161.45499468</v>
      </c>
      <c r="D174" s="1">
        <f>C174-B172</f>
        <v>46163531.684994698</v>
      </c>
      <c r="E174" s="1"/>
      <c r="F174" s="1"/>
    </row>
    <row r="175" spans="1:6" x14ac:dyDescent="0.25">
      <c r="C175" s="1"/>
      <c r="D175" s="1"/>
      <c r="E175" s="1"/>
      <c r="F175" s="1"/>
    </row>
    <row r="176" spans="1:6" x14ac:dyDescent="0.25">
      <c r="C176" s="85">
        <v>0.17</v>
      </c>
      <c r="D176" s="85">
        <v>0.157</v>
      </c>
      <c r="E176" s="1" t="s">
        <v>212</v>
      </c>
      <c r="F176" s="1"/>
    </row>
    <row r="177" spans="1:6" x14ac:dyDescent="0.25">
      <c r="A177" s="8" t="s">
        <v>210</v>
      </c>
      <c r="B177" s="1">
        <f>'proyección general Inicial'!D33-'proyección general Inicial'!D25-'proyección general Inicial'!D26</f>
        <v>913336949</v>
      </c>
      <c r="C177" s="1">
        <f>B177*C176</f>
        <v>155267281.33000001</v>
      </c>
      <c r="D177" s="1">
        <v>0</v>
      </c>
      <c r="E177" s="1">
        <f>SUM(C177:D177)</f>
        <v>155267281.33000001</v>
      </c>
      <c r="F177" s="1"/>
    </row>
    <row r="178" spans="1:6" x14ac:dyDescent="0.25">
      <c r="A178" s="8" t="s">
        <v>211</v>
      </c>
      <c r="B178" s="1">
        <f>B174-B177</f>
        <v>247898569.13997006</v>
      </c>
      <c r="C178" s="1">
        <v>0</v>
      </c>
      <c r="D178" s="1">
        <f>B178*D176</f>
        <v>38920075.354975298</v>
      </c>
      <c r="E178" s="1">
        <f>SUM(C178:D178)</f>
        <v>38920075.354975298</v>
      </c>
      <c r="F178" s="1"/>
    </row>
    <row r="179" spans="1:6" x14ac:dyDescent="0.25">
      <c r="C179" s="1"/>
      <c r="D179" s="1"/>
      <c r="E179" s="86">
        <f>SUM(E177:E178)</f>
        <v>194187356.68497533</v>
      </c>
      <c r="F179" s="1"/>
    </row>
    <row r="180" spans="1:6" x14ac:dyDescent="0.25">
      <c r="C180" s="1"/>
      <c r="D180" s="1"/>
      <c r="E180" s="1"/>
      <c r="F180" s="1"/>
    </row>
  </sheetData>
  <mergeCells count="40">
    <mergeCell ref="F153:G153"/>
    <mergeCell ref="A161:B161"/>
    <mergeCell ref="J153:K153"/>
    <mergeCell ref="J159:K159"/>
    <mergeCell ref="L153:M153"/>
    <mergeCell ref="L159:M159"/>
    <mergeCell ref="F159:G159"/>
    <mergeCell ref="H153:I153"/>
    <mergeCell ref="H159:I159"/>
    <mergeCell ref="A1:F1"/>
    <mergeCell ref="F9:K9"/>
    <mergeCell ref="L9:Q9"/>
    <mergeCell ref="C120:H120"/>
    <mergeCell ref="C128:H128"/>
    <mergeCell ref="C112:H112"/>
    <mergeCell ref="AP9:AU9"/>
    <mergeCell ref="H92:J92"/>
    <mergeCell ref="R9:W9"/>
    <mergeCell ref="C104:H104"/>
    <mergeCell ref="I96:M96"/>
    <mergeCell ref="C96:C97"/>
    <mergeCell ref="D96:H96"/>
    <mergeCell ref="A95:H95"/>
    <mergeCell ref="A94:H94"/>
    <mergeCell ref="C162:C163"/>
    <mergeCell ref="A168:B168"/>
    <mergeCell ref="X9:AC9"/>
    <mergeCell ref="AD9:AI9"/>
    <mergeCell ref="AJ9:AO9"/>
    <mergeCell ref="A96:A97"/>
    <mergeCell ref="B96:B97"/>
    <mergeCell ref="N153:O153"/>
    <mergeCell ref="N159:O159"/>
    <mergeCell ref="C136:H136"/>
    <mergeCell ref="C144:H144"/>
    <mergeCell ref="B153:C153"/>
    <mergeCell ref="D153:E153"/>
    <mergeCell ref="B159:C159"/>
    <mergeCell ref="A153:A154"/>
    <mergeCell ref="D159:E159"/>
  </mergeCells>
  <pageMargins left="0.7" right="0.7" top="0.75" bottom="0.75" header="0.3" footer="0.3"/>
  <pageSetup paperSize="9" orientation="portrait" r:id="rId1"/>
  <legacy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F13"/>
  <sheetViews>
    <sheetView zoomScale="145" zoomScaleNormal="145" workbookViewId="0">
      <selection activeCell="C27" sqref="C27"/>
    </sheetView>
  </sheetViews>
  <sheetFormatPr baseColWidth="10" defaultRowHeight="15" x14ac:dyDescent="0.25"/>
  <cols>
    <col min="1" max="1" width="37.5703125" style="8" customWidth="1"/>
    <col min="2" max="2" width="12.7109375" customWidth="1"/>
  </cols>
  <sheetData>
    <row r="1" spans="1:6" ht="15" customHeight="1" x14ac:dyDescent="0.25">
      <c r="A1" s="10" t="s">
        <v>112</v>
      </c>
      <c r="B1" s="8"/>
      <c r="C1" s="8"/>
      <c r="D1" s="8"/>
      <c r="E1" s="8"/>
      <c r="F1" s="8"/>
    </row>
    <row r="2" spans="1:6" x14ac:dyDescent="0.25">
      <c r="A2" s="11" t="s">
        <v>22</v>
      </c>
    </row>
    <row r="3" spans="1:6" x14ac:dyDescent="0.25">
      <c r="A3" s="11" t="s">
        <v>26</v>
      </c>
    </row>
    <row r="4" spans="1:6" x14ac:dyDescent="0.25">
      <c r="A4" s="11" t="s">
        <v>44</v>
      </c>
    </row>
    <row r="5" spans="1:6" x14ac:dyDescent="0.25">
      <c r="A5" s="11" t="s">
        <v>46</v>
      </c>
    </row>
    <row r="6" spans="1:6" x14ac:dyDescent="0.25">
      <c r="A6" s="11" t="s">
        <v>70</v>
      </c>
    </row>
    <row r="7" spans="1:6" x14ac:dyDescent="0.25">
      <c r="A7" s="11" t="s">
        <v>72</v>
      </c>
    </row>
    <row r="8" spans="1:6" x14ac:dyDescent="0.25">
      <c r="A8" s="11" t="s">
        <v>90</v>
      </c>
    </row>
    <row r="9" spans="1:6" x14ac:dyDescent="0.25">
      <c r="A9" s="11" t="s">
        <v>101</v>
      </c>
    </row>
    <row r="10" spans="1:6" x14ac:dyDescent="0.25">
      <c r="A10" s="11" t="s">
        <v>105</v>
      </c>
    </row>
    <row r="11" spans="1:6" x14ac:dyDescent="0.25">
      <c r="A11" s="11" t="s">
        <v>108</v>
      </c>
    </row>
    <row r="12" spans="1:6" x14ac:dyDescent="0.25">
      <c r="A12" s="11" t="s">
        <v>109</v>
      </c>
    </row>
    <row r="13" spans="1:6" x14ac:dyDescent="0.25">
      <c r="A13" s="12"/>
    </row>
  </sheetData>
  <pageMargins left="0.7" right="0.7" top="0.75" bottom="0.7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AA4"/>
  <sheetViews>
    <sheetView zoomScale="145" zoomScaleNormal="145" workbookViewId="0">
      <selection activeCell="G14" sqref="G14"/>
    </sheetView>
  </sheetViews>
  <sheetFormatPr baseColWidth="10" defaultRowHeight="15" x14ac:dyDescent="0.25"/>
  <cols>
    <col min="1" max="1" width="12.140625" style="1" bestFit="1" customWidth="1"/>
    <col min="2" max="9" width="11.42578125" style="1"/>
    <col min="10" max="10" width="19.140625" style="1" customWidth="1"/>
    <col min="11" max="23" width="11.42578125" style="1"/>
    <col min="24" max="27" width="11.42578125" style="68"/>
  </cols>
  <sheetData>
    <row r="1" spans="1:10" x14ac:dyDescent="0.25">
      <c r="A1" s="1">
        <v>621320</v>
      </c>
      <c r="B1" s="1">
        <v>1307815</v>
      </c>
      <c r="C1" s="1">
        <v>1266865</v>
      </c>
      <c r="D1" s="1">
        <v>1266865</v>
      </c>
      <c r="E1" s="1">
        <v>1266865</v>
      </c>
      <c r="F1" s="1">
        <v>857365</v>
      </c>
      <c r="G1" s="1">
        <v>1054184</v>
      </c>
      <c r="H1" s="1">
        <f>SUM(A1:G1)</f>
        <v>7641279</v>
      </c>
      <c r="I1" s="1">
        <v>18</v>
      </c>
      <c r="J1" s="1">
        <f>H1*I1</f>
        <v>137543022</v>
      </c>
    </row>
    <row r="2" spans="1:10" x14ac:dyDescent="0.25">
      <c r="A2" s="1">
        <v>810320</v>
      </c>
      <c r="B2" s="1">
        <v>1685815</v>
      </c>
      <c r="C2" s="1">
        <v>1625965</v>
      </c>
      <c r="D2" s="1">
        <v>1625965</v>
      </c>
      <c r="E2" s="1">
        <v>1625965</v>
      </c>
      <c r="F2" s="1">
        <v>1027465</v>
      </c>
      <c r="G2" s="1">
        <v>1337684</v>
      </c>
      <c r="H2" s="1">
        <f t="shared" ref="H2:H3" si="0">SUM(A2:G2)</f>
        <v>9739179</v>
      </c>
      <c r="I2" s="1">
        <v>42</v>
      </c>
      <c r="J2" s="1">
        <f t="shared" ref="J2:J3" si="1">H2*I2</f>
        <v>409045518</v>
      </c>
    </row>
    <row r="3" spans="1:10" x14ac:dyDescent="0.25">
      <c r="A3" s="1">
        <v>1030820</v>
      </c>
      <c r="B3" s="1">
        <v>2126815</v>
      </c>
      <c r="C3" s="1">
        <v>2044915</v>
      </c>
      <c r="D3" s="1">
        <v>2044915</v>
      </c>
      <c r="E3" s="1">
        <v>2044915</v>
      </c>
      <c r="F3" s="1">
        <v>1225915</v>
      </c>
      <c r="G3" s="1">
        <v>1668434</v>
      </c>
      <c r="H3" s="1">
        <f t="shared" si="0"/>
        <v>12186729</v>
      </c>
      <c r="I3" s="1">
        <v>45</v>
      </c>
      <c r="J3" s="1">
        <f t="shared" si="1"/>
        <v>548402805</v>
      </c>
    </row>
    <row r="4" spans="1:10" x14ac:dyDescent="0.25">
      <c r="I4" s="1">
        <f>SUM(I1:I3)</f>
        <v>105</v>
      </c>
      <c r="J4" s="1">
        <f>SUM(J1:J3)</f>
        <v>1094991345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I31"/>
  <sheetViews>
    <sheetView zoomScale="115" zoomScaleNormal="115" workbookViewId="0">
      <selection activeCell="I32" sqref="I32"/>
    </sheetView>
  </sheetViews>
  <sheetFormatPr baseColWidth="10" defaultRowHeight="15" x14ac:dyDescent="0.25"/>
  <cols>
    <col min="1" max="1" width="14.42578125" customWidth="1"/>
    <col min="2" max="2" width="14.140625" customWidth="1"/>
    <col min="3" max="3" width="12.7109375" bestFit="1" customWidth="1"/>
    <col min="4" max="4" width="12.28515625" customWidth="1"/>
    <col min="5" max="5" width="14" customWidth="1"/>
    <col min="6" max="6" width="12.85546875" customWidth="1"/>
    <col min="8" max="8" width="12.7109375" bestFit="1" customWidth="1"/>
    <col min="9" max="9" width="14" bestFit="1" customWidth="1"/>
  </cols>
  <sheetData>
    <row r="1" spans="1:8" ht="45" x14ac:dyDescent="0.25">
      <c r="A1" s="253" t="s">
        <v>175</v>
      </c>
      <c r="B1" s="76" t="s">
        <v>198</v>
      </c>
      <c r="C1" s="77" t="s">
        <v>193</v>
      </c>
      <c r="D1" s="253" t="s">
        <v>194</v>
      </c>
      <c r="E1" s="253" t="s">
        <v>200</v>
      </c>
      <c r="F1" s="230" t="s">
        <v>199</v>
      </c>
    </row>
    <row r="2" spans="1:8" x14ac:dyDescent="0.25">
      <c r="A2" s="253"/>
      <c r="B2" s="78">
        <v>1.2999999999999999E-2</v>
      </c>
      <c r="C2" s="79">
        <v>5.5100000000000003E-2</v>
      </c>
      <c r="D2" s="253"/>
      <c r="E2" s="253"/>
      <c r="F2" s="230"/>
    </row>
    <row r="3" spans="1:8" x14ac:dyDescent="0.25">
      <c r="A3" s="1">
        <v>3624</v>
      </c>
      <c r="B3" s="1">
        <f>A3*B2</f>
        <v>47.111999999999995</v>
      </c>
      <c r="C3" s="1">
        <f>(A3+B3)*C2</f>
        <v>202.27827120000001</v>
      </c>
      <c r="D3" s="1">
        <f>A3+C3</f>
        <v>3826.2782711999998</v>
      </c>
      <c r="E3" s="1">
        <f>'proyección inicial procesadoras'!B173</f>
        <v>240350888.36996999</v>
      </c>
      <c r="F3" s="1">
        <f>'proyección general Inicial'!G43</f>
        <v>70241660.81400001</v>
      </c>
      <c r="H3" s="1" t="e">
        <f>'proyección inicial procesadoras'!#REF!</f>
        <v>#REF!</v>
      </c>
    </row>
    <row r="4" spans="1:8" x14ac:dyDescent="0.25">
      <c r="A4" s="1">
        <v>4938</v>
      </c>
      <c r="B4" s="1">
        <f>A4*B2</f>
        <v>64.194000000000003</v>
      </c>
      <c r="C4" s="1">
        <f>(A4+B4)*C2</f>
        <v>275.62088940000007</v>
      </c>
      <c r="D4" s="1">
        <f t="shared" ref="D4:D7" si="0">A4+C4</f>
        <v>5213.6208894000001</v>
      </c>
      <c r="E4" s="1">
        <f>F3/2</f>
        <v>35120830.407000005</v>
      </c>
      <c r="F4" s="1" t="s">
        <v>201</v>
      </c>
    </row>
    <row r="5" spans="1:8" x14ac:dyDescent="0.25">
      <c r="A5" s="1">
        <v>3080000</v>
      </c>
      <c r="B5" s="1">
        <v>0</v>
      </c>
      <c r="C5" s="1">
        <v>169708</v>
      </c>
      <c r="D5" s="1">
        <f t="shared" si="0"/>
        <v>3249708</v>
      </c>
      <c r="E5" s="1"/>
      <c r="F5" s="1"/>
    </row>
    <row r="6" spans="1:8" x14ac:dyDescent="0.25">
      <c r="A6" s="1">
        <v>143000</v>
      </c>
      <c r="B6" s="1">
        <v>0</v>
      </c>
      <c r="C6" s="1">
        <v>7879.3</v>
      </c>
      <c r="D6" s="1">
        <f t="shared" si="0"/>
        <v>150879.29999999999</v>
      </c>
      <c r="E6" s="1"/>
      <c r="F6" s="1"/>
    </row>
    <row r="7" spans="1:8" x14ac:dyDescent="0.25">
      <c r="A7" s="1">
        <v>229900</v>
      </c>
      <c r="B7" s="1">
        <v>0</v>
      </c>
      <c r="C7" s="1">
        <v>12667.490000000002</v>
      </c>
      <c r="D7" s="1">
        <f t="shared" si="0"/>
        <v>242567.49</v>
      </c>
      <c r="E7" s="1"/>
      <c r="F7" s="1"/>
    </row>
    <row r="8" spans="1:8" x14ac:dyDescent="0.25">
      <c r="A8" s="1"/>
      <c r="B8" s="1"/>
      <c r="C8" s="1"/>
      <c r="D8" s="1"/>
      <c r="E8" s="1"/>
      <c r="F8" s="1"/>
    </row>
    <row r="9" spans="1:8" x14ac:dyDescent="0.25">
      <c r="A9" s="1"/>
      <c r="B9" s="1"/>
      <c r="C9" s="1"/>
      <c r="D9" s="1"/>
      <c r="E9" s="1"/>
      <c r="F9" s="1"/>
    </row>
    <row r="12" spans="1:8" x14ac:dyDescent="0.25">
      <c r="A12">
        <v>17</v>
      </c>
      <c r="B12">
        <v>9</v>
      </c>
      <c r="C12">
        <v>40950</v>
      </c>
      <c r="D12">
        <f>C12*B12</f>
        <v>368550</v>
      </c>
    </row>
    <row r="13" spans="1:8" x14ac:dyDescent="0.25">
      <c r="A13">
        <v>42</v>
      </c>
      <c r="B13">
        <v>9</v>
      </c>
      <c r="C13">
        <v>59850</v>
      </c>
      <c r="D13">
        <f t="shared" ref="D13:D14" si="1">C13*B13</f>
        <v>538650</v>
      </c>
    </row>
    <row r="14" spans="1:8" x14ac:dyDescent="0.25">
      <c r="A14">
        <v>45</v>
      </c>
      <c r="B14">
        <v>9</v>
      </c>
      <c r="C14">
        <v>81900</v>
      </c>
      <c r="D14">
        <f t="shared" si="1"/>
        <v>737100</v>
      </c>
    </row>
    <row r="17" spans="1:9" s="1" customFormat="1" x14ac:dyDescent="0.25"/>
    <row r="18" spans="1:9" s="1" customFormat="1" x14ac:dyDescent="0.25">
      <c r="A18" s="1">
        <v>409500</v>
      </c>
      <c r="B18" s="1">
        <v>819000</v>
      </c>
      <c r="C18" s="1">
        <v>778050</v>
      </c>
      <c r="D18" s="1">
        <v>778050</v>
      </c>
      <c r="E18" s="1">
        <v>778050</v>
      </c>
      <c r="F18" s="1">
        <v>368550</v>
      </c>
      <c r="G18" s="86">
        <f>SUM(A18:F18)</f>
        <v>3931200</v>
      </c>
    </row>
    <row r="19" spans="1:9" s="1" customFormat="1" x14ac:dyDescent="0.25">
      <c r="A19" s="1">
        <v>598500</v>
      </c>
      <c r="B19" s="1">
        <v>1197000</v>
      </c>
      <c r="C19" s="1">
        <v>1137150</v>
      </c>
      <c r="D19" s="1">
        <v>1137150</v>
      </c>
      <c r="E19" s="1">
        <v>1137150</v>
      </c>
      <c r="F19" s="1">
        <v>538650</v>
      </c>
      <c r="G19" s="86">
        <f t="shared" ref="G19:G20" si="2">SUM(A19:F19)</f>
        <v>5745600</v>
      </c>
    </row>
    <row r="20" spans="1:9" s="1" customFormat="1" x14ac:dyDescent="0.25">
      <c r="A20" s="1">
        <v>819000</v>
      </c>
      <c r="B20" s="1">
        <v>1638000</v>
      </c>
      <c r="C20" s="1">
        <v>1556100</v>
      </c>
      <c r="D20" s="1">
        <v>1556100</v>
      </c>
      <c r="E20" s="1">
        <v>1556100</v>
      </c>
      <c r="F20" s="1">
        <v>737100</v>
      </c>
      <c r="G20" s="86">
        <f t="shared" si="2"/>
        <v>7862400</v>
      </c>
    </row>
    <row r="21" spans="1:9" s="1" customFormat="1" x14ac:dyDescent="0.25"/>
    <row r="22" spans="1:9" s="1" customFormat="1" x14ac:dyDescent="0.25"/>
    <row r="23" spans="1:9" s="1" customFormat="1" x14ac:dyDescent="0.25">
      <c r="A23" s="1">
        <v>211820</v>
      </c>
      <c r="B23" s="1">
        <v>488815</v>
      </c>
      <c r="C23" s="1">
        <v>488815</v>
      </c>
      <c r="D23" s="1">
        <v>488815</v>
      </c>
      <c r="E23" s="1">
        <v>488815</v>
      </c>
      <c r="F23" s="1">
        <v>195526</v>
      </c>
      <c r="G23" s="86">
        <f>SUM(A23:F23)</f>
        <v>2362606</v>
      </c>
    </row>
    <row r="24" spans="1:9" s="1" customFormat="1" x14ac:dyDescent="0.25">
      <c r="A24" s="1">
        <v>211820</v>
      </c>
      <c r="B24" s="1">
        <v>488815</v>
      </c>
      <c r="C24" s="1">
        <v>488815</v>
      </c>
      <c r="D24" s="1">
        <v>488815</v>
      </c>
      <c r="E24" s="1">
        <v>488815</v>
      </c>
      <c r="F24" s="1">
        <v>195526</v>
      </c>
      <c r="G24" s="86">
        <f t="shared" ref="G24:G25" si="3">SUM(A24:F24)</f>
        <v>2362606</v>
      </c>
    </row>
    <row r="25" spans="1:9" s="1" customFormat="1" x14ac:dyDescent="0.25">
      <c r="A25" s="1">
        <v>211820</v>
      </c>
      <c r="B25" s="1">
        <v>488815</v>
      </c>
      <c r="C25" s="1">
        <v>488815</v>
      </c>
      <c r="D25" s="1">
        <v>488815</v>
      </c>
      <c r="E25" s="1">
        <v>488815</v>
      </c>
      <c r="F25" s="1">
        <v>195526</v>
      </c>
      <c r="G25" s="86">
        <f t="shared" si="3"/>
        <v>2362606</v>
      </c>
    </row>
    <row r="26" spans="1:9" s="1" customFormat="1" x14ac:dyDescent="0.25"/>
    <row r="28" spans="1:9" x14ac:dyDescent="0.25">
      <c r="A28" s="1">
        <v>621320</v>
      </c>
      <c r="B28" s="1">
        <v>1307815</v>
      </c>
      <c r="C28" s="1">
        <v>1266865</v>
      </c>
      <c r="D28" s="1">
        <v>1266865</v>
      </c>
      <c r="E28" s="1">
        <v>1266865</v>
      </c>
      <c r="F28" s="1">
        <v>564076</v>
      </c>
      <c r="G28" s="86">
        <f>SUM(A28:F28)</f>
        <v>6293806</v>
      </c>
      <c r="H28" s="1">
        <v>17</v>
      </c>
      <c r="I28" s="1">
        <f>G28*H28</f>
        <v>106994702</v>
      </c>
    </row>
    <row r="29" spans="1:9" x14ac:dyDescent="0.25">
      <c r="A29" s="1">
        <v>810320</v>
      </c>
      <c r="B29" s="1">
        <v>1685815</v>
      </c>
      <c r="C29" s="1">
        <v>1625965</v>
      </c>
      <c r="D29" s="1">
        <v>1625965</v>
      </c>
      <c r="E29" s="1">
        <v>1625965</v>
      </c>
      <c r="F29" s="1">
        <v>734176</v>
      </c>
      <c r="G29" s="86">
        <f t="shared" ref="G29:G30" si="4">SUM(A29:F29)</f>
        <v>8108206</v>
      </c>
      <c r="H29" s="1">
        <v>42</v>
      </c>
      <c r="I29" s="1">
        <f t="shared" ref="I29:I30" si="5">G29*H29</f>
        <v>340544652</v>
      </c>
    </row>
    <row r="30" spans="1:9" x14ac:dyDescent="0.25">
      <c r="A30" s="1">
        <v>1030820</v>
      </c>
      <c r="B30" s="1">
        <v>2126815</v>
      </c>
      <c r="C30" s="1">
        <v>2044915</v>
      </c>
      <c r="D30" s="1">
        <v>2044915</v>
      </c>
      <c r="E30" s="1">
        <v>2044915</v>
      </c>
      <c r="F30" s="1">
        <v>932626</v>
      </c>
      <c r="G30" s="86">
        <f t="shared" si="4"/>
        <v>10225006</v>
      </c>
      <c r="H30" s="1">
        <v>45</v>
      </c>
      <c r="I30" s="1">
        <f t="shared" si="5"/>
        <v>460125270</v>
      </c>
    </row>
    <row r="31" spans="1:9" x14ac:dyDescent="0.25">
      <c r="I31" s="1">
        <f>SUM(I28:I30)</f>
        <v>907664624</v>
      </c>
    </row>
  </sheetData>
  <mergeCells count="4">
    <mergeCell ref="A1:A2"/>
    <mergeCell ref="F1:F2"/>
    <mergeCell ref="D1:D2"/>
    <mergeCell ref="E1:E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15</vt:i4>
      </vt:variant>
    </vt:vector>
  </HeadingPairs>
  <TitlesOfParts>
    <vt:vector size="15" baseType="lpstr">
      <vt:lpstr>Hoja3</vt:lpstr>
      <vt:lpstr>GENERAL 2DO CONTRATO</vt:lpstr>
      <vt:lpstr>PROCESADORAS 2DO CONTRATO</vt:lpstr>
      <vt:lpstr>sedes industrializadas 2 contra</vt:lpstr>
      <vt:lpstr>proyección general ADICION 2</vt:lpstr>
      <vt:lpstr>procesadoras ADICION 2</vt:lpstr>
      <vt:lpstr>calendario escolar</vt:lpstr>
      <vt:lpstr>proyección general Ad-1</vt:lpstr>
      <vt:lpstr>proyección Ad-1  procesadoras</vt:lpstr>
      <vt:lpstr>sedes industrializadas Ad-1</vt:lpstr>
      <vt:lpstr>proyección general Inicial</vt:lpstr>
      <vt:lpstr>proyección inicial procesadoras</vt:lpstr>
      <vt:lpstr>sedes industrializadas</vt:lpstr>
      <vt:lpstr>Hoja1</vt:lpstr>
      <vt:lpstr>Hoja2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SIMAT SONSON</dc:creator>
  <cp:lastModifiedBy>SIMAT SONSÓN</cp:lastModifiedBy>
  <dcterms:created xsi:type="dcterms:W3CDTF">2025-11-06T20:04:26Z</dcterms:created>
  <dcterms:modified xsi:type="dcterms:W3CDTF">2026-09-09T19:07:14Z</dcterms:modified>
</cp:coreProperties>
</file>