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ichelle\Desktop\CONSULTORIA ARCHIVO FASE II VERSION 24 DE SEPT\4. ANEXOS, FORMATOS Y MATRICES\CORREGIDOS SOLO DATOS\"/>
    </mc:Choice>
  </mc:AlternateContent>
  <xr:revisionPtr revIDLastSave="0" documentId="8_{BCDFDC75-AA5A-49CC-8F89-49E50D0249D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IO 1 DETALLADO" sheetId="1" r:id="rId1"/>
  </sheet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i1">#REF!</definedName>
    <definedName name="_________________IPC2002">#REF!</definedName>
    <definedName name="_________________MA2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PU221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PU221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PU22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PU221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PU221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PU221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PU221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PU221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PU221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PU221">#REF!</definedName>
    <definedName name="_APU3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T2">#REF!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INISTRACION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nscount" hidden="1">1</definedName>
    <definedName name="ao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nag">#REF!</definedName>
    <definedName name="armuve">[0]!err</definedName>
    <definedName name="ARP">#REF!</definedName>
    <definedName name="ARTURO">#REF!</definedName>
    <definedName name="as">#REF!</definedName>
    <definedName name="asasdasd">#N/A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SE">#REF!</definedName>
    <definedName name="base_VaR">#REF!</definedName>
    <definedName name="BASEDATOS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GO">#REF!</definedName>
    <definedName name="CARRETERA">#REF!</definedName>
    <definedName name="CARRO">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esped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OBANTE_DE_PAGO">#REF!</definedName>
    <definedName name="concreto">#REF!</definedName>
    <definedName name="conductor">#REF!</definedName>
    <definedName name="Consultor">#N/A</definedName>
    <definedName name="contra">#REF!</definedName>
    <definedName name="Contratante">#N/A</definedName>
    <definedName name="CONTRATO">#REF!</definedName>
    <definedName name="COPIA">[0]!err</definedName>
    <definedName name="copiao4">[0]!err</definedName>
    <definedName name="corri">[0]!err</definedName>
    <definedName name="COSTODIRECTO">#REF!</definedName>
    <definedName name="cp">#REF!</definedName>
    <definedName name="Criticos">#REF!</definedName>
    <definedName name="CTA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ego">#REF!</definedName>
    <definedName name="diego1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TRADASP">#REF!</definedName>
    <definedName name="EPS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ECIFICACION">#REF!</definedName>
    <definedName name="Especificación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_51">#REF!</definedName>
    <definedName name="Excel_BuiltIn_Print_Titles_11_51">#REF!</definedName>
    <definedName name="Excel_BuiltIn_Print_Titles_12_51">#REF!</definedName>
    <definedName name="Excel_BuiltIn_Print_Titles_13_51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_51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_51">#REF!</definedName>
    <definedName name="Extra_Pay">#REF!</definedName>
    <definedName name="fa">#REF!</definedName>
    <definedName name="FAC" hidden="1">#REF!</definedName>
    <definedName name="fb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TO">#REF!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RE">#REF!</definedName>
    <definedName name="INDI">#N/A</definedName>
    <definedName name="inf">#REF!</definedName>
    <definedName name="INFG">#REF!</definedName>
    <definedName name="Ing">#REF!</definedName>
    <definedName name="Insumos_basicos">#REF!</definedName>
    <definedName name="Interest_Rate">#REF!</definedName>
    <definedName name="INV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st_Row">#N/A</definedName>
    <definedName name="lia">#REF!</definedName>
    <definedName name="LICITACION">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LIZACION">#REF!</definedName>
    <definedName name="LOCALIZACION_Y_REPLANTEO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ucy" hidden="1">{"TAB1",#N/A,TRUE,"GENERAL";"TAB2",#N/A,TRUE,"GENERAL";"TAB3",#N/A,TRUE,"GENERAL";"TAB4",#N/A,TRUE,"GENERAL";"TAB5",#N/A,TRUE,"GENERAL"}</definedName>
    <definedName name="m">#REF!</definedName>
    <definedName name="maestro">#REF!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ia">#N/A</definedName>
    <definedName name="MARAVILLA" hidden="1">{"PRES REHAB ARM-PER POR ITEMS  KM A KM",#N/A,TRUE,"Rehabilitacion Arm-Per"}</definedName>
    <definedName name="martillo">#REF!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riz">#REF!,#REF!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TO">#REF!</definedName>
    <definedName name="MOTOBOMBA">#REF!</definedName>
    <definedName name="Motoniv">#REF!</definedName>
    <definedName name="motosierra">#REF!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MBR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RD">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s">#REF!</definedName>
    <definedName name="PREST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G" hidden="1">#REF!</definedName>
    <definedName name="programainv">[0]!err</definedName>
    <definedName name="Proponente">#REF!</definedName>
    <definedName name="PROPUESTA2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na">#REF!</definedName>
    <definedName name="rds">#REF!</definedName>
    <definedName name="RE">#N/A</definedName>
    <definedName name="recebo">#REF!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ul">#REF!</definedName>
    <definedName name="RESUMEN">#REF!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R">[0]!err</definedName>
    <definedName name="TERM">[0]!err</definedName>
    <definedName name="TÉRMINOS">[0]!err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v">#REF!</definedName>
    <definedName name="TIT">#REF!</definedName>
    <definedName name="TITU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olquetamk">#REF!</definedName>
    <definedName name="VOLQUETAS">#REF!</definedName>
    <definedName name="vr">Scheduled_Payment+Extra_Payment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" l="1"/>
  <c r="G11" i="1"/>
  <c r="G10" i="1"/>
  <c r="G32" i="1" s="1"/>
  <c r="G9" i="1"/>
  <c r="G8" i="1"/>
  <c r="G7" i="1"/>
  <c r="G33" i="1" l="1"/>
  <c r="G35" i="1" s="1"/>
  <c r="E18" i="1" l="1"/>
  <c r="G18" i="1" s="1"/>
  <c r="E17" i="1"/>
  <c r="G17" i="1" s="1"/>
  <c r="E16" i="1"/>
  <c r="G16" i="1" s="1"/>
  <c r="E15" i="1"/>
  <c r="G15" i="1" s="1"/>
  <c r="E14" i="1"/>
  <c r="G14" i="1" s="1"/>
  <c r="E22" i="1"/>
  <c r="G22" i="1" s="1"/>
  <c r="E13" i="1"/>
  <c r="G13" i="1" s="1"/>
  <c r="E21" i="1"/>
  <c r="G21" i="1" s="1"/>
  <c r="E12" i="1"/>
  <c r="G12" i="1" s="1"/>
  <c r="E20" i="1"/>
  <c r="G20" i="1" s="1"/>
  <c r="E19" i="1"/>
  <c r="G19" i="1" s="1"/>
  <c r="G23" i="1" l="1"/>
  <c r="G24" i="1" l="1"/>
  <c r="G25" i="1" s="1"/>
  <c r="G27" i="1" l="1"/>
  <c r="G26" i="1"/>
</calcChain>
</file>

<file path=xl/sharedStrings.xml><?xml version="1.0" encoding="utf-8"?>
<sst xmlns="http://schemas.openxmlformats.org/spreadsheetml/2006/main" count="72" uniqueCount="56">
  <si>
    <t>CODIGO:</t>
  </si>
  <si>
    <t>VERSION:</t>
  </si>
  <si>
    <t>FECHA DE APROBACION:</t>
  </si>
  <si>
    <t>«ACTUALIZACIÓN Y FORMULACIÓN DE LOS INSTRUMENTOS ARCHIVÍSTICOS DE LA FUNCIÓN ARCHIVÍSTICA DEL DISTRITO DE CARTAGENA DE INDIAS, CORRESPONDIENTES A LA FASE II DE ANÁLISIS DEL SISTEMA DE GESTIÓN DE DOCUMENTOS ELECTRÓNICOS DE ARCHIVO – SGDEAI»</t>
  </si>
  <si>
    <t>A</t>
  </si>
  <si>
    <t>COSTOS DIRECTOS</t>
  </si>
  <si>
    <t>ITEM</t>
  </si>
  <si>
    <t>PERFIL / ACTIVIDAD</t>
  </si>
  <si>
    <t>CANTIDAD</t>
  </si>
  <si>
    <t>DEDICACIÓN</t>
  </si>
  <si>
    <t>VALOR UNIT</t>
  </si>
  <si>
    <t>TIEMPO (MESES)</t>
  </si>
  <si>
    <t>SUBTOTAL</t>
  </si>
  <si>
    <t>1.1</t>
  </si>
  <si>
    <t>Gerente de Proyecto</t>
  </si>
  <si>
    <t>1.2</t>
  </si>
  <si>
    <t>Coordinador Archivístico (Líder Técnico)</t>
  </si>
  <si>
    <t>1.3</t>
  </si>
  <si>
    <t>Profesional de Apoyo 1</t>
  </si>
  <si>
    <t>1.4</t>
  </si>
  <si>
    <t>Apoyo Operativo</t>
  </si>
  <si>
    <t>1.5</t>
  </si>
  <si>
    <t>Técnico de apoyo</t>
  </si>
  <si>
    <t>2.1</t>
  </si>
  <si>
    <t>Documento Maestro del Programa de Gestión Documental - PGD</t>
  </si>
  <si>
    <t>N/A</t>
  </si>
  <si>
    <t>2.2</t>
  </si>
  <si>
    <t>Programa de Normalización de Formas y Formularios Electrónicos</t>
  </si>
  <si>
    <t>2.3</t>
  </si>
  <si>
    <t>Programa de Documentos Vitales o Esenciales</t>
  </si>
  <si>
    <t>2.4</t>
  </si>
  <si>
    <t>Programa de Gestión de Documentos Electrónicos</t>
  </si>
  <si>
    <t>2.5</t>
  </si>
  <si>
    <t>Programa de Archivos Descentralizados</t>
  </si>
  <si>
    <t>2.6</t>
  </si>
  <si>
    <t>Programa de Reprografía</t>
  </si>
  <si>
    <t>2.7</t>
  </si>
  <si>
    <t>Programa de Documentos Especiales</t>
  </si>
  <si>
    <t>2.8</t>
  </si>
  <si>
    <t>Programa de Plan Institucional de Capacitación en Gestión Documental</t>
  </si>
  <si>
    <t>2.9</t>
  </si>
  <si>
    <t>Programa de Auditoría y Control</t>
  </si>
  <si>
    <t>3.1</t>
  </si>
  <si>
    <t>Herramienta de Seguimiento del Programa de Gestión Documental - PGD</t>
  </si>
  <si>
    <t>3.2</t>
  </si>
  <si>
    <t>Política Institucional de Gestión Documental</t>
  </si>
  <si>
    <t>B</t>
  </si>
  <si>
    <t>SUBTOTAL COSTOS DIRECTOS E INDIRECTOS</t>
  </si>
  <si>
    <t>4.0</t>
  </si>
  <si>
    <t>Administración, Imprevistos y Utilidad (A.I.U) Costos de administración del proyecto, margen para imprevistos y utilidad del consultor. Calculado sobre el resto del presupuesto.</t>
  </si>
  <si>
    <t>C</t>
  </si>
  <si>
    <t>TOTAL COSTOS CONSULTORIA</t>
  </si>
  <si>
    <t>D</t>
  </si>
  <si>
    <t>IVA (19%)</t>
  </si>
  <si>
    <t>VALOR TOTAL CONSULTORIA (C+D)</t>
  </si>
  <si>
    <t>Nota: El tiempo expresado en meses para el equipo de trabajo corresponde exclusivamente al parámetro utilizado para la estimación del presupuesto oficial y no modifica el plazo de ejecución contractual, el cual se extenderá hasta el treinta y uno (31) de diciembre de 2026, contado a partir de la suscripción del acta de inicio y previo cumplimiento de los requisitos de ejecución.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</si>
</sst>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(&quot;$&quot;\ * #,##0.00_);_(&quot;$&quot;\ * \(#,##0.00\);_(&quot;$&quot;\ * &quot;-&quot;??_);_(@_)"/>
    <numFmt numFmtId="167" formatCode="0.000000"/>
    <numFmt numFmtId="168" formatCode="_(&quot;$&quot;* #,##0.00_);_(&quot;$&quot;* \(#,##0.00\);_(&quot;$&quot;* &quot;-&quot;??_);_(@_)"/>
  </numFmts>
  <fonts count="16">
    <font>
      <sz val="12"/>
      <color theme="1"/>
      <name val="Aptos Narrow"/>
    </font>
    <font>
      <sz val="11"/>
      <color theme="1"/>
      <name val="Aptos Narrow"/>
    </font>
    <font>
      <sz val="10"/>
      <name val="MS Sans Serif"/>
    </font>
    <font>
      <sz val="11"/>
      <color theme="1"/>
      <name val="Aptos Narrow"/>
    </font>
    <font>
      <sz val="11"/>
      <color theme="1"/>
      <name val="Arial Narrow"/>
    </font>
    <font>
      <b/>
      <sz val="12"/>
      <name val="Aptos Narrow"/>
    </font>
    <font>
      <b/>
      <sz val="11"/>
      <color theme="1"/>
      <name val="Aptos Narrow"/>
    </font>
    <font>
      <sz val="10"/>
      <color theme="1"/>
      <name val="Arial"/>
    </font>
    <font>
      <sz val="12"/>
      <color theme="1"/>
      <name val="Aptos Narrow"/>
    </font>
    <font>
      <b/>
      <sz val="10"/>
      <color theme="1"/>
      <name val="Arial"/>
    </font>
    <font>
      <b/>
      <sz val="10"/>
      <name val="Arial"/>
    </font>
    <font>
      <sz val="10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rgb="FF0000FF"/>
      <name val="Arial"/>
    </font>
    <font>
      <i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5"/>
      </patternFill>
    </fill>
    <fill>
      <patternFill patternType="solid">
        <fgColor rgb="FFFBFFA3"/>
      </patternFill>
    </fill>
    <fill>
      <patternFill patternType="solid">
        <fgColor theme="2" tint="-9.9978637043366805E-2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42" fontId="4" fillId="0" borderId="0"/>
    <xf numFmtId="0" fontId="2" fillId="0" borderId="0"/>
    <xf numFmtId="0" fontId="3" fillId="0" borderId="0"/>
    <xf numFmtId="166" fontId="3" fillId="0" borderId="0"/>
    <xf numFmtId="9" fontId="3" fillId="0" borderId="0"/>
    <xf numFmtId="0" fontId="3" fillId="0" borderId="0"/>
    <xf numFmtId="0" fontId="3" fillId="0" borderId="0"/>
    <xf numFmtId="0" fontId="3" fillId="0" borderId="0"/>
    <xf numFmtId="9" fontId="3" fillId="0" borderId="0"/>
    <xf numFmtId="44" fontId="8" fillId="0" borderId="0"/>
    <xf numFmtId="0" fontId="8" fillId="0" borderId="0"/>
  </cellStyleXfs>
  <cellXfs count="48">
    <xf numFmtId="0" fontId="0" fillId="0" borderId="0" xfId="0"/>
    <xf numFmtId="0" fontId="3" fillId="0" borderId="0" xfId="3" applyAlignment="1">
      <alignment vertical="center"/>
    </xf>
    <xf numFmtId="42" fontId="3" fillId="0" borderId="0" xfId="3" applyNumberFormat="1" applyAlignment="1">
      <alignment vertical="center"/>
    </xf>
    <xf numFmtId="0" fontId="3" fillId="0" borderId="0" xfId="3" applyAlignment="1">
      <alignment horizontal="center" vertical="center"/>
    </xf>
    <xf numFmtId="0" fontId="6" fillId="0" borderId="3" xfId="3" applyFont="1" applyBorder="1" applyAlignment="1">
      <alignment vertical="center"/>
    </xf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vertical="center" wrapText="1"/>
    </xf>
    <xf numFmtId="0" fontId="10" fillId="3" borderId="5" xfId="2" applyFont="1" applyFill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164" fontId="10" fillId="0" borderId="3" xfId="4" applyNumberFormat="1" applyFont="1" applyBorder="1" applyAlignment="1">
      <alignment horizontal="right" vertical="center"/>
    </xf>
    <xf numFmtId="165" fontId="10" fillId="4" borderId="3" xfId="4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44" fontId="0" fillId="0" borderId="3" xfId="1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/>
    </xf>
    <xf numFmtId="44" fontId="0" fillId="0" borderId="3" xfId="10" applyFont="1" applyBorder="1" applyAlignment="1">
      <alignment horizontal="right" vertical="center" wrapText="1"/>
    </xf>
    <xf numFmtId="44" fontId="10" fillId="3" borderId="5" xfId="10" applyFont="1" applyFill="1" applyBorder="1" applyAlignment="1">
      <alignment horizontal="right" vertical="center"/>
    </xf>
    <xf numFmtId="2" fontId="7" fillId="0" borderId="3" xfId="0" applyNumberFormat="1" applyFont="1" applyBorder="1" applyAlignment="1">
      <alignment horizontal="center" vertical="center" wrapText="1"/>
    </xf>
    <xf numFmtId="44" fontId="0" fillId="0" borderId="3" xfId="10" applyFont="1" applyBorder="1" applyAlignment="1">
      <alignment vertical="center"/>
    </xf>
    <xf numFmtId="42" fontId="1" fillId="0" borderId="0" xfId="1" applyFont="1" applyAlignment="1">
      <alignment vertical="center"/>
    </xf>
    <xf numFmtId="44" fontId="3" fillId="0" borderId="0" xfId="3" applyNumberFormat="1" applyAlignment="1">
      <alignment vertical="center"/>
    </xf>
    <xf numFmtId="164" fontId="14" fillId="0" borderId="0" xfId="3" applyNumberFormat="1" applyFont="1" applyAlignment="1">
      <alignment horizontal="right" vertical="center"/>
    </xf>
    <xf numFmtId="0" fontId="12" fillId="0" borderId="0" xfId="3" applyFont="1" applyAlignment="1">
      <alignment vertical="center"/>
    </xf>
    <xf numFmtId="167" fontId="12" fillId="0" borderId="0" xfId="3" applyNumberFormat="1" applyFont="1" applyAlignment="1">
      <alignment horizontal="right" vertical="center"/>
    </xf>
    <xf numFmtId="164" fontId="12" fillId="0" borderId="0" xfId="3" applyNumberFormat="1" applyFont="1" applyAlignment="1">
      <alignment horizontal="right" vertical="center"/>
    </xf>
    <xf numFmtId="168" fontId="8" fillId="0" borderId="3" xfId="10" applyNumberFormat="1" applyFont="1" applyBorder="1" applyAlignment="1">
      <alignment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3" xfId="3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3" applyAlignment="1">
      <alignment vertical="center"/>
    </xf>
    <xf numFmtId="0" fontId="0" fillId="0" borderId="12" xfId="0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10" fillId="3" borderId="5" xfId="2" applyFont="1" applyFill="1" applyBorder="1" applyAlignment="1">
      <alignment horizontal="left" vertical="center"/>
    </xf>
    <xf numFmtId="0" fontId="10" fillId="4" borderId="3" xfId="2" applyFont="1" applyFill="1" applyBorder="1" applyAlignment="1">
      <alignment horizontal="right" vertical="center"/>
    </xf>
    <xf numFmtId="0" fontId="0" fillId="0" borderId="4" xfId="0" applyBorder="1"/>
    <xf numFmtId="0" fontId="3" fillId="0" borderId="0" xfId="3" applyAlignment="1">
      <alignment horizontal="center" vertical="center"/>
    </xf>
    <xf numFmtId="0" fontId="13" fillId="3" borderId="0" xfId="3" applyFont="1" applyFill="1" applyAlignment="1">
      <alignment vertical="center"/>
    </xf>
    <xf numFmtId="0" fontId="12" fillId="0" borderId="0" xfId="3" applyFont="1" applyAlignment="1">
      <alignment vertical="center"/>
    </xf>
    <xf numFmtId="9" fontId="10" fillId="0" borderId="3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right" vertical="center"/>
    </xf>
    <xf numFmtId="0" fontId="10" fillId="3" borderId="2" xfId="2" applyFont="1" applyFill="1" applyBorder="1" applyAlignment="1">
      <alignment horizontal="left" vertical="center" wrapText="1"/>
    </xf>
    <xf numFmtId="0" fontId="15" fillId="0" borderId="0" xfId="0" applyNumberFormat="1" applyFont="1" applyFill="1" applyBorder="1" applyAlignment="1">
      <alignment horizontal="left" vertical="center" wrapText="1"/>
    </xf>
  </cellXfs>
  <cellStyles count="12">
    <cellStyle name="Estilo 1" xfId="11" xr:uid="{00000000-0005-0000-0000-000000000000}"/>
    <cellStyle name="Moneda" xfId="10" xr:uid="{00000000-0005-0000-0000-000001000000}"/>
    <cellStyle name="Moneda [0]" xfId="1" xr:uid="{00000000-0005-0000-0000-000002000000}"/>
    <cellStyle name="Moneda 4" xfId="4" xr:uid="{00000000-0005-0000-0000-000003000000}"/>
    <cellStyle name="Normal" xfId="0" builtinId="0"/>
    <cellStyle name="Normal 3" xfId="3" xr:uid="{00000000-0005-0000-0000-000005000000}"/>
    <cellStyle name="Normal 3 11 4" xfId="7" xr:uid="{00000000-0005-0000-0000-000006000000}"/>
    <cellStyle name="Normal 3 2" xfId="8" xr:uid="{00000000-0005-0000-0000-000007000000}"/>
    <cellStyle name="Normal 3 3" xfId="6" xr:uid="{00000000-0005-0000-0000-000008000000}"/>
    <cellStyle name="Normal_CALCULO DEL AIU" xfId="2" xr:uid="{00000000-0005-0000-0000-000009000000}"/>
    <cellStyle name="Porcentaje 2" xfId="5" xr:uid="{00000000-0005-0000-0000-00000A000000}"/>
    <cellStyle name="Porcentaje 2 2" xfId="9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169333</xdr:colOff>
      <xdr:row>0</xdr:row>
      <xdr:rowOff>101600</xdr:rowOff>
    </xdr:from>
    <xdr:to>
      <xdr:col>1</xdr:col>
      <xdr:colOff>1947334</xdr:colOff>
      <xdr:row>2</xdr:row>
      <xdr:rowOff>626533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workbookViewId="0">
      <selection sqref="A1:F3"/>
    </sheetView>
  </sheetViews>
  <sheetFormatPr baseColWidth="10" defaultColWidth="9.61328125" defaultRowHeight="14"/>
  <cols>
    <col min="1" max="1" width="4.84375" style="3" customWidth="1"/>
    <col min="2" max="2" width="41.4609375" style="1" customWidth="1"/>
    <col min="3" max="3" width="9.3828125" style="1" customWidth="1"/>
    <col min="4" max="4" width="14.84375" style="1" customWidth="1"/>
    <col min="5" max="5" width="18.61328125" style="1" customWidth="1"/>
    <col min="6" max="6" width="16.84375" style="1" customWidth="1"/>
    <col min="7" max="7" width="23.84375" style="1" customWidth="1"/>
    <col min="8" max="8" width="35" style="1" customWidth="1"/>
    <col min="9" max="9" width="13.4609375" style="1" customWidth="1"/>
    <col min="10" max="10" width="14" style="1" customWidth="1"/>
    <col min="11" max="11" width="9.61328125" style="1" customWidth="1"/>
    <col min="12" max="16384" width="9.61328125" style="1"/>
  </cols>
  <sheetData>
    <row r="1" spans="1:8">
      <c r="A1" s="29"/>
      <c r="B1" s="30"/>
      <c r="C1" s="30"/>
      <c r="D1" s="30"/>
      <c r="E1" s="30"/>
      <c r="F1" s="31"/>
      <c r="G1" s="4" t="s">
        <v>0</v>
      </c>
    </row>
    <row r="2" spans="1:8">
      <c r="A2" s="32"/>
      <c r="B2" s="33"/>
      <c r="C2" s="33"/>
      <c r="D2" s="33"/>
      <c r="E2" s="33"/>
      <c r="F2" s="34"/>
      <c r="G2" s="4" t="s">
        <v>1</v>
      </c>
    </row>
    <row r="3" spans="1:8" ht="36.65" customHeight="1">
      <c r="A3" s="35"/>
      <c r="B3" s="36"/>
      <c r="C3" s="36"/>
      <c r="D3" s="36"/>
      <c r="E3" s="36"/>
      <c r="F3" s="37"/>
      <c r="G3" s="4" t="s">
        <v>2</v>
      </c>
    </row>
    <row r="4" spans="1:8" ht="38.65" customHeight="1">
      <c r="A4" s="27" t="s">
        <v>3</v>
      </c>
      <c r="B4" s="28"/>
      <c r="C4" s="28"/>
      <c r="D4" s="28"/>
      <c r="E4" s="28"/>
      <c r="F4" s="28"/>
      <c r="G4" s="28"/>
    </row>
    <row r="5" spans="1:8" ht="12.5" customHeight="1">
      <c r="A5" s="14" t="s">
        <v>4</v>
      </c>
      <c r="B5" s="46" t="s">
        <v>5</v>
      </c>
      <c r="C5" s="28"/>
      <c r="D5" s="28"/>
      <c r="E5" s="28"/>
      <c r="F5" s="28"/>
      <c r="G5" s="28"/>
    </row>
    <row r="6" spans="1:8">
      <c r="A6" s="13" t="s">
        <v>6</v>
      </c>
      <c r="B6" s="13" t="s">
        <v>7</v>
      </c>
      <c r="C6" s="13" t="s">
        <v>8</v>
      </c>
      <c r="D6" s="13" t="s">
        <v>9</v>
      </c>
      <c r="E6" s="13" t="s">
        <v>10</v>
      </c>
      <c r="F6" s="13" t="s">
        <v>11</v>
      </c>
      <c r="G6" s="13" t="s">
        <v>12</v>
      </c>
    </row>
    <row r="7" spans="1:8" ht="10.5" customHeight="1">
      <c r="A7" s="6" t="s">
        <v>13</v>
      </c>
      <c r="B7" s="6" t="s">
        <v>14</v>
      </c>
      <c r="C7" s="18">
        <v>1</v>
      </c>
      <c r="D7" s="11">
        <v>0.5</v>
      </c>
      <c r="E7" s="26">
        <v>12000000</v>
      </c>
      <c r="F7" s="11">
        <v>3</v>
      </c>
      <c r="G7" s="16">
        <f>C7*D7*E7*F7</f>
        <v>18000000</v>
      </c>
    </row>
    <row r="8" spans="1:8" ht="25.5" customHeight="1">
      <c r="A8" s="6" t="s">
        <v>15</v>
      </c>
      <c r="B8" s="6" t="s">
        <v>16</v>
      </c>
      <c r="C8" s="11">
        <v>1</v>
      </c>
      <c r="D8" s="11">
        <v>1</v>
      </c>
      <c r="E8" s="26">
        <v>9000000</v>
      </c>
      <c r="F8" s="11">
        <v>3</v>
      </c>
      <c r="G8" s="16">
        <f>C8*D8*E8*F8</f>
        <v>27000000</v>
      </c>
    </row>
    <row r="9" spans="1:8" ht="20" customHeight="1">
      <c r="A9" s="6" t="s">
        <v>17</v>
      </c>
      <c r="B9" s="6" t="s">
        <v>18</v>
      </c>
      <c r="C9" s="11">
        <v>1</v>
      </c>
      <c r="D9" s="11">
        <v>1</v>
      </c>
      <c r="E9" s="26">
        <v>6500000</v>
      </c>
      <c r="F9" s="11">
        <v>3</v>
      </c>
      <c r="G9" s="16">
        <f>C9*D9*E9*F9</f>
        <v>19500000</v>
      </c>
    </row>
    <row r="10" spans="1:8" ht="20" customHeight="1">
      <c r="A10" s="6" t="s">
        <v>19</v>
      </c>
      <c r="B10" s="6" t="s">
        <v>20</v>
      </c>
      <c r="C10" s="11">
        <v>1</v>
      </c>
      <c r="D10" s="11">
        <v>1</v>
      </c>
      <c r="E10" s="26">
        <v>3500000</v>
      </c>
      <c r="F10" s="11">
        <v>3</v>
      </c>
      <c r="G10" s="16">
        <f>C10*D10*E10*F10</f>
        <v>10500000</v>
      </c>
    </row>
    <row r="11" spans="1:8" ht="20" customHeight="1">
      <c r="A11" s="6" t="s">
        <v>21</v>
      </c>
      <c r="B11" s="6" t="s">
        <v>22</v>
      </c>
      <c r="C11" s="11">
        <v>1</v>
      </c>
      <c r="D11" s="11">
        <v>1</v>
      </c>
      <c r="E11" s="26">
        <v>3000000</v>
      </c>
      <c r="F11" s="11">
        <v>3</v>
      </c>
      <c r="G11" s="16">
        <f>C11*D11*E11*F11</f>
        <v>9000000</v>
      </c>
    </row>
    <row r="12" spans="1:8" ht="22" customHeight="1">
      <c r="A12" s="6" t="s">
        <v>23</v>
      </c>
      <c r="B12" s="6" t="s">
        <v>24</v>
      </c>
      <c r="C12" s="11">
        <v>1</v>
      </c>
      <c r="D12" s="11" t="s">
        <v>25</v>
      </c>
      <c r="E12" s="12">
        <f>18000000*$G$35</f>
        <v>18842026.825211618</v>
      </c>
      <c r="F12" s="11">
        <v>1</v>
      </c>
      <c r="G12" s="16">
        <f t="shared" ref="G12:G22" si="0">C12*E12*F12</f>
        <v>18842026.825211618</v>
      </c>
    </row>
    <row r="13" spans="1:8" ht="15" customHeight="1">
      <c r="A13" s="6" t="s">
        <v>26</v>
      </c>
      <c r="B13" s="6" t="s">
        <v>27</v>
      </c>
      <c r="C13" s="11">
        <v>1</v>
      </c>
      <c r="D13" s="11" t="s">
        <v>25</v>
      </c>
      <c r="E13" s="12">
        <f>10000000*$G$35</f>
        <v>10467792.680673121</v>
      </c>
      <c r="F13" s="11">
        <v>1</v>
      </c>
      <c r="G13" s="16">
        <f t="shared" si="0"/>
        <v>10467792.680673121</v>
      </c>
      <c r="H13" s="1">
        <v>1</v>
      </c>
    </row>
    <row r="14" spans="1:8" ht="10.5" customHeight="1">
      <c r="A14" s="6" t="s">
        <v>28</v>
      </c>
      <c r="B14" s="6" t="s">
        <v>29</v>
      </c>
      <c r="C14" s="11">
        <v>1</v>
      </c>
      <c r="D14" s="11" t="s">
        <v>25</v>
      </c>
      <c r="E14" s="12">
        <f>9000000*$G$35</f>
        <v>9421013.412605809</v>
      </c>
      <c r="F14" s="11">
        <v>1</v>
      </c>
      <c r="G14" s="16">
        <f t="shared" si="0"/>
        <v>9421013.412605809</v>
      </c>
    </row>
    <row r="15" spans="1:8" ht="10.5" customHeight="1">
      <c r="A15" s="6" t="s">
        <v>30</v>
      </c>
      <c r="B15" s="6" t="s">
        <v>31</v>
      </c>
      <c r="C15" s="11">
        <v>1</v>
      </c>
      <c r="D15" s="11" t="s">
        <v>25</v>
      </c>
      <c r="E15" s="12">
        <f>14000000*$G$35</f>
        <v>14654909.752942368</v>
      </c>
      <c r="F15" s="11">
        <v>1</v>
      </c>
      <c r="G15" s="16">
        <f t="shared" si="0"/>
        <v>14654909.752942368</v>
      </c>
    </row>
    <row r="16" spans="1:8" ht="10.5" customHeight="1">
      <c r="A16" s="6" t="s">
        <v>32</v>
      </c>
      <c r="B16" s="6" t="s">
        <v>33</v>
      </c>
      <c r="C16" s="11">
        <v>1</v>
      </c>
      <c r="D16" s="11" t="s">
        <v>25</v>
      </c>
      <c r="E16" s="12">
        <f>10000000*$G$35</f>
        <v>10467792.680673121</v>
      </c>
      <c r="F16" s="11">
        <v>1</v>
      </c>
      <c r="G16" s="16">
        <f t="shared" si="0"/>
        <v>10467792.680673121</v>
      </c>
    </row>
    <row r="17" spans="1:10" ht="10.5" customHeight="1">
      <c r="A17" s="6" t="s">
        <v>34</v>
      </c>
      <c r="B17" s="6" t="s">
        <v>35</v>
      </c>
      <c r="C17" s="11">
        <v>1</v>
      </c>
      <c r="D17" s="11" t="s">
        <v>25</v>
      </c>
      <c r="E17" s="12">
        <f>8500000*$G$35</f>
        <v>8897623.7785721514</v>
      </c>
      <c r="F17" s="11">
        <v>1</v>
      </c>
      <c r="G17" s="16">
        <f t="shared" si="0"/>
        <v>8897623.7785721514</v>
      </c>
    </row>
    <row r="18" spans="1:10" ht="10.5" customHeight="1">
      <c r="A18" s="6" t="s">
        <v>36</v>
      </c>
      <c r="B18" s="6" t="s">
        <v>37</v>
      </c>
      <c r="C18" s="11">
        <v>1</v>
      </c>
      <c r="D18" s="11" t="s">
        <v>25</v>
      </c>
      <c r="E18" s="12">
        <f>9500000*$G$35</f>
        <v>9944403.0466394648</v>
      </c>
      <c r="F18" s="11">
        <v>1</v>
      </c>
      <c r="G18" s="16">
        <f t="shared" si="0"/>
        <v>9944403.0466394648</v>
      </c>
    </row>
    <row r="19" spans="1:10" ht="16.5" customHeight="1">
      <c r="A19" s="6" t="s">
        <v>38</v>
      </c>
      <c r="B19" s="6" t="s">
        <v>39</v>
      </c>
      <c r="C19" s="11">
        <v>1</v>
      </c>
      <c r="D19" s="11" t="s">
        <v>25</v>
      </c>
      <c r="E19" s="12">
        <f>11000000*$G$35</f>
        <v>11514571.948740432</v>
      </c>
      <c r="F19" s="11">
        <v>1</v>
      </c>
      <c r="G19" s="16">
        <f t="shared" si="0"/>
        <v>11514571.948740432</v>
      </c>
    </row>
    <row r="20" spans="1:10" ht="10.5" customHeight="1">
      <c r="A20" s="6" t="s">
        <v>40</v>
      </c>
      <c r="B20" s="6" t="s">
        <v>41</v>
      </c>
      <c r="C20" s="11">
        <v>1</v>
      </c>
      <c r="D20" s="11" t="s">
        <v>25</v>
      </c>
      <c r="E20" s="12">
        <f>12000000*$G$35</f>
        <v>12561351.216807744</v>
      </c>
      <c r="F20" s="11">
        <v>1</v>
      </c>
      <c r="G20" s="16">
        <f t="shared" si="0"/>
        <v>12561351.216807744</v>
      </c>
    </row>
    <row r="21" spans="1:10" ht="25">
      <c r="A21" s="6" t="s">
        <v>42</v>
      </c>
      <c r="B21" s="6" t="s">
        <v>43</v>
      </c>
      <c r="C21" s="11">
        <v>1</v>
      </c>
      <c r="D21" s="11" t="s">
        <v>25</v>
      </c>
      <c r="E21" s="12">
        <f>13100000*$G$35</f>
        <v>13712808.411681788</v>
      </c>
      <c r="F21" s="11">
        <v>1</v>
      </c>
      <c r="G21" s="16">
        <f t="shared" si="0"/>
        <v>13712808.411681788</v>
      </c>
    </row>
    <row r="22" spans="1:10" ht="34.5" customHeight="1">
      <c r="A22" s="6" t="s">
        <v>44</v>
      </c>
      <c r="B22" s="6" t="s">
        <v>45</v>
      </c>
      <c r="C22" s="11">
        <v>1</v>
      </c>
      <c r="D22" s="11" t="s">
        <v>25</v>
      </c>
      <c r="E22" s="12">
        <f>14000000*$G$35</f>
        <v>14654909.752942368</v>
      </c>
      <c r="F22" s="11">
        <v>1</v>
      </c>
      <c r="G22" s="16">
        <f t="shared" si="0"/>
        <v>14654909.752942368</v>
      </c>
    </row>
    <row r="23" spans="1:10" ht="15.5">
      <c r="A23" s="7" t="s">
        <v>46</v>
      </c>
      <c r="B23" s="38" t="s">
        <v>47</v>
      </c>
      <c r="C23" s="36"/>
      <c r="D23" s="36"/>
      <c r="E23" s="36"/>
      <c r="F23" s="37"/>
      <c r="G23" s="17">
        <f>SUM(G7:G22)</f>
        <v>219139203.50748998</v>
      </c>
    </row>
    <row r="24" spans="1:10" ht="51">
      <c r="A24" s="15" t="s">
        <v>48</v>
      </c>
      <c r="B24" s="5" t="s">
        <v>49</v>
      </c>
      <c r="C24" s="44">
        <v>0.15</v>
      </c>
      <c r="D24" s="28"/>
      <c r="E24" s="28"/>
      <c r="F24" s="40"/>
      <c r="G24" s="19">
        <f>C24*G23</f>
        <v>32870880.526123494</v>
      </c>
    </row>
    <row r="25" spans="1:10" ht="15.5">
      <c r="A25" s="8" t="s">
        <v>50</v>
      </c>
      <c r="B25" s="45" t="s">
        <v>51</v>
      </c>
      <c r="C25" s="28"/>
      <c r="D25" s="28"/>
      <c r="E25" s="28"/>
      <c r="F25" s="40"/>
      <c r="G25" s="9">
        <f>G23+G24</f>
        <v>252010084.03361347</v>
      </c>
      <c r="I25" s="20"/>
      <c r="J25" s="2"/>
    </row>
    <row r="26" spans="1:10" ht="15.5">
      <c r="A26" s="8" t="s">
        <v>52</v>
      </c>
      <c r="B26" s="45" t="s">
        <v>53</v>
      </c>
      <c r="C26" s="28"/>
      <c r="D26" s="28"/>
      <c r="E26" s="28"/>
      <c r="F26" s="40"/>
      <c r="G26" s="9">
        <f>(G25)*19%</f>
        <v>47881915.966386564</v>
      </c>
      <c r="J26" s="2"/>
    </row>
    <row r="27" spans="1:10" ht="15.5">
      <c r="A27" s="39" t="s">
        <v>54</v>
      </c>
      <c r="B27" s="28"/>
      <c r="C27" s="28"/>
      <c r="D27" s="28"/>
      <c r="E27" s="28"/>
      <c r="F27" s="40"/>
      <c r="G27" s="10">
        <f>+G25+G26</f>
        <v>299892000.00000006</v>
      </c>
    </row>
    <row r="28" spans="1:10" ht="28" customHeight="1">
      <c r="A28" s="47" t="s">
        <v>55</v>
      </c>
      <c r="B28" s="47" t="s">
        <v>55</v>
      </c>
      <c r="C28" s="47" t="s">
        <v>55</v>
      </c>
      <c r="D28" s="47" t="s">
        <v>55</v>
      </c>
      <c r="E28" s="47" t="s">
        <v>55</v>
      </c>
      <c r="F28" s="47" t="s">
        <v>55</v>
      </c>
      <c r="G28" s="47" t="s">
        <v>55</v>
      </c>
    </row>
    <row r="29" spans="1:10">
      <c r="A29" s="41"/>
      <c r="B29" s="42"/>
      <c r="C29" s="33"/>
    </row>
    <row r="30" spans="1:10">
      <c r="A30" s="41"/>
      <c r="B30" s="43"/>
      <c r="C30" s="33"/>
      <c r="D30" s="21"/>
      <c r="G30" s="22">
        <v>299892000</v>
      </c>
    </row>
    <row r="31" spans="1:10">
      <c r="A31" s="41"/>
      <c r="B31" s="43"/>
      <c r="C31" s="33"/>
      <c r="G31" s="22">
        <f>G30/((1+C24)*(1+0.19))</f>
        <v>219139203.50748998</v>
      </c>
    </row>
    <row r="32" spans="1:10">
      <c r="A32" s="41"/>
      <c r="B32" s="43"/>
      <c r="C32" s="33"/>
      <c r="G32" s="25">
        <f>SUM(G7:G11)</f>
        <v>84000000</v>
      </c>
    </row>
    <row r="33" spans="1:7">
      <c r="A33" s="41"/>
      <c r="B33" s="43"/>
      <c r="C33" s="33"/>
      <c r="G33" s="25">
        <f>G31-G32</f>
        <v>135139203.50748998</v>
      </c>
    </row>
    <row r="34" spans="1:7">
      <c r="A34" s="41"/>
      <c r="B34" s="43"/>
      <c r="C34" s="33"/>
      <c r="G34" s="22">
        <v>129100000</v>
      </c>
    </row>
    <row r="35" spans="1:7">
      <c r="B35" s="23"/>
      <c r="G35" s="24">
        <f>G33/G34</f>
        <v>1.046779268067312</v>
      </c>
    </row>
  </sheetData>
  <mergeCells count="10">
    <mergeCell ref="A4:G4"/>
    <mergeCell ref="A1:F3"/>
    <mergeCell ref="B23:F23"/>
    <mergeCell ref="A27:F27"/>
    <mergeCell ref="A29:C34"/>
    <mergeCell ref="C24:F24"/>
    <mergeCell ref="B25:F25"/>
    <mergeCell ref="B5:G5"/>
    <mergeCell ref="B26:F26"/>
    <mergeCell ref="A28:G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 DETALLADO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Andrea Delgado Muñoz</dc:creator>
  <cp:lastModifiedBy>Michelle Andrea Delgado Muñoz</cp:lastModifiedBy>
  <dcterms:modified xsi:type="dcterms:W3CDTF">2026-09-25T18:52:59Z</dcterms:modified>
</cp:coreProperties>
</file>