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2. DOCUMENTOS EMAVI\EMAVI 2026\2. MINIMAS EMAVI 2026\12. MANTENIMIENTO GRADERIAS pendiente ajustes 26 agosto\2. CORRECIONES PRIMERA REVISION\ECONOMICO\"/>
    </mc:Choice>
  </mc:AlternateContent>
  <bookViews>
    <workbookView xWindow="0" yWindow="0" windowWidth="23040" windowHeight="7632"/>
  </bookViews>
  <sheets>
    <sheet name="Estudio de Mercado" sheetId="3" r:id="rId1"/>
  </sheets>
  <definedNames>
    <definedName name="_xlnm._FilterDatabase" localSheetId="0" hidden="1">'Estudio de Mercado'!$B$1:$S$4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7" i="3" l="1"/>
  <c r="R25" i="3"/>
  <c r="R19" i="3"/>
  <c r="R18" i="3"/>
  <c r="R30" i="3" l="1"/>
  <c r="Q5" i="3"/>
  <c r="P5" i="3"/>
  <c r="R5" i="3" s="1"/>
  <c r="Q6" i="3" l="1"/>
  <c r="Q7" i="3"/>
  <c r="Q8" i="3"/>
  <c r="Q9" i="3"/>
  <c r="Q10" i="3"/>
  <c r="Q11" i="3"/>
  <c r="Q12" i="3"/>
  <c r="Q13" i="3"/>
  <c r="Q14" i="3"/>
  <c r="Q15" i="3"/>
  <c r="Q16" i="3"/>
  <c r="Q17" i="3"/>
  <c r="Q19" i="3"/>
  <c r="Q20" i="3"/>
  <c r="Q21" i="3"/>
  <c r="Q22" i="3"/>
  <c r="Q23" i="3"/>
  <c r="Q24" i="3"/>
  <c r="P6" i="3"/>
  <c r="P7" i="3"/>
  <c r="P8" i="3"/>
  <c r="P9" i="3"/>
  <c r="P10" i="3"/>
  <c r="P11" i="3"/>
  <c r="P12" i="3"/>
  <c r="P13" i="3"/>
  <c r="P14" i="3"/>
  <c r="P15" i="3"/>
  <c r="P16" i="3"/>
  <c r="P17" i="3"/>
  <c r="P19" i="3"/>
  <c r="P20" i="3"/>
  <c r="P21" i="3"/>
  <c r="P22" i="3"/>
  <c r="P23" i="3"/>
  <c r="P24" i="3"/>
  <c r="N5" i="3"/>
  <c r="O5" i="3" s="1"/>
  <c r="N6" i="3"/>
  <c r="O6" i="3" s="1"/>
  <c r="N7" i="3"/>
  <c r="O7" i="3" s="1"/>
  <c r="N8" i="3"/>
  <c r="O8" i="3" s="1"/>
  <c r="N9" i="3"/>
  <c r="O9" i="3" s="1"/>
  <c r="N10" i="3"/>
  <c r="O10" i="3" s="1"/>
  <c r="N11" i="3"/>
  <c r="O11" i="3" s="1"/>
  <c r="N12" i="3"/>
  <c r="O12" i="3" s="1"/>
  <c r="N13" i="3"/>
  <c r="O13" i="3" s="1"/>
  <c r="N14" i="3"/>
  <c r="O14" i="3" s="1"/>
  <c r="N15" i="3"/>
  <c r="O15" i="3" s="1"/>
  <c r="N16" i="3"/>
  <c r="O16" i="3" s="1"/>
  <c r="N17" i="3"/>
  <c r="O17" i="3" s="1"/>
  <c r="N19" i="3"/>
  <c r="O19" i="3" s="1"/>
  <c r="N20" i="3"/>
  <c r="O20" i="3" s="1"/>
  <c r="N21" i="3"/>
  <c r="O21" i="3" s="1"/>
  <c r="N22" i="3"/>
  <c r="O22" i="3" s="1"/>
  <c r="N23" i="3"/>
  <c r="O23" i="3" s="1"/>
  <c r="N24" i="3"/>
  <c r="O24" i="3" s="1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9" i="3"/>
  <c r="M20" i="3"/>
  <c r="M21" i="3"/>
  <c r="M22" i="3"/>
  <c r="M23" i="3"/>
  <c r="M2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9" i="3"/>
  <c r="K20" i="3"/>
  <c r="K21" i="3"/>
  <c r="K22" i="3"/>
  <c r="K23" i="3"/>
  <c r="K2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9" i="3"/>
  <c r="J20" i="3"/>
  <c r="J21" i="3"/>
  <c r="J22" i="3"/>
  <c r="J23" i="3"/>
  <c r="J24" i="3"/>
  <c r="J4" i="3"/>
  <c r="I5" i="3"/>
  <c r="L5" i="3" s="1"/>
  <c r="I6" i="3"/>
  <c r="R6" i="3" s="1"/>
  <c r="I7" i="3"/>
  <c r="R7" i="3" s="1"/>
  <c r="I8" i="3"/>
  <c r="R8" i="3" s="1"/>
  <c r="I9" i="3"/>
  <c r="R9" i="3" s="1"/>
  <c r="I10" i="3"/>
  <c r="R10" i="3" s="1"/>
  <c r="I11" i="3"/>
  <c r="R11" i="3" s="1"/>
  <c r="I12" i="3"/>
  <c r="R12" i="3" s="1"/>
  <c r="I13" i="3"/>
  <c r="R13" i="3" s="1"/>
  <c r="I14" i="3"/>
  <c r="R14" i="3" s="1"/>
  <c r="I15" i="3"/>
  <c r="R15" i="3" s="1"/>
  <c r="I16" i="3"/>
  <c r="R16" i="3" s="1"/>
  <c r="I17" i="3"/>
  <c r="R17" i="3" s="1"/>
  <c r="I19" i="3"/>
  <c r="I20" i="3"/>
  <c r="R20" i="3" s="1"/>
  <c r="I21" i="3"/>
  <c r="R21" i="3" s="1"/>
  <c r="I22" i="3"/>
  <c r="R22" i="3" s="1"/>
  <c r="I23" i="3"/>
  <c r="R23" i="3" s="1"/>
  <c r="I24" i="3"/>
  <c r="R24" i="3" s="1"/>
  <c r="I4" i="3"/>
  <c r="R4" i="3" s="1"/>
  <c r="H25" i="3"/>
  <c r="L24" i="3" l="1"/>
  <c r="L15" i="3"/>
  <c r="L7" i="3"/>
  <c r="L23" i="3"/>
  <c r="L14" i="3"/>
  <c r="L6" i="3"/>
  <c r="L22" i="3"/>
  <c r="L13" i="3"/>
  <c r="L21" i="3"/>
  <c r="L12" i="3"/>
  <c r="L20" i="3"/>
  <c r="L11" i="3"/>
  <c r="L19" i="3"/>
  <c r="L10" i="3"/>
  <c r="L17" i="3"/>
  <c r="L9" i="3"/>
  <c r="L16" i="3"/>
  <c r="L8" i="3"/>
  <c r="G25" i="3"/>
  <c r="N4" i="3" l="1"/>
  <c r="O4" i="3" l="1"/>
  <c r="Q4" i="3" l="1"/>
  <c r="P4" i="3"/>
  <c r="M4" i="3"/>
  <c r="K4" i="3"/>
  <c r="L4" i="3"/>
</calcChain>
</file>

<file path=xl/sharedStrings.xml><?xml version="1.0" encoding="utf-8"?>
<sst xmlns="http://schemas.openxmlformats.org/spreadsheetml/2006/main" count="120" uniqueCount="71">
  <si>
    <r>
      <t>ITEM</t>
    </r>
    <r>
      <rPr>
        <sz val="10"/>
        <color theme="1"/>
        <rFont val="Arial"/>
        <family val="2"/>
      </rPr>
      <t> </t>
    </r>
  </si>
  <si>
    <t>VALOR UNITARIO INCLUIDO IVA</t>
  </si>
  <si>
    <t xml:space="preserve"> MEDIA ARITMETICA/PROMEDIO  </t>
  </si>
  <si>
    <t xml:space="preserve"> VALOR  COTIZADO  MAS BAJO  </t>
  </si>
  <si>
    <t xml:space="preserve"> VALOR  UNITARIO MAS ALTO </t>
  </si>
  <si>
    <t xml:space="preserve"> MAB - MEDIA ARITMETICA BAJA </t>
  </si>
  <si>
    <t xml:space="preserve"> MEDIA ARMONICA </t>
  </si>
  <si>
    <t xml:space="preserve"> DESVIACION ESTANDAR </t>
  </si>
  <si>
    <t xml:space="preserve">% DISPERSION </t>
  </si>
  <si>
    <t>MEDIA GOMETRICA</t>
  </si>
  <si>
    <t xml:space="preserve">MEDIANA </t>
  </si>
  <si>
    <t>PRECIO DE REFERENCIA</t>
  </si>
  <si>
    <t xml:space="preserve">METRICA APLICADA </t>
  </si>
  <si>
    <t>UND</t>
  </si>
  <si>
    <t xml:space="preserve"> VALOR UNITARIO INCLUIDO  IVA </t>
  </si>
  <si>
    <t xml:space="preserve"> VALOR UNITARIO </t>
  </si>
  <si>
    <t xml:space="preserve"> VALOR UNITARIO  </t>
  </si>
  <si>
    <t>TIPO DE MANTENIMIENTO</t>
  </si>
  <si>
    <t>PREVENTIVO</t>
  </si>
  <si>
    <t>SISTEMA /COMPONENTE</t>
  </si>
  <si>
    <t>ACTIVIDAD A DESARROLLA</t>
  </si>
  <si>
    <t xml:space="preserve">Estructura metálica </t>
  </si>
  <si>
    <t>Revisión y rectificación de la estructura metálica por desalineación.</t>
  </si>
  <si>
    <t>vez / GLB</t>
  </si>
  <si>
    <t>Estructura metálica</t>
  </si>
  <si>
    <t>Lubricación del soporte de ruedas.</t>
  </si>
  <si>
    <t>Revisión del sistema de anclaje (frenos de seguridad).</t>
  </si>
  <si>
    <t>Limpieza general con desengrasante para identificar focos de oxidación y realizar retoques con primer y pintura negra de poliuretano.</t>
  </si>
  <si>
    <t>Ajuste de todos los tornillos y pernos de la estructura de la gradería.</t>
  </si>
  <si>
    <t xml:space="preserve"> vez / GLB</t>
  </si>
  <si>
    <t>Sistema de arrastre</t>
  </si>
  <si>
    <t>Lubricación de rodamientos, ejes y componentes de transmisión.</t>
  </si>
  <si>
    <t>Inspección del estado del reductor.</t>
  </si>
  <si>
    <t>Revisión del sistema de transmisión de potencia (cadenas, ejes, acoples).</t>
  </si>
  <si>
    <t xml:space="preserve"> UND</t>
  </si>
  <si>
    <t>Revisión de ruedas, lubricación y calibración de la alineación.</t>
  </si>
  <si>
    <t>Sistema eléctrico – tablero</t>
  </si>
  <si>
    <t>Desconexión y preparación del tablero para labores de mantenimiento.</t>
  </si>
  <si>
    <t>Limpieza interna con aire comprimido y materiales adecuados, sin afectar componentes.</t>
  </si>
  <si>
    <t>Limpieza de contactores y protecciones; ajuste de bornes.</t>
  </si>
  <si>
    <t>Revisión de bobinas y verificación con analizador de baterías del sistema de respaldo (backup). (en caso de ser necesario realizar el cambio de baterías requerido).</t>
  </si>
  <si>
    <t>Limpieza externa de la carcasa, inspección final y reconexión del tablero.</t>
  </si>
  <si>
    <t>Estructura / niveles de la gradería</t>
  </si>
  <si>
    <t>Desatasco y enderezamiento de los tres niveles de la gradería, actividad que involucra 4 pórticos por cada nivel afectado.</t>
  </si>
  <si>
    <t>Patines / ruedas de desplazamiento</t>
  </si>
  <si>
    <t>Cambio de llantas dañadas en los patines de acuerdo con la revisión técnica de la zona afectada.</t>
  </si>
  <si>
    <t>Paneles frontales</t>
  </si>
  <si>
    <t>Cambio de paneles de madera de la parte frontal de la gradería que se encuentren dañados por atascamiento.</t>
  </si>
  <si>
    <t>Motor de arrastre central</t>
  </si>
  <si>
    <t>Cambio de llantas del motor de arrastre central, de acuerdo con evidencia fotográfica del daño.</t>
  </si>
  <si>
    <t xml:space="preserve"> UND </t>
  </si>
  <si>
    <t>Cambio de rodamientos de las ruedas.</t>
  </si>
  <si>
    <t xml:space="preserve">UND </t>
  </si>
  <si>
    <t>Sistema de arrastre (reductor y motor)</t>
  </si>
  <si>
    <t>Revisión y Cambio de rodamientos del reductor y del motor eléctrico que presenten desgaste o daño (incluye desmonte, montaje y materiales).</t>
  </si>
  <si>
    <t>CORRECTIVO</t>
  </si>
  <si>
    <t>FUENTE 1  INGEPRAKGZ</t>
  </si>
  <si>
    <t>FUENTE  2 SIDING</t>
  </si>
  <si>
    <t>PROMEDIO</t>
  </si>
  <si>
    <t>MEDIA GEOMETRICA</t>
  </si>
  <si>
    <t>ESTIMADO</t>
  </si>
  <si>
    <t>CDP</t>
  </si>
  <si>
    <t>FALTA</t>
  </si>
  <si>
    <t>VALOR TOTAL ESTIMADO</t>
  </si>
  <si>
    <t xml:space="preserve">VALOOR ESTIMADO </t>
  </si>
  <si>
    <t xml:space="preserve">VALOR ESTIMADO </t>
  </si>
  <si>
    <t xml:space="preserve"> RUBRO 02-02-02-008-007-
02-4 $ 20.474.425,19</t>
  </si>
  <si>
    <t xml:space="preserve"> RUBRO 02-02-02-008-007-
02-4 $58.860.970</t>
  </si>
  <si>
    <t>CANTUND DE MEDIDA</t>
  </si>
  <si>
    <t>CANTIDAD</t>
  </si>
  <si>
    <t>TOTAL COTIZACION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</si>
</sst>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Times New Roman"/>
      <family val="1"/>
    </font>
    <font>
      <b/>
      <sz val="1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5">
    <xf numFmtId="0" fontId="0" fillId="0" borderId="0" xfId="0"/>
    <xf numFmtId="44" fontId="1" fillId="3" borderId="2" xfId="1" applyFont="1" applyFill="1" applyBorder="1" applyAlignment="1">
      <alignment horizontal="center" vertical="center" wrapText="1"/>
    </xf>
    <xf numFmtId="9" fontId="1" fillId="3" borderId="2" xfId="2" applyFont="1" applyFill="1" applyBorder="1" applyAlignment="1">
      <alignment horizontal="center" vertical="center" wrapText="1"/>
    </xf>
    <xf numFmtId="44" fontId="1" fillId="0" borderId="2" xfId="1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44" fontId="4" fillId="5" borderId="1" xfId="1" applyFont="1" applyFill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4" fontId="5" fillId="0" borderId="0" xfId="1" applyFont="1" applyAlignment="1">
      <alignment horizontal="center" vertical="center" wrapText="1"/>
    </xf>
    <xf numFmtId="44" fontId="3" fillId="3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6" fillId="0" borderId="0" xfId="1" applyFont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44" fontId="5" fillId="0" borderId="0" xfId="1" applyFont="1" applyFill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4" fontId="3" fillId="4" borderId="3" xfId="1" applyFont="1" applyFill="1" applyBorder="1" applyAlignment="1">
      <alignment horizontal="center" vertical="center" wrapText="1"/>
    </xf>
    <xf numFmtId="44" fontId="3" fillId="5" borderId="3" xfId="1" applyFont="1" applyFill="1" applyBorder="1" applyAlignment="1">
      <alignment horizontal="center" vertical="center" wrapText="1"/>
    </xf>
    <xf numFmtId="44" fontId="1" fillId="3" borderId="3" xfId="1" applyFont="1" applyFill="1" applyBorder="1" applyAlignment="1">
      <alignment horizontal="center" vertical="center" wrapText="1"/>
    </xf>
    <xf numFmtId="9" fontId="1" fillId="3" borderId="3" xfId="2" applyFont="1" applyFill="1" applyBorder="1" applyAlignment="1">
      <alignment horizontal="center" vertical="center" wrapText="1"/>
    </xf>
    <xf numFmtId="44" fontId="1" fillId="0" borderId="3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 inden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 wrapText="1"/>
    </xf>
    <xf numFmtId="44" fontId="10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8" fillId="6" borderId="1" xfId="1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8" fillId="7" borderId="1" xfId="1" applyFont="1" applyFill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left" vertical="center" wrapText="1"/>
    </xf>
    <xf numFmtId="165" fontId="7" fillId="0" borderId="17" xfId="0" applyNumberFormat="1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left" vertical="center" wrapText="1" indent="1"/>
    </xf>
    <xf numFmtId="0" fontId="10" fillId="0" borderId="17" xfId="0" applyFont="1" applyFill="1" applyBorder="1" applyAlignment="1">
      <alignment horizontal="left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43" fontId="8" fillId="7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43" fontId="3" fillId="7" borderId="9" xfId="0" applyNumberFormat="1" applyFont="1" applyFill="1" applyBorder="1" applyAlignment="1">
      <alignment horizontal="center" vertical="center" wrapText="1"/>
    </xf>
    <xf numFmtId="44" fontId="5" fillId="7" borderId="9" xfId="1" applyFont="1" applyFill="1" applyBorder="1" applyAlignment="1">
      <alignment horizontal="center" vertical="center" wrapText="1"/>
    </xf>
    <xf numFmtId="44" fontId="5" fillId="7" borderId="7" xfId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3" fontId="3" fillId="7" borderId="2" xfId="0" applyNumberFormat="1" applyFont="1" applyFill="1" applyBorder="1" applyAlignment="1">
      <alignment horizontal="center" vertical="center" wrapText="1"/>
    </xf>
    <xf numFmtId="43" fontId="3" fillId="7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3" fontId="3" fillId="7" borderId="3" xfId="0" applyNumberFormat="1" applyFont="1" applyFill="1" applyBorder="1" applyAlignment="1">
      <alignment horizontal="center" vertical="center" wrapText="1"/>
    </xf>
    <xf numFmtId="43" fontId="3" fillId="7" borderId="10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3" fontId="3" fillId="0" borderId="2" xfId="0" applyNumberFormat="1" applyFont="1" applyBorder="1" applyAlignment="1">
      <alignment horizontal="center" vertical="center" wrapText="1"/>
    </xf>
    <xf numFmtId="165" fontId="3" fillId="7" borderId="2" xfId="0" applyNumberFormat="1" applyFont="1" applyFill="1" applyBorder="1" applyAlignment="1">
      <alignment horizontal="center" vertical="center" wrapText="1"/>
    </xf>
    <xf numFmtId="165" fontId="3" fillId="7" borderId="3" xfId="0" applyNumberFormat="1" applyFont="1" applyFill="1" applyBorder="1" applyAlignment="1">
      <alignment horizontal="center" vertical="center" wrapText="1"/>
    </xf>
    <xf numFmtId="43" fontId="3" fillId="7" borderId="2" xfId="0" applyNumberFormat="1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31"/>
  <sheetViews>
    <sheetView tabSelected="1" topLeftCell="J16" zoomScale="70" zoomScaleNormal="70" workbookViewId="0">
      <selection activeCell="G27" sqref="G27"/>
    </sheetView>
  </sheetViews>
  <sheetFormatPr baseColWidth="10" defaultColWidth="9.33203125" defaultRowHeight="13.8" x14ac:dyDescent="0.3"/>
  <cols>
    <col min="1" max="1" width="21.109375" style="61" customWidth="1"/>
    <col min="2" max="2" width="7.6640625" style="8" customWidth="1"/>
    <col min="3" max="3" width="29.33203125" style="11" customWidth="1"/>
    <col min="4" max="4" width="71.109375" style="11" customWidth="1"/>
    <col min="5" max="5" width="10.88671875" style="11" customWidth="1"/>
    <col min="6" max="6" width="12.77734375" style="11" customWidth="1"/>
    <col min="7" max="7" width="23" style="18" bestFit="1" customWidth="1"/>
    <col min="8" max="8" width="27.5546875" style="18" bestFit="1" customWidth="1"/>
    <col min="9" max="11" width="30.88671875" style="9" bestFit="1" customWidth="1"/>
    <col min="12" max="12" width="17.44140625" style="9" bestFit="1" customWidth="1"/>
    <col min="13" max="13" width="18.33203125" style="9" bestFit="1" customWidth="1"/>
    <col min="14" max="14" width="30.88671875" style="16" bestFit="1" customWidth="1"/>
    <col min="15" max="15" width="16.88671875" style="17" bestFit="1" customWidth="1"/>
    <col min="16" max="16" width="18.6640625" style="9" bestFit="1" customWidth="1"/>
    <col min="17" max="17" width="27.6640625" style="9" bestFit="1" customWidth="1"/>
    <col min="18" max="18" width="21.6640625" style="18" customWidth="1"/>
    <col min="19" max="19" width="25.44140625" style="19" customWidth="1"/>
    <col min="20" max="16384" width="9.33203125" style="11"/>
  </cols>
  <sheetData>
    <row r="1" spans="1:98" s="13" customFormat="1" ht="39.75" customHeight="1" x14ac:dyDescent="0.3">
      <c r="A1" s="64" t="s">
        <v>17</v>
      </c>
      <c r="B1" s="74" t="s">
        <v>0</v>
      </c>
      <c r="C1" s="76" t="s">
        <v>19</v>
      </c>
      <c r="D1" s="66" t="s">
        <v>20</v>
      </c>
      <c r="E1" s="62"/>
      <c r="F1" s="62"/>
      <c r="G1" s="73" t="s">
        <v>1</v>
      </c>
      <c r="H1" s="73"/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2" t="s">
        <v>8</v>
      </c>
      <c r="P1" s="1" t="s">
        <v>9</v>
      </c>
      <c r="Q1" s="10" t="s">
        <v>10</v>
      </c>
      <c r="R1" s="3" t="s">
        <v>11</v>
      </c>
      <c r="S1" s="71" t="s">
        <v>12</v>
      </c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2"/>
    </row>
    <row r="2" spans="1:98" s="13" customFormat="1" ht="56.25" customHeight="1" thickBot="1" x14ac:dyDescent="0.35">
      <c r="A2" s="65"/>
      <c r="B2" s="75"/>
      <c r="C2" s="66"/>
      <c r="D2" s="67"/>
      <c r="E2" s="63" t="s">
        <v>68</v>
      </c>
      <c r="F2" s="63" t="s">
        <v>69</v>
      </c>
      <c r="G2" s="21" t="s">
        <v>56</v>
      </c>
      <c r="H2" s="22" t="s">
        <v>57</v>
      </c>
      <c r="I2" s="23" t="s">
        <v>15</v>
      </c>
      <c r="J2" s="23" t="s">
        <v>16</v>
      </c>
      <c r="K2" s="23" t="s">
        <v>14</v>
      </c>
      <c r="L2" s="23" t="s">
        <v>14</v>
      </c>
      <c r="M2" s="23" t="s">
        <v>14</v>
      </c>
      <c r="N2" s="23" t="s">
        <v>14</v>
      </c>
      <c r="O2" s="24" t="s">
        <v>14</v>
      </c>
      <c r="P2" s="23" t="s">
        <v>14</v>
      </c>
      <c r="Q2" s="23" t="s">
        <v>14</v>
      </c>
      <c r="R2" s="25" t="s">
        <v>14</v>
      </c>
      <c r="S2" s="72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2"/>
    </row>
    <row r="3" spans="1:98" s="60" customFormat="1" ht="43.8" customHeight="1" thickBot="1" x14ac:dyDescent="0.35">
      <c r="A3" s="77" t="s">
        <v>66</v>
      </c>
      <c r="B3" s="80"/>
      <c r="C3" s="80"/>
      <c r="D3" s="81"/>
      <c r="E3" s="56"/>
      <c r="F3" s="56"/>
      <c r="G3" s="56"/>
      <c r="H3" s="56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9"/>
    </row>
    <row r="4" spans="1:98" s="15" customFormat="1" ht="24.6" customHeight="1" x14ac:dyDescent="0.3">
      <c r="A4" s="68" t="s">
        <v>18</v>
      </c>
      <c r="B4" s="49">
        <v>1</v>
      </c>
      <c r="C4" s="29" t="s">
        <v>21</v>
      </c>
      <c r="D4" s="30" t="s">
        <v>22</v>
      </c>
      <c r="E4" s="28" t="s">
        <v>23</v>
      </c>
      <c r="F4" s="37">
        <v>1</v>
      </c>
      <c r="G4" s="4">
        <v>3070200</v>
      </c>
      <c r="H4" s="6">
        <v>3320100</v>
      </c>
      <c r="I4" s="7">
        <f>+ROUND(AVERAGE(G4:H4),0)</f>
        <v>3195150</v>
      </c>
      <c r="J4" s="7">
        <f>MIN(G4:H4)</f>
        <v>3070200</v>
      </c>
      <c r="K4" s="7">
        <f>MAX(G4:H4)</f>
        <v>3320100</v>
      </c>
      <c r="L4" s="7">
        <f>+(I4+J4)/2</f>
        <v>3132675</v>
      </c>
      <c r="M4" s="7">
        <f>HARMEAN(G4:H4)</f>
        <v>3190263.6871508383</v>
      </c>
      <c r="N4" s="40">
        <f>STDEVA(G4:H4)</f>
        <v>176705.98461851824</v>
      </c>
      <c r="O4" s="41">
        <f>+N4/I4</f>
        <v>5.5304440986657349E-2</v>
      </c>
      <c r="P4" s="7">
        <f>GEOMEAN(G4:H4)</f>
        <v>3192705.908786464</v>
      </c>
      <c r="Q4" s="7">
        <f>MEDIAN(G4:H4)</f>
        <v>3195150</v>
      </c>
      <c r="R4" s="34">
        <f>I4</f>
        <v>3195150</v>
      </c>
      <c r="S4" s="20" t="s">
        <v>58</v>
      </c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4"/>
    </row>
    <row r="5" spans="1:98" s="15" customFormat="1" x14ac:dyDescent="0.3">
      <c r="A5" s="69"/>
      <c r="B5" s="5">
        <v>2</v>
      </c>
      <c r="C5" s="26" t="s">
        <v>24</v>
      </c>
      <c r="D5" s="27" t="s">
        <v>25</v>
      </c>
      <c r="E5" s="28" t="s">
        <v>23</v>
      </c>
      <c r="F5" s="37">
        <v>1</v>
      </c>
      <c r="G5" s="4">
        <v>2201500</v>
      </c>
      <c r="H5" s="4">
        <v>3153500</v>
      </c>
      <c r="I5" s="7">
        <f t="shared" ref="I5:I24" si="0">+ROUND(AVERAGE(G5:H5),0)</f>
        <v>2677500</v>
      </c>
      <c r="J5" s="7">
        <f t="shared" ref="J5:J24" si="1">MIN(G5:H5)</f>
        <v>2201500</v>
      </c>
      <c r="K5" s="7">
        <f t="shared" ref="K5:K24" si="2">MAX(G5:H5)</f>
        <v>3153500</v>
      </c>
      <c r="L5" s="7">
        <f t="shared" ref="L5:L24" si="3">+(I5+J5)/2</f>
        <v>2439500</v>
      </c>
      <c r="M5" s="7">
        <f t="shared" ref="M5:M24" si="4">HARMEAN(G5:H5)</f>
        <v>2592877.7777777775</v>
      </c>
      <c r="N5" s="40">
        <f t="shared" ref="N5:N24" si="5">STDEVA(G5:H5)</f>
        <v>673165.65568959329</v>
      </c>
      <c r="O5" s="41">
        <f t="shared" ref="O5:O24" si="6">+N5/I5</f>
        <v>0.25141574442188358</v>
      </c>
      <c r="P5" s="7">
        <f>GEOMEAN(G5:H5)</f>
        <v>2634849.1892326591</v>
      </c>
      <c r="Q5" s="7">
        <f>MEDIAN(G5:H5)</f>
        <v>2677500</v>
      </c>
      <c r="R5" s="34">
        <f>P5</f>
        <v>2634849.1892326591</v>
      </c>
      <c r="S5" s="42" t="s">
        <v>59</v>
      </c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4"/>
    </row>
    <row r="6" spans="1:98" x14ac:dyDescent="0.3">
      <c r="A6" s="69"/>
      <c r="B6" s="33">
        <v>3</v>
      </c>
      <c r="C6" s="26" t="s">
        <v>24</v>
      </c>
      <c r="D6" s="27" t="s">
        <v>26</v>
      </c>
      <c r="E6" s="28" t="s">
        <v>23</v>
      </c>
      <c r="F6" s="37">
        <v>1</v>
      </c>
      <c r="G6" s="34">
        <v>2213400</v>
      </c>
      <c r="H6" s="34">
        <v>2332400</v>
      </c>
      <c r="I6" s="7">
        <f t="shared" si="0"/>
        <v>2272900</v>
      </c>
      <c r="J6" s="7">
        <f t="shared" si="1"/>
        <v>2213400</v>
      </c>
      <c r="K6" s="7">
        <f t="shared" si="2"/>
        <v>2332400</v>
      </c>
      <c r="L6" s="7">
        <f t="shared" si="3"/>
        <v>2243150</v>
      </c>
      <c r="M6" s="7">
        <f t="shared" si="4"/>
        <v>2271342.4083769633</v>
      </c>
      <c r="N6" s="40">
        <f t="shared" si="5"/>
        <v>84145.706961199161</v>
      </c>
      <c r="O6" s="41">
        <f t="shared" si="6"/>
        <v>3.7021297444321866E-2</v>
      </c>
      <c r="P6" s="7">
        <f t="shared" ref="P6:P24" si="7">GEOMEAN(G6:H6)</f>
        <v>2272121.0707178437</v>
      </c>
      <c r="Q6" s="7">
        <f t="shared" ref="Q6:Q24" si="8">MEDIAN(G6:H6)</f>
        <v>2272900</v>
      </c>
      <c r="R6" s="34">
        <f>I6</f>
        <v>2272900</v>
      </c>
      <c r="S6" s="20" t="s">
        <v>58</v>
      </c>
    </row>
    <row r="7" spans="1:98" ht="24" x14ac:dyDescent="0.3">
      <c r="A7" s="69"/>
      <c r="B7" s="32">
        <v>4</v>
      </c>
      <c r="C7" s="26" t="s">
        <v>24</v>
      </c>
      <c r="D7" s="27" t="s">
        <v>27</v>
      </c>
      <c r="E7" s="28" t="s">
        <v>23</v>
      </c>
      <c r="F7" s="37">
        <v>1</v>
      </c>
      <c r="G7" s="35">
        <v>3141600</v>
      </c>
      <c r="H7" s="35">
        <v>3379600</v>
      </c>
      <c r="I7" s="7">
        <f t="shared" si="0"/>
        <v>3260600</v>
      </c>
      <c r="J7" s="7">
        <f t="shared" si="1"/>
        <v>3141600</v>
      </c>
      <c r="K7" s="7">
        <f t="shared" si="2"/>
        <v>3379600</v>
      </c>
      <c r="L7" s="7">
        <f t="shared" si="3"/>
        <v>3201100</v>
      </c>
      <c r="M7" s="7">
        <f t="shared" si="4"/>
        <v>3256256.9343065694</v>
      </c>
      <c r="N7" s="40">
        <f t="shared" si="5"/>
        <v>168291.41392239832</v>
      </c>
      <c r="O7" s="41">
        <f t="shared" si="6"/>
        <v>5.1613633663251647E-2</v>
      </c>
      <c r="P7" s="7">
        <f t="shared" si="7"/>
        <v>3258427.743559768</v>
      </c>
      <c r="Q7" s="7">
        <f t="shared" si="8"/>
        <v>3260600</v>
      </c>
      <c r="R7" s="34">
        <f t="shared" ref="R7:R24" si="9">I7</f>
        <v>3260600</v>
      </c>
      <c r="S7" s="20" t="s">
        <v>58</v>
      </c>
    </row>
    <row r="8" spans="1:98" x14ac:dyDescent="0.3">
      <c r="A8" s="69"/>
      <c r="B8" s="5">
        <v>5</v>
      </c>
      <c r="C8" s="26" t="s">
        <v>24</v>
      </c>
      <c r="D8" s="27" t="s">
        <v>28</v>
      </c>
      <c r="E8" s="28" t="s">
        <v>29</v>
      </c>
      <c r="F8" s="38"/>
      <c r="G8" s="34">
        <v>1755250</v>
      </c>
      <c r="H8" s="34">
        <v>1959930</v>
      </c>
      <c r="I8" s="7">
        <f t="shared" si="0"/>
        <v>1857590</v>
      </c>
      <c r="J8" s="7">
        <f t="shared" si="1"/>
        <v>1755250</v>
      </c>
      <c r="K8" s="7">
        <f t="shared" si="2"/>
        <v>1959930</v>
      </c>
      <c r="L8" s="7">
        <f t="shared" si="3"/>
        <v>1806420</v>
      </c>
      <c r="M8" s="7">
        <f t="shared" si="4"/>
        <v>1851951.7937219732</v>
      </c>
      <c r="N8" s="40">
        <f t="shared" si="5"/>
        <v>144730.61597326255</v>
      </c>
      <c r="O8" s="41">
        <f t="shared" si="6"/>
        <v>7.7913111059632403E-2</v>
      </c>
      <c r="P8" s="7">
        <f t="shared" si="7"/>
        <v>1854768.7544543121</v>
      </c>
      <c r="Q8" s="7">
        <f t="shared" si="8"/>
        <v>1857590</v>
      </c>
      <c r="R8" s="34">
        <f t="shared" si="9"/>
        <v>1857590</v>
      </c>
      <c r="S8" s="20" t="s">
        <v>58</v>
      </c>
    </row>
    <row r="9" spans="1:98" x14ac:dyDescent="0.3">
      <c r="A9" s="69"/>
      <c r="B9" s="33">
        <v>6</v>
      </c>
      <c r="C9" s="26" t="s">
        <v>30</v>
      </c>
      <c r="D9" s="27" t="s">
        <v>31</v>
      </c>
      <c r="E9" s="28" t="s">
        <v>13</v>
      </c>
      <c r="F9" s="37">
        <v>3</v>
      </c>
      <c r="G9" s="34">
        <v>678300</v>
      </c>
      <c r="H9" s="34">
        <v>749700</v>
      </c>
      <c r="I9" s="7">
        <f t="shared" si="0"/>
        <v>714000</v>
      </c>
      <c r="J9" s="7">
        <f t="shared" si="1"/>
        <v>678300</v>
      </c>
      <c r="K9" s="7">
        <f t="shared" si="2"/>
        <v>749700</v>
      </c>
      <c r="L9" s="7">
        <f t="shared" si="3"/>
        <v>696150</v>
      </c>
      <c r="M9" s="7">
        <f t="shared" si="4"/>
        <v>712215</v>
      </c>
      <c r="N9" s="40">
        <f t="shared" si="5"/>
        <v>50487.424176719491</v>
      </c>
      <c r="O9" s="41">
        <f t="shared" si="6"/>
        <v>7.0710678118654752E-2</v>
      </c>
      <c r="P9" s="7">
        <f t="shared" si="7"/>
        <v>713106.94148914295</v>
      </c>
      <c r="Q9" s="7">
        <f t="shared" si="8"/>
        <v>714000</v>
      </c>
      <c r="R9" s="34">
        <f t="shared" si="9"/>
        <v>714000</v>
      </c>
      <c r="S9" s="20" t="s">
        <v>58</v>
      </c>
    </row>
    <row r="10" spans="1:98" x14ac:dyDescent="0.3">
      <c r="A10" s="69"/>
      <c r="B10" s="32">
        <v>7</v>
      </c>
      <c r="C10" s="26" t="s">
        <v>30</v>
      </c>
      <c r="D10" s="27" t="s">
        <v>32</v>
      </c>
      <c r="E10" s="28" t="s">
        <v>13</v>
      </c>
      <c r="F10" s="37">
        <v>3</v>
      </c>
      <c r="G10" s="34">
        <v>678300</v>
      </c>
      <c r="H10" s="34">
        <v>785400</v>
      </c>
      <c r="I10" s="7">
        <f t="shared" si="0"/>
        <v>731850</v>
      </c>
      <c r="J10" s="7">
        <f t="shared" si="1"/>
        <v>678300</v>
      </c>
      <c r="K10" s="7">
        <f t="shared" si="2"/>
        <v>785400</v>
      </c>
      <c r="L10" s="7">
        <f t="shared" si="3"/>
        <v>705075</v>
      </c>
      <c r="M10" s="7">
        <f t="shared" si="4"/>
        <v>727931.70731707313</v>
      </c>
      <c r="N10" s="40">
        <f t="shared" si="5"/>
        <v>75731.136265079243</v>
      </c>
      <c r="O10" s="41">
        <f t="shared" si="6"/>
        <v>0.10347904114925086</v>
      </c>
      <c r="P10" s="7">
        <f t="shared" si="7"/>
        <v>729888.22431931319</v>
      </c>
      <c r="Q10" s="7">
        <f t="shared" si="8"/>
        <v>731850</v>
      </c>
      <c r="R10" s="34">
        <f t="shared" si="9"/>
        <v>731850</v>
      </c>
      <c r="S10" s="20" t="s">
        <v>58</v>
      </c>
    </row>
    <row r="11" spans="1:98" x14ac:dyDescent="0.3">
      <c r="A11" s="69"/>
      <c r="B11" s="5">
        <v>8</v>
      </c>
      <c r="C11" s="26" t="s">
        <v>30</v>
      </c>
      <c r="D11" s="27" t="s">
        <v>33</v>
      </c>
      <c r="E11" s="28" t="s">
        <v>34</v>
      </c>
      <c r="F11" s="37">
        <v>3</v>
      </c>
      <c r="G11" s="34">
        <v>678300</v>
      </c>
      <c r="H11" s="34">
        <v>821100</v>
      </c>
      <c r="I11" s="7">
        <f t="shared" si="0"/>
        <v>749700</v>
      </c>
      <c r="J11" s="7">
        <f t="shared" si="1"/>
        <v>678300</v>
      </c>
      <c r="K11" s="7">
        <f t="shared" si="2"/>
        <v>821100</v>
      </c>
      <c r="L11" s="7">
        <f t="shared" si="3"/>
        <v>714000</v>
      </c>
      <c r="M11" s="7">
        <f t="shared" si="4"/>
        <v>742900</v>
      </c>
      <c r="N11" s="40">
        <f t="shared" si="5"/>
        <v>100974.84835343898</v>
      </c>
      <c r="O11" s="41">
        <f t="shared" si="6"/>
        <v>0.13468700594029476</v>
      </c>
      <c r="P11" s="7">
        <f t="shared" si="7"/>
        <v>746292.25508509728</v>
      </c>
      <c r="Q11" s="7">
        <f t="shared" si="8"/>
        <v>749700</v>
      </c>
      <c r="R11" s="34">
        <f t="shared" si="9"/>
        <v>749700</v>
      </c>
      <c r="S11" s="20" t="s">
        <v>58</v>
      </c>
    </row>
    <row r="12" spans="1:98" x14ac:dyDescent="0.3">
      <c r="A12" s="69"/>
      <c r="B12" s="33">
        <v>9</v>
      </c>
      <c r="C12" s="26" t="s">
        <v>30</v>
      </c>
      <c r="D12" s="27" t="s">
        <v>35</v>
      </c>
      <c r="E12" s="28" t="s">
        <v>13</v>
      </c>
      <c r="F12" s="37">
        <v>3</v>
      </c>
      <c r="G12" s="34">
        <v>749700</v>
      </c>
      <c r="H12" s="34">
        <v>821100</v>
      </c>
      <c r="I12" s="7">
        <f t="shared" si="0"/>
        <v>785400</v>
      </c>
      <c r="J12" s="7">
        <f t="shared" si="1"/>
        <v>749700</v>
      </c>
      <c r="K12" s="7">
        <f t="shared" si="2"/>
        <v>821100</v>
      </c>
      <c r="L12" s="7">
        <f t="shared" si="3"/>
        <v>767550</v>
      </c>
      <c r="M12" s="7">
        <f t="shared" si="4"/>
        <v>783777.27272727271</v>
      </c>
      <c r="N12" s="40">
        <f t="shared" si="5"/>
        <v>50487.424176719491</v>
      </c>
      <c r="O12" s="41">
        <f t="shared" si="6"/>
        <v>6.4282434653322493E-2</v>
      </c>
      <c r="P12" s="7">
        <f t="shared" si="7"/>
        <v>784588.21683734201</v>
      </c>
      <c r="Q12" s="7">
        <f t="shared" si="8"/>
        <v>785400</v>
      </c>
      <c r="R12" s="34">
        <f t="shared" si="9"/>
        <v>785400</v>
      </c>
      <c r="S12" s="20" t="s">
        <v>58</v>
      </c>
    </row>
    <row r="13" spans="1:98" x14ac:dyDescent="0.3">
      <c r="A13" s="69"/>
      <c r="B13" s="32">
        <v>10</v>
      </c>
      <c r="C13" s="26" t="s">
        <v>36</v>
      </c>
      <c r="D13" s="27" t="s">
        <v>37</v>
      </c>
      <c r="E13" s="28" t="s">
        <v>13</v>
      </c>
      <c r="F13" s="37">
        <v>1</v>
      </c>
      <c r="G13" s="34">
        <v>214200</v>
      </c>
      <c r="H13" s="34">
        <v>249900</v>
      </c>
      <c r="I13" s="7">
        <f t="shared" si="0"/>
        <v>232050</v>
      </c>
      <c r="J13" s="7">
        <f t="shared" si="1"/>
        <v>214200</v>
      </c>
      <c r="K13" s="7">
        <f t="shared" si="2"/>
        <v>249900</v>
      </c>
      <c r="L13" s="7">
        <f t="shared" si="3"/>
        <v>223125</v>
      </c>
      <c r="M13" s="7">
        <f t="shared" si="4"/>
        <v>230676.92307692306</v>
      </c>
      <c r="N13" s="40">
        <f t="shared" si="5"/>
        <v>25243.712088359745</v>
      </c>
      <c r="O13" s="41">
        <f t="shared" si="6"/>
        <v>0.10878565864408422</v>
      </c>
      <c r="P13" s="7">
        <f t="shared" si="7"/>
        <v>231362.44293316061</v>
      </c>
      <c r="Q13" s="7">
        <f t="shared" si="8"/>
        <v>232050</v>
      </c>
      <c r="R13" s="34">
        <f t="shared" si="9"/>
        <v>232050</v>
      </c>
      <c r="S13" s="20" t="s">
        <v>58</v>
      </c>
    </row>
    <row r="14" spans="1:98" ht="18.600000000000001" customHeight="1" x14ac:dyDescent="0.3">
      <c r="A14" s="69"/>
      <c r="B14" s="5">
        <v>11</v>
      </c>
      <c r="C14" s="26" t="s">
        <v>36</v>
      </c>
      <c r="D14" s="27" t="s">
        <v>38</v>
      </c>
      <c r="E14" s="28" t="s">
        <v>34</v>
      </c>
      <c r="F14" s="37">
        <v>1</v>
      </c>
      <c r="G14" s="34">
        <v>285575</v>
      </c>
      <c r="H14" s="34">
        <v>333200</v>
      </c>
      <c r="I14" s="7">
        <f t="shared" si="0"/>
        <v>309388</v>
      </c>
      <c r="J14" s="7">
        <f t="shared" si="1"/>
        <v>285575</v>
      </c>
      <c r="K14" s="7">
        <f t="shared" si="2"/>
        <v>333200</v>
      </c>
      <c r="L14" s="7">
        <f t="shared" si="3"/>
        <v>297481.5</v>
      </c>
      <c r="M14" s="7">
        <f t="shared" si="4"/>
        <v>307554.73314209527</v>
      </c>
      <c r="N14" s="40">
        <f t="shared" si="5"/>
        <v>33675.960454009328</v>
      </c>
      <c r="O14" s="41">
        <f t="shared" si="6"/>
        <v>0.10884701557270912</v>
      </c>
      <c r="P14" s="7">
        <f t="shared" si="7"/>
        <v>308469.75540561508</v>
      </c>
      <c r="Q14" s="7">
        <f t="shared" si="8"/>
        <v>309387.5</v>
      </c>
      <c r="R14" s="34">
        <f t="shared" si="9"/>
        <v>309388</v>
      </c>
      <c r="S14" s="20" t="s">
        <v>58</v>
      </c>
    </row>
    <row r="15" spans="1:98" x14ac:dyDescent="0.3">
      <c r="A15" s="69"/>
      <c r="B15" s="33">
        <v>12</v>
      </c>
      <c r="C15" s="26" t="s">
        <v>36</v>
      </c>
      <c r="D15" s="27" t="s">
        <v>39</v>
      </c>
      <c r="E15" s="28" t="s">
        <v>13</v>
      </c>
      <c r="F15" s="37">
        <v>1</v>
      </c>
      <c r="G15" s="34">
        <v>338567</v>
      </c>
      <c r="H15" s="34">
        <v>333200</v>
      </c>
      <c r="I15" s="7">
        <f t="shared" si="0"/>
        <v>335884</v>
      </c>
      <c r="J15" s="7">
        <f t="shared" si="1"/>
        <v>333200</v>
      </c>
      <c r="K15" s="7">
        <f t="shared" si="2"/>
        <v>338567</v>
      </c>
      <c r="L15" s="7">
        <f t="shared" si="3"/>
        <v>334542</v>
      </c>
      <c r="M15" s="7">
        <f t="shared" si="4"/>
        <v>335862.06050609809</v>
      </c>
      <c r="N15" s="40">
        <f t="shared" si="5"/>
        <v>3795.0420946282006</v>
      </c>
      <c r="O15" s="41">
        <f t="shared" si="6"/>
        <v>1.1298668869693705E-2</v>
      </c>
      <c r="P15" s="7">
        <f t="shared" si="7"/>
        <v>335872.78008198284</v>
      </c>
      <c r="Q15" s="7">
        <f t="shared" si="8"/>
        <v>335883.5</v>
      </c>
      <c r="R15" s="34">
        <f t="shared" si="9"/>
        <v>335884</v>
      </c>
      <c r="S15" s="20" t="s">
        <v>58</v>
      </c>
    </row>
    <row r="16" spans="1:98" ht="24" x14ac:dyDescent="0.3">
      <c r="A16" s="69"/>
      <c r="B16" s="32">
        <v>13</v>
      </c>
      <c r="C16" s="26" t="s">
        <v>36</v>
      </c>
      <c r="D16" s="27" t="s">
        <v>40</v>
      </c>
      <c r="E16" s="28" t="s">
        <v>13</v>
      </c>
      <c r="F16" s="37">
        <v>1</v>
      </c>
      <c r="G16" s="34">
        <v>686618</v>
      </c>
      <c r="H16" s="34">
        <v>761600</v>
      </c>
      <c r="I16" s="7">
        <f t="shared" si="0"/>
        <v>724109</v>
      </c>
      <c r="J16" s="7">
        <f t="shared" si="1"/>
        <v>686618</v>
      </c>
      <c r="K16" s="7">
        <f t="shared" si="2"/>
        <v>761600</v>
      </c>
      <c r="L16" s="7">
        <f t="shared" si="3"/>
        <v>705363.5</v>
      </c>
      <c r="M16" s="7">
        <f t="shared" si="4"/>
        <v>722167.89019332721</v>
      </c>
      <c r="N16" s="40">
        <f t="shared" si="5"/>
        <v>53020.280666929706</v>
      </c>
      <c r="O16" s="41">
        <f t="shared" si="6"/>
        <v>7.3221408195354165E-2</v>
      </c>
      <c r="P16" s="7">
        <f t="shared" si="7"/>
        <v>723137.79378483607</v>
      </c>
      <c r="Q16" s="7">
        <f t="shared" si="8"/>
        <v>724109</v>
      </c>
      <c r="R16" s="34">
        <f t="shared" si="9"/>
        <v>724109</v>
      </c>
      <c r="S16" s="20" t="s">
        <v>58</v>
      </c>
    </row>
    <row r="17" spans="1:19" ht="14.4" thickBot="1" x14ac:dyDescent="0.35">
      <c r="A17" s="70"/>
      <c r="B17" s="50">
        <v>14</v>
      </c>
      <c r="C17" s="51" t="s">
        <v>36</v>
      </c>
      <c r="D17" s="52" t="s">
        <v>41</v>
      </c>
      <c r="E17" s="28" t="s">
        <v>13</v>
      </c>
      <c r="F17" s="37">
        <v>1</v>
      </c>
      <c r="G17" s="34">
        <v>2604910</v>
      </c>
      <c r="H17" s="34">
        <v>2737000</v>
      </c>
      <c r="I17" s="7">
        <f t="shared" si="0"/>
        <v>2670955</v>
      </c>
      <c r="J17" s="7">
        <f t="shared" si="1"/>
        <v>2604910</v>
      </c>
      <c r="K17" s="7">
        <f t="shared" si="2"/>
        <v>2737000</v>
      </c>
      <c r="L17" s="7">
        <f t="shared" si="3"/>
        <v>2637932.5</v>
      </c>
      <c r="M17" s="7">
        <f t="shared" si="4"/>
        <v>2669321.8979728222</v>
      </c>
      <c r="N17" s="40">
        <f t="shared" si="5"/>
        <v>93401.734726931056</v>
      </c>
      <c r="O17" s="41">
        <f t="shared" si="6"/>
        <v>3.4969415331569068E-2</v>
      </c>
      <c r="P17" s="7">
        <f t="shared" si="7"/>
        <v>2670138.3241322911</v>
      </c>
      <c r="Q17" s="7">
        <f t="shared" si="8"/>
        <v>2670955</v>
      </c>
      <c r="R17" s="34">
        <f t="shared" si="9"/>
        <v>2670955</v>
      </c>
      <c r="S17" s="20" t="s">
        <v>58</v>
      </c>
    </row>
    <row r="18" spans="1:19" s="55" customFormat="1" ht="45" customHeight="1" thickBot="1" x14ac:dyDescent="0.35">
      <c r="A18" s="77" t="s">
        <v>67</v>
      </c>
      <c r="B18" s="78"/>
      <c r="C18" s="78"/>
      <c r="D18" s="79"/>
      <c r="E18" s="82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4"/>
      <c r="Q18" s="48" t="s">
        <v>65</v>
      </c>
      <c r="R18" s="48">
        <f>R4+R5+R6+R7+R8+R9+R10+R11+R12+R13+R14+R15+R16+R17</f>
        <v>20474425.189232659</v>
      </c>
      <c r="S18" s="54"/>
    </row>
    <row r="19" spans="1:19" ht="33" customHeight="1" x14ac:dyDescent="0.3">
      <c r="A19" s="68" t="s">
        <v>55</v>
      </c>
      <c r="B19" s="53">
        <v>1</v>
      </c>
      <c r="C19" s="29" t="s">
        <v>42</v>
      </c>
      <c r="D19" s="30" t="s">
        <v>43</v>
      </c>
      <c r="E19" s="28" t="s">
        <v>13</v>
      </c>
      <c r="F19" s="37">
        <v>12</v>
      </c>
      <c r="G19" s="44">
        <v>38170440</v>
      </c>
      <c r="H19" s="34">
        <v>39512760</v>
      </c>
      <c r="I19" s="7">
        <f t="shared" si="0"/>
        <v>38841600</v>
      </c>
      <c r="J19" s="7">
        <f t="shared" si="1"/>
        <v>38170440</v>
      </c>
      <c r="K19" s="7">
        <f t="shared" si="2"/>
        <v>39512760</v>
      </c>
      <c r="L19" s="7">
        <f t="shared" si="3"/>
        <v>38506020</v>
      </c>
      <c r="M19" s="7">
        <f t="shared" si="4"/>
        <v>38830002.75</v>
      </c>
      <c r="N19" s="40">
        <f t="shared" si="5"/>
        <v>949163.57452232647</v>
      </c>
      <c r="O19" s="41">
        <f t="shared" si="6"/>
        <v>2.4436778467476276E-2</v>
      </c>
      <c r="P19" s="7">
        <f t="shared" si="7"/>
        <v>38835800.942099802</v>
      </c>
      <c r="Q19" s="7">
        <f t="shared" si="8"/>
        <v>38841600</v>
      </c>
      <c r="R19" s="34">
        <f t="shared" si="9"/>
        <v>38841600</v>
      </c>
      <c r="S19" s="20" t="s">
        <v>58</v>
      </c>
    </row>
    <row r="20" spans="1:19" ht="30" customHeight="1" x14ac:dyDescent="0.3">
      <c r="A20" s="69"/>
      <c r="B20" s="33">
        <v>2</v>
      </c>
      <c r="C20" s="26" t="s">
        <v>44</v>
      </c>
      <c r="D20" s="27" t="s">
        <v>45</v>
      </c>
      <c r="E20" s="28" t="s">
        <v>34</v>
      </c>
      <c r="F20" s="37">
        <v>120</v>
      </c>
      <c r="G20" s="44">
        <v>7040040</v>
      </c>
      <c r="H20" s="34">
        <v>9996000</v>
      </c>
      <c r="I20" s="7">
        <f t="shared" si="0"/>
        <v>8518020</v>
      </c>
      <c r="J20" s="7">
        <f t="shared" si="1"/>
        <v>7040040</v>
      </c>
      <c r="K20" s="7">
        <f t="shared" si="2"/>
        <v>9996000</v>
      </c>
      <c r="L20" s="7">
        <f t="shared" si="3"/>
        <v>7779030</v>
      </c>
      <c r="M20" s="7">
        <f t="shared" si="4"/>
        <v>8261572.5062866723</v>
      </c>
      <c r="N20" s="40">
        <f t="shared" si="5"/>
        <v>2090179.3609161871</v>
      </c>
      <c r="O20" s="41">
        <f t="shared" si="6"/>
        <v>0.24538324175291759</v>
      </c>
      <c r="P20" s="7">
        <f t="shared" si="7"/>
        <v>8388816.3551242445</v>
      </c>
      <c r="Q20" s="7">
        <f t="shared" si="8"/>
        <v>8518020</v>
      </c>
      <c r="R20" s="34">
        <f t="shared" si="9"/>
        <v>8518020</v>
      </c>
      <c r="S20" s="36"/>
    </row>
    <row r="21" spans="1:19" ht="24" x14ac:dyDescent="0.3">
      <c r="A21" s="69"/>
      <c r="B21" s="33">
        <v>3</v>
      </c>
      <c r="C21" s="26" t="s">
        <v>46</v>
      </c>
      <c r="D21" s="27" t="s">
        <v>47</v>
      </c>
      <c r="E21" s="28" t="s">
        <v>34</v>
      </c>
      <c r="F21" s="37">
        <v>15</v>
      </c>
      <c r="G21" s="34">
        <v>2927400</v>
      </c>
      <c r="H21" s="34">
        <v>2927400</v>
      </c>
      <c r="I21" s="7">
        <f t="shared" si="0"/>
        <v>2927400</v>
      </c>
      <c r="J21" s="7">
        <f t="shared" si="1"/>
        <v>2927400</v>
      </c>
      <c r="K21" s="7">
        <f t="shared" si="2"/>
        <v>2927400</v>
      </c>
      <c r="L21" s="7">
        <f t="shared" si="3"/>
        <v>2927400</v>
      </c>
      <c r="M21" s="7">
        <f t="shared" si="4"/>
        <v>2927400</v>
      </c>
      <c r="N21" s="40">
        <f t="shared" si="5"/>
        <v>0</v>
      </c>
      <c r="O21" s="41">
        <f t="shared" si="6"/>
        <v>0</v>
      </c>
      <c r="P21" s="7">
        <f t="shared" si="7"/>
        <v>2927400</v>
      </c>
      <c r="Q21" s="7">
        <f t="shared" si="8"/>
        <v>2927400</v>
      </c>
      <c r="R21" s="34">
        <f t="shared" si="9"/>
        <v>2927400</v>
      </c>
      <c r="S21" s="45" t="s">
        <v>58</v>
      </c>
    </row>
    <row r="22" spans="1:19" ht="22.2" customHeight="1" x14ac:dyDescent="0.3">
      <c r="A22" s="69"/>
      <c r="B22" s="33">
        <v>4</v>
      </c>
      <c r="C22" s="26" t="s">
        <v>48</v>
      </c>
      <c r="D22" s="27" t="s">
        <v>49</v>
      </c>
      <c r="E22" s="28" t="s">
        <v>50</v>
      </c>
      <c r="F22" s="37">
        <v>2</v>
      </c>
      <c r="G22" s="34">
        <v>5640600</v>
      </c>
      <c r="H22" s="34">
        <v>5688200</v>
      </c>
      <c r="I22" s="7">
        <f t="shared" si="0"/>
        <v>5664400</v>
      </c>
      <c r="J22" s="7">
        <f t="shared" si="1"/>
        <v>5640600</v>
      </c>
      <c r="K22" s="7">
        <f t="shared" si="2"/>
        <v>5688200</v>
      </c>
      <c r="L22" s="7">
        <f t="shared" si="3"/>
        <v>5652500</v>
      </c>
      <c r="M22" s="7">
        <f t="shared" si="4"/>
        <v>5664300</v>
      </c>
      <c r="N22" s="40">
        <f t="shared" si="5"/>
        <v>33658.282784479663</v>
      </c>
      <c r="O22" s="41">
        <f t="shared" si="6"/>
        <v>5.942073791483593E-3</v>
      </c>
      <c r="P22" s="7">
        <f t="shared" si="7"/>
        <v>5664349.9997793213</v>
      </c>
      <c r="Q22" s="7">
        <f t="shared" si="8"/>
        <v>5664400</v>
      </c>
      <c r="R22" s="34">
        <f t="shared" si="9"/>
        <v>5664400</v>
      </c>
      <c r="S22" s="45" t="s">
        <v>58</v>
      </c>
    </row>
    <row r="23" spans="1:19" x14ac:dyDescent="0.3">
      <c r="A23" s="69"/>
      <c r="B23" s="33">
        <v>5</v>
      </c>
      <c r="C23" s="26" t="s">
        <v>30</v>
      </c>
      <c r="D23" s="27" t="s">
        <v>51</v>
      </c>
      <c r="E23" s="28" t="s">
        <v>52</v>
      </c>
      <c r="F23" s="37">
        <v>3</v>
      </c>
      <c r="G23" s="34">
        <v>1106700</v>
      </c>
      <c r="H23" s="34">
        <v>1356600</v>
      </c>
      <c r="I23" s="7">
        <f t="shared" si="0"/>
        <v>1231650</v>
      </c>
      <c r="J23" s="7">
        <f t="shared" si="1"/>
        <v>1106700</v>
      </c>
      <c r="K23" s="7">
        <f t="shared" si="2"/>
        <v>1356600</v>
      </c>
      <c r="L23" s="7">
        <f t="shared" si="3"/>
        <v>1169175</v>
      </c>
      <c r="M23" s="7">
        <f t="shared" si="4"/>
        <v>1218973.9130434783</v>
      </c>
      <c r="N23" s="40">
        <f t="shared" si="5"/>
        <v>176705.98461851824</v>
      </c>
      <c r="O23" s="41">
        <f t="shared" si="6"/>
        <v>0.143470941110314</v>
      </c>
      <c r="P23" s="7">
        <f t="shared" si="7"/>
        <v>1225295.5643435586</v>
      </c>
      <c r="Q23" s="7">
        <f t="shared" si="8"/>
        <v>1231650</v>
      </c>
      <c r="R23" s="34">
        <f t="shared" si="9"/>
        <v>1231650</v>
      </c>
      <c r="S23" s="45" t="s">
        <v>58</v>
      </c>
    </row>
    <row r="24" spans="1:19" ht="24" x14ac:dyDescent="0.3">
      <c r="A24" s="69"/>
      <c r="B24" s="33">
        <v>6</v>
      </c>
      <c r="C24" s="29" t="s">
        <v>53</v>
      </c>
      <c r="D24" s="30" t="s">
        <v>54</v>
      </c>
      <c r="E24" s="31" t="s">
        <v>52</v>
      </c>
      <c r="F24" s="39">
        <v>3</v>
      </c>
      <c r="G24" s="34">
        <v>1499400</v>
      </c>
      <c r="H24" s="34">
        <v>1856400</v>
      </c>
      <c r="I24" s="7">
        <f t="shared" si="0"/>
        <v>1677900</v>
      </c>
      <c r="J24" s="7">
        <f t="shared" si="1"/>
        <v>1499400</v>
      </c>
      <c r="K24" s="7">
        <f t="shared" si="2"/>
        <v>1856400</v>
      </c>
      <c r="L24" s="7">
        <f t="shared" si="3"/>
        <v>1588650</v>
      </c>
      <c r="M24" s="7">
        <f t="shared" si="4"/>
        <v>1658910.6382978724</v>
      </c>
      <c r="N24" s="40">
        <f t="shared" si="5"/>
        <v>252437.12088359747</v>
      </c>
      <c r="O24" s="41">
        <f t="shared" si="6"/>
        <v>0.1504482513162867</v>
      </c>
      <c r="P24" s="7">
        <f t="shared" si="7"/>
        <v>1668378.3024242434</v>
      </c>
      <c r="Q24" s="7">
        <f t="shared" si="8"/>
        <v>1677900</v>
      </c>
      <c r="R24" s="34">
        <f t="shared" si="9"/>
        <v>1677900</v>
      </c>
      <c r="S24" s="45" t="s">
        <v>58</v>
      </c>
    </row>
    <row r="25" spans="1:19" ht="27.6" x14ac:dyDescent="0.3">
      <c r="F25" s="36" t="s">
        <v>70</v>
      </c>
      <c r="G25" s="34">
        <f>SUM(G4:G24)</f>
        <v>75681000</v>
      </c>
      <c r="H25" s="34">
        <f>SUM(H4:H24)</f>
        <v>83075090</v>
      </c>
      <c r="I25" s="7"/>
      <c r="J25" s="7"/>
      <c r="K25" s="7"/>
      <c r="L25" s="7"/>
      <c r="M25" s="7"/>
      <c r="N25" s="43"/>
      <c r="O25" s="41"/>
      <c r="P25" s="7"/>
      <c r="Q25" s="47" t="s">
        <v>64</v>
      </c>
      <c r="R25" s="46">
        <f>R19+R20+R21+R22+R23+R24</f>
        <v>58860970</v>
      </c>
      <c r="S25" s="36"/>
    </row>
    <row r="27" spans="1:19" ht="87" customHeight="1" x14ac:dyDescent="0.3">
      <c r="Q27" s="7" t="s">
        <v>63</v>
      </c>
      <c r="R27" s="34">
        <f>R18+R25</f>
        <v>79335395.189232662</v>
      </c>
    </row>
    <row r="28" spans="1:19" x14ac:dyDescent="0.3">
      <c r="Q28" s="7" t="s">
        <v>61</v>
      </c>
      <c r="R28" s="34">
        <v>75681000</v>
      </c>
    </row>
    <row r="29" spans="1:19" x14ac:dyDescent="0.3">
      <c r="Q29" s="7" t="s">
        <v>60</v>
      </c>
      <c r="R29" s="34">
        <v>79335395.189999998</v>
      </c>
    </row>
    <row r="30" spans="1:19" x14ac:dyDescent="0.3">
      <c r="Q30" s="7" t="s">
        <v>62</v>
      </c>
      <c r="R30" s="34">
        <f>R29-R28</f>
        <v>3654395.1899999976</v>
      </c>
    </row>
    <row r="31" spans="1:19" x14ac:dyDescent="0.3">
      <c r="Q31" s="11"/>
      <c r="R31" s="11"/>
    </row>
  </sheetData>
  <sheetProtection algorithmName="SHA-512" hashValue="LtNcVQOPu/Q9m0RI2SadR2kKfSBznpatnSGgLzDO+wJKdkLgxbbOO2GmKnraCYLqYOVbVgO6xCHZq4evN92xbA==" saltValue="garhr679F05Oi3QVlgBTWw==" spinCount="100000" sheet="1" formatCells="0" formatColumns="0" formatRows="0"/>
  <mergeCells count="11">
    <mergeCell ref="A1:A2"/>
    <mergeCell ref="D1:D2"/>
    <mergeCell ref="A4:A17"/>
    <mergeCell ref="A19:A24"/>
    <mergeCell ref="S1:S2"/>
    <mergeCell ref="G1:H1"/>
    <mergeCell ref="B1:B2"/>
    <mergeCell ref="C1:C2"/>
    <mergeCell ref="A18:D18"/>
    <mergeCell ref="A3:D3"/>
    <mergeCell ref="E18:P1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13A2AC-4384-48EC-8C07-D04E71D976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8269B6-D79D-4504-8D9B-57349E71233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customXml/itemProps3.xml><?xml version="1.0" encoding="utf-8"?>
<ds:datastoreItem xmlns:ds="http://schemas.openxmlformats.org/officeDocument/2006/customXml" ds:itemID="{54A03955-2698-4764-995D-48B3C54E6E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HP</cp:lastModifiedBy>
  <cp:revision/>
  <dcterms:created xsi:type="dcterms:W3CDTF">2025-05-02T23:13:08Z</dcterms:created>
  <dcterms:modified xsi:type="dcterms:W3CDTF">2026-09-17T02:34:45Z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